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f37b826d46106/Documents/"/>
    </mc:Choice>
  </mc:AlternateContent>
  <xr:revisionPtr revIDLastSave="1688" documentId="8_{529B4740-F4BC-4C0C-976C-C06520569486}" xr6:coauthVersionLast="47" xr6:coauthVersionMax="47" xr10:uidLastSave="{3281C9BB-1013-4220-ADF2-31F92D603FE6}"/>
  <bookViews>
    <workbookView xWindow="-108" yWindow="-108" windowWidth="23256" windowHeight="12456" activeTab="2" xr2:uid="{99157A1E-3427-4503-889B-43F4433C2E6A}"/>
  </bookViews>
  <sheets>
    <sheet name="Financials &gt;" sheetId="2" r:id="rId1"/>
    <sheet name="Data sheet Tata Motors" sheetId="1" r:id="rId2"/>
    <sheet name="Historical FS" sheetId="3" r:id="rId3"/>
    <sheet name="Ratio Analysis" sheetId="10" r:id="rId4"/>
    <sheet name="Common Size Statement " sheetId="17" r:id="rId5"/>
    <sheet name="Ta-Mo Forcasting" sheetId="15" r:id="rId6"/>
    <sheet name="Cashflow Data 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0" l="1"/>
  <c r="L36" i="3"/>
  <c r="C36" i="3"/>
  <c r="O7" i="17"/>
  <c r="O6" i="17"/>
  <c r="E42" i="3"/>
  <c r="E9" i="10"/>
  <c r="C106" i="3"/>
  <c r="B27" i="17"/>
  <c r="D34" i="17"/>
  <c r="E34" i="17"/>
  <c r="F34" i="17"/>
  <c r="G34" i="17"/>
  <c r="H34" i="17"/>
  <c r="I34" i="17"/>
  <c r="J34" i="17"/>
  <c r="K34" i="17"/>
  <c r="L34" i="17"/>
  <c r="D35" i="17"/>
  <c r="E35" i="17"/>
  <c r="F35" i="17"/>
  <c r="G35" i="17"/>
  <c r="H35" i="17"/>
  <c r="I35" i="17"/>
  <c r="J35" i="17"/>
  <c r="K35" i="17"/>
  <c r="L35" i="17"/>
  <c r="D36" i="17"/>
  <c r="E36" i="17"/>
  <c r="F36" i="17"/>
  <c r="G36" i="17"/>
  <c r="H36" i="17"/>
  <c r="I36" i="17"/>
  <c r="J36" i="17"/>
  <c r="K36" i="17"/>
  <c r="L36" i="17"/>
  <c r="D37" i="17"/>
  <c r="E37" i="17"/>
  <c r="F37" i="17"/>
  <c r="G37" i="17"/>
  <c r="H37" i="17"/>
  <c r="I37" i="17"/>
  <c r="J37" i="17"/>
  <c r="K37" i="17"/>
  <c r="L37" i="17"/>
  <c r="D38" i="17"/>
  <c r="E38" i="17"/>
  <c r="F38" i="17"/>
  <c r="G38" i="17"/>
  <c r="H38" i="17"/>
  <c r="I38" i="17"/>
  <c r="J38" i="17"/>
  <c r="K38" i="17"/>
  <c r="L38" i="17"/>
  <c r="D39" i="17"/>
  <c r="E39" i="17"/>
  <c r="F39" i="17"/>
  <c r="G39" i="17"/>
  <c r="H39" i="17"/>
  <c r="I39" i="17"/>
  <c r="J39" i="17"/>
  <c r="K39" i="17"/>
  <c r="L39" i="17"/>
  <c r="D40" i="17"/>
  <c r="E40" i="17"/>
  <c r="F40" i="17"/>
  <c r="G40" i="17"/>
  <c r="H40" i="17"/>
  <c r="I40" i="17"/>
  <c r="J40" i="17"/>
  <c r="K40" i="17"/>
  <c r="L40" i="17"/>
  <c r="D33" i="17"/>
  <c r="E33" i="17"/>
  <c r="F33" i="17"/>
  <c r="G33" i="17"/>
  <c r="H33" i="17"/>
  <c r="I33" i="17"/>
  <c r="J33" i="17"/>
  <c r="K33" i="17"/>
  <c r="L33" i="17"/>
  <c r="C39" i="17"/>
  <c r="C40" i="17"/>
  <c r="C38" i="17"/>
  <c r="C37" i="17"/>
  <c r="C35" i="17"/>
  <c r="C36" i="17"/>
  <c r="C34" i="17"/>
  <c r="C33" i="17"/>
  <c r="B33" i="17"/>
  <c r="C76" i="1"/>
  <c r="D76" i="1"/>
  <c r="E76" i="1"/>
  <c r="F76" i="1"/>
  <c r="G76" i="1"/>
  <c r="H76" i="1"/>
  <c r="I76" i="1"/>
  <c r="J76" i="1"/>
  <c r="K76" i="1"/>
  <c r="B76" i="1"/>
  <c r="C74" i="1"/>
  <c r="D74" i="1"/>
  <c r="E74" i="1"/>
  <c r="F74" i="1"/>
  <c r="G74" i="1"/>
  <c r="H74" i="1"/>
  <c r="I74" i="1"/>
  <c r="J74" i="1"/>
  <c r="K74" i="1"/>
  <c r="B74" i="1"/>
  <c r="C29" i="17"/>
  <c r="D29" i="17"/>
  <c r="E29" i="17"/>
  <c r="F29" i="17"/>
  <c r="G29" i="17"/>
  <c r="H29" i="17"/>
  <c r="I29" i="17"/>
  <c r="J29" i="17"/>
  <c r="K29" i="17"/>
  <c r="L29" i="17"/>
  <c r="C30" i="17"/>
  <c r="D30" i="17"/>
  <c r="E30" i="17"/>
  <c r="F30" i="17"/>
  <c r="G30" i="17"/>
  <c r="H30" i="17"/>
  <c r="I30" i="17"/>
  <c r="J30" i="17"/>
  <c r="K30" i="17"/>
  <c r="L30" i="17"/>
  <c r="C31" i="17"/>
  <c r="D31" i="17"/>
  <c r="E31" i="17"/>
  <c r="F31" i="17"/>
  <c r="G31" i="17"/>
  <c r="H31" i="17"/>
  <c r="I31" i="17"/>
  <c r="J31" i="17"/>
  <c r="K31" i="17"/>
  <c r="L31" i="17"/>
  <c r="D28" i="17"/>
  <c r="E28" i="17"/>
  <c r="F28" i="17"/>
  <c r="G28" i="17"/>
  <c r="H28" i="17"/>
  <c r="I28" i="17"/>
  <c r="J28" i="17"/>
  <c r="K28" i="17"/>
  <c r="L28" i="17"/>
  <c r="C28" i="17"/>
  <c r="B31" i="17"/>
  <c r="D27" i="17"/>
  <c r="E27" i="17"/>
  <c r="F27" i="17"/>
  <c r="G27" i="17"/>
  <c r="H27" i="17"/>
  <c r="I27" i="17"/>
  <c r="J27" i="17"/>
  <c r="K27" i="17"/>
  <c r="L27" i="17"/>
  <c r="C27" i="17"/>
  <c r="B40" i="17"/>
  <c r="B35" i="17"/>
  <c r="B36" i="17"/>
  <c r="B37" i="17"/>
  <c r="B38" i="17"/>
  <c r="B39" i="17"/>
  <c r="B34" i="17"/>
  <c r="B29" i="17"/>
  <c r="B30" i="17"/>
  <c r="B28" i="17"/>
  <c r="D25" i="17"/>
  <c r="E25" i="17"/>
  <c r="F25" i="17"/>
  <c r="G25" i="17"/>
  <c r="H25" i="17"/>
  <c r="I25" i="17"/>
  <c r="J25" i="17"/>
  <c r="K25" i="17"/>
  <c r="L25" i="17"/>
  <c r="C25" i="17"/>
  <c r="B23" i="17"/>
  <c r="D21" i="17"/>
  <c r="E21" i="17"/>
  <c r="F21" i="17"/>
  <c r="G21" i="17"/>
  <c r="H21" i="17"/>
  <c r="I21" i="17"/>
  <c r="J21" i="17"/>
  <c r="K21" i="17"/>
  <c r="L21" i="17"/>
  <c r="C21" i="17"/>
  <c r="B21" i="17"/>
  <c r="C7" i="17"/>
  <c r="D7" i="17"/>
  <c r="E7" i="17"/>
  <c r="F7" i="17"/>
  <c r="G7" i="17"/>
  <c r="H7" i="17"/>
  <c r="I7" i="17"/>
  <c r="J7" i="17"/>
  <c r="K7" i="17"/>
  <c r="L7" i="17"/>
  <c r="C8" i="17"/>
  <c r="D8" i="17"/>
  <c r="E8" i="17"/>
  <c r="F8" i="17"/>
  <c r="G8" i="17"/>
  <c r="H8" i="17"/>
  <c r="I8" i="17"/>
  <c r="J8" i="17"/>
  <c r="K8" i="17"/>
  <c r="L8" i="17"/>
  <c r="C9" i="17"/>
  <c r="D9" i="17"/>
  <c r="E9" i="17"/>
  <c r="F9" i="17"/>
  <c r="G9" i="17"/>
  <c r="H9" i="17"/>
  <c r="I9" i="17"/>
  <c r="J9" i="17"/>
  <c r="K9" i="17"/>
  <c r="L9" i="17"/>
  <c r="C10" i="17"/>
  <c r="D10" i="17"/>
  <c r="E10" i="17"/>
  <c r="F10" i="17"/>
  <c r="G10" i="17"/>
  <c r="H10" i="17"/>
  <c r="I10" i="17"/>
  <c r="J10" i="17"/>
  <c r="K10" i="17"/>
  <c r="L10" i="17"/>
  <c r="C11" i="17"/>
  <c r="D11" i="17"/>
  <c r="E11" i="17"/>
  <c r="F11" i="17"/>
  <c r="G11" i="17"/>
  <c r="H11" i="17"/>
  <c r="I11" i="17"/>
  <c r="J11" i="17"/>
  <c r="K11" i="17"/>
  <c r="L11" i="17"/>
  <c r="C12" i="17"/>
  <c r="D12" i="17"/>
  <c r="E12" i="17"/>
  <c r="F12" i="17"/>
  <c r="G12" i="17"/>
  <c r="H12" i="17"/>
  <c r="I12" i="17"/>
  <c r="J12" i="17"/>
  <c r="K12" i="17"/>
  <c r="L12" i="17"/>
  <c r="C13" i="17"/>
  <c r="D13" i="17"/>
  <c r="E13" i="17"/>
  <c r="F13" i="17"/>
  <c r="G13" i="17"/>
  <c r="H13" i="17"/>
  <c r="I13" i="17"/>
  <c r="J13" i="17"/>
  <c r="K13" i="17"/>
  <c r="L13" i="17"/>
  <c r="C14" i="17"/>
  <c r="D14" i="17"/>
  <c r="E14" i="17"/>
  <c r="F14" i="17"/>
  <c r="G14" i="17"/>
  <c r="H14" i="17"/>
  <c r="I14" i="17"/>
  <c r="J14" i="17"/>
  <c r="K14" i="17"/>
  <c r="L14" i="17"/>
  <c r="C15" i="17"/>
  <c r="D15" i="17"/>
  <c r="E15" i="17"/>
  <c r="F15" i="17"/>
  <c r="G15" i="17"/>
  <c r="H15" i="17"/>
  <c r="I15" i="17"/>
  <c r="J15" i="17"/>
  <c r="K15" i="17"/>
  <c r="L15" i="17"/>
  <c r="C16" i="17"/>
  <c r="D16" i="17"/>
  <c r="E16" i="17"/>
  <c r="F16" i="17"/>
  <c r="G16" i="17"/>
  <c r="H16" i="17"/>
  <c r="I16" i="17"/>
  <c r="J16" i="17"/>
  <c r="K16" i="17"/>
  <c r="L16" i="17"/>
  <c r="C17" i="17"/>
  <c r="D17" i="17"/>
  <c r="E17" i="17"/>
  <c r="F17" i="17"/>
  <c r="G17" i="17"/>
  <c r="H17" i="17"/>
  <c r="I17" i="17"/>
  <c r="J17" i="17"/>
  <c r="K17" i="17"/>
  <c r="L17" i="17"/>
  <c r="C18" i="17"/>
  <c r="D18" i="17"/>
  <c r="E18" i="17"/>
  <c r="F18" i="17"/>
  <c r="G18" i="17"/>
  <c r="H18" i="17"/>
  <c r="I18" i="17"/>
  <c r="J18" i="17"/>
  <c r="K18" i="17"/>
  <c r="L18" i="17"/>
  <c r="C19" i="17"/>
  <c r="D19" i="17"/>
  <c r="E19" i="17"/>
  <c r="F19" i="17"/>
  <c r="G19" i="17"/>
  <c r="H19" i="17"/>
  <c r="I19" i="17"/>
  <c r="J19" i="17"/>
  <c r="K19" i="17"/>
  <c r="L19" i="17"/>
  <c r="C20" i="17"/>
  <c r="D20" i="17"/>
  <c r="E20" i="17"/>
  <c r="F20" i="17"/>
  <c r="G20" i="17"/>
  <c r="H20" i="17"/>
  <c r="I20" i="17"/>
  <c r="J20" i="17"/>
  <c r="K20" i="17"/>
  <c r="L20" i="17"/>
  <c r="D6" i="17"/>
  <c r="E6" i="17"/>
  <c r="F6" i="17"/>
  <c r="G6" i="17"/>
  <c r="H6" i="17"/>
  <c r="I6" i="17"/>
  <c r="J6" i="17"/>
  <c r="K6" i="17"/>
  <c r="L6" i="17"/>
  <c r="C6" i="17"/>
  <c r="B16" i="17"/>
  <c r="B17" i="17"/>
  <c r="B18" i="17"/>
  <c r="B19" i="17"/>
  <c r="B20" i="17"/>
  <c r="B7" i="17"/>
  <c r="B8" i="17"/>
  <c r="B9" i="17"/>
  <c r="B10" i="17"/>
  <c r="B11" i="17"/>
  <c r="B12" i="17"/>
  <c r="B13" i="17"/>
  <c r="B14" i="17"/>
  <c r="B15" i="17"/>
  <c r="B6" i="17"/>
  <c r="L4" i="17"/>
  <c r="D4" i="17"/>
  <c r="E4" i="17"/>
  <c r="F4" i="17"/>
  <c r="G4" i="17"/>
  <c r="H4" i="17"/>
  <c r="I4" i="17"/>
  <c r="J4" i="17"/>
  <c r="K4" i="17"/>
  <c r="C4" i="17"/>
  <c r="B2" i="17"/>
  <c r="C34" i="1"/>
  <c r="D34" i="1"/>
  <c r="E34" i="1"/>
  <c r="F34" i="1"/>
  <c r="G34" i="1"/>
  <c r="H34" i="1"/>
  <c r="I34" i="1"/>
  <c r="J34" i="1"/>
  <c r="K34" i="1"/>
  <c r="B34" i="1"/>
  <c r="N4" i="15" a="1"/>
  <c r="N4" i="15" s="1"/>
  <c r="L2" i="15"/>
  <c r="M5" i="15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L5" i="15"/>
  <c r="L6" i="15" s="1"/>
  <c r="L7" i="15" s="1"/>
  <c r="L8" i="15" s="1"/>
  <c r="L9" i="15" s="1"/>
  <c r="L10" i="15" s="1"/>
  <c r="L11" i="15" s="1"/>
  <c r="L12" i="15" s="1"/>
  <c r="L13" i="15" s="1"/>
  <c r="L14" i="15" s="1"/>
  <c r="M4" i="15"/>
  <c r="I4" i="15" a="1"/>
  <c r="I4" i="15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2" i="15"/>
  <c r="G2" i="15"/>
  <c r="G5" i="15"/>
  <c r="G6" i="15" s="1"/>
  <c r="G7" i="15" s="1"/>
  <c r="G8" i="15" s="1"/>
  <c r="G9" i="15" s="1"/>
  <c r="G10" i="15" s="1"/>
  <c r="G11" i="15" s="1"/>
  <c r="G12" i="15" s="1"/>
  <c r="G13" i="15" s="1"/>
  <c r="G14" i="15" s="1"/>
  <c r="E14" i="15"/>
  <c r="E15" i="15"/>
  <c r="E16" i="15"/>
  <c r="E17" i="15"/>
  <c r="E18" i="15"/>
  <c r="D14" i="15"/>
  <c r="D15" i="15"/>
  <c r="D16" i="15"/>
  <c r="D17" i="15"/>
  <c r="D18" i="15"/>
  <c r="E6" i="15"/>
  <c r="E7" i="15"/>
  <c r="E8" i="15"/>
  <c r="E9" i="15"/>
  <c r="E10" i="15"/>
  <c r="E11" i="15"/>
  <c r="E12" i="15"/>
  <c r="E13" i="15"/>
  <c r="E5" i="15"/>
  <c r="D4" i="15" a="1"/>
  <c r="D8" i="15" s="1"/>
  <c r="B5" i="15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C39" i="3"/>
  <c r="O16" i="10"/>
  <c r="O42" i="10"/>
  <c r="O43" i="10"/>
  <c r="O41" i="10"/>
  <c r="O37" i="10"/>
  <c r="O38" i="10"/>
  <c r="O39" i="10"/>
  <c r="O36" i="10"/>
  <c r="O30" i="10"/>
  <c r="O31" i="10"/>
  <c r="O32" i="10"/>
  <c r="O33" i="10"/>
  <c r="O29" i="10"/>
  <c r="O25" i="10"/>
  <c r="O27" i="10"/>
  <c r="O23" i="10"/>
  <c r="O20" i="10"/>
  <c r="O21" i="10"/>
  <c r="O19" i="10"/>
  <c r="O13" i="10"/>
  <c r="O14" i="10"/>
  <c r="O15" i="10"/>
  <c r="O12" i="10"/>
  <c r="O5" i="10"/>
  <c r="O7" i="10"/>
  <c r="O8" i="10"/>
  <c r="O9" i="10"/>
  <c r="O6" i="10"/>
  <c r="N19" i="10"/>
  <c r="N20" i="10"/>
  <c r="N21" i="10"/>
  <c r="N23" i="10"/>
  <c r="N25" i="10"/>
  <c r="N27" i="10"/>
  <c r="N29" i="10"/>
  <c r="N30" i="10"/>
  <c r="N31" i="10"/>
  <c r="N32" i="10"/>
  <c r="N33" i="10"/>
  <c r="N36" i="10"/>
  <c r="N37" i="10"/>
  <c r="N38" i="10"/>
  <c r="N39" i="10"/>
  <c r="N41" i="10"/>
  <c r="N42" i="10"/>
  <c r="N43" i="10"/>
  <c r="N16" i="10"/>
  <c r="N13" i="10"/>
  <c r="N14" i="10"/>
  <c r="N15" i="10"/>
  <c r="N12" i="10"/>
  <c r="N6" i="10"/>
  <c r="N7" i="10"/>
  <c r="N8" i="10"/>
  <c r="N9" i="10"/>
  <c r="N5" i="10"/>
  <c r="D3" i="3"/>
  <c r="E3" i="3"/>
  <c r="F3" i="3"/>
  <c r="G3" i="3"/>
  <c r="H3" i="3"/>
  <c r="I3" i="3"/>
  <c r="J3" i="3"/>
  <c r="K3" i="3"/>
  <c r="L3" i="3"/>
  <c r="C3" i="3"/>
  <c r="D41" i="10"/>
  <c r="E41" i="10"/>
  <c r="F41" i="10"/>
  <c r="G41" i="10"/>
  <c r="H41" i="10"/>
  <c r="I41" i="10"/>
  <c r="J41" i="10"/>
  <c r="K41" i="10"/>
  <c r="L41" i="10"/>
  <c r="D42" i="10"/>
  <c r="E42" i="10"/>
  <c r="F42" i="10"/>
  <c r="G42" i="10"/>
  <c r="H42" i="10"/>
  <c r="I42" i="10"/>
  <c r="J42" i="10"/>
  <c r="K42" i="10"/>
  <c r="L42" i="10"/>
  <c r="D43" i="10"/>
  <c r="E43" i="10"/>
  <c r="F43" i="10"/>
  <c r="G43" i="10"/>
  <c r="H43" i="10"/>
  <c r="I43" i="10"/>
  <c r="J43" i="10"/>
  <c r="K43" i="10"/>
  <c r="L43" i="10"/>
  <c r="C43" i="10"/>
  <c r="C42" i="10"/>
  <c r="C41" i="10"/>
  <c r="D36" i="10"/>
  <c r="E36" i="10"/>
  <c r="F36" i="10"/>
  <c r="G36" i="10"/>
  <c r="H36" i="10"/>
  <c r="I36" i="10"/>
  <c r="J36" i="10"/>
  <c r="K36" i="10"/>
  <c r="K39" i="10" s="1"/>
  <c r="L36" i="10"/>
  <c r="L39" i="10" s="1"/>
  <c r="D37" i="10"/>
  <c r="E37" i="10"/>
  <c r="F37" i="10"/>
  <c r="G37" i="10"/>
  <c r="H37" i="10"/>
  <c r="I37" i="10"/>
  <c r="I39" i="10" s="1"/>
  <c r="J37" i="10"/>
  <c r="J39" i="10" s="1"/>
  <c r="K37" i="10"/>
  <c r="L37" i="10"/>
  <c r="D38" i="10"/>
  <c r="E38" i="10"/>
  <c r="F38" i="10"/>
  <c r="G38" i="10"/>
  <c r="H38" i="10"/>
  <c r="I38" i="10"/>
  <c r="J38" i="10"/>
  <c r="K38" i="10"/>
  <c r="L38" i="10"/>
  <c r="D39" i="10"/>
  <c r="E39" i="10"/>
  <c r="F39" i="10"/>
  <c r="G39" i="10"/>
  <c r="H39" i="10"/>
  <c r="C39" i="10"/>
  <c r="C38" i="10"/>
  <c r="C37" i="10"/>
  <c r="C36" i="10"/>
  <c r="D29" i="10"/>
  <c r="E29" i="10"/>
  <c r="F29" i="10"/>
  <c r="G29" i="10"/>
  <c r="H29" i="10"/>
  <c r="I29" i="10"/>
  <c r="J29" i="10"/>
  <c r="K29" i="10"/>
  <c r="L29" i="10"/>
  <c r="D30" i="10"/>
  <c r="E30" i="10"/>
  <c r="F30" i="10"/>
  <c r="G30" i="10"/>
  <c r="H30" i="10"/>
  <c r="I30" i="10"/>
  <c r="J30" i="10"/>
  <c r="K30" i="10"/>
  <c r="L30" i="10"/>
  <c r="D31" i="10"/>
  <c r="E31" i="10"/>
  <c r="F31" i="10"/>
  <c r="G31" i="10"/>
  <c r="H31" i="10"/>
  <c r="I31" i="10"/>
  <c r="J31" i="10"/>
  <c r="K31" i="10"/>
  <c r="L31" i="10"/>
  <c r="D32" i="10"/>
  <c r="E32" i="10"/>
  <c r="F32" i="10"/>
  <c r="G32" i="10"/>
  <c r="H32" i="10"/>
  <c r="I32" i="10"/>
  <c r="J32" i="10"/>
  <c r="K32" i="10"/>
  <c r="L32" i="10"/>
  <c r="D33" i="10"/>
  <c r="E33" i="10"/>
  <c r="F33" i="10"/>
  <c r="G33" i="10"/>
  <c r="H33" i="10"/>
  <c r="I33" i="10"/>
  <c r="J33" i="10"/>
  <c r="K33" i="10"/>
  <c r="L33" i="10"/>
  <c r="C33" i="10"/>
  <c r="C32" i="10"/>
  <c r="C30" i="10"/>
  <c r="C31" i="10"/>
  <c r="C29" i="10"/>
  <c r="D23" i="10"/>
  <c r="E23" i="10"/>
  <c r="F23" i="10"/>
  <c r="G23" i="10"/>
  <c r="H23" i="10"/>
  <c r="I23" i="10"/>
  <c r="J23" i="10"/>
  <c r="K23" i="10"/>
  <c r="L23" i="10"/>
  <c r="D24" i="10"/>
  <c r="E24" i="10"/>
  <c r="E26" i="10" s="1"/>
  <c r="F24" i="10"/>
  <c r="G24" i="10"/>
  <c r="H24" i="10"/>
  <c r="I24" i="10"/>
  <c r="J24" i="10"/>
  <c r="K24" i="10"/>
  <c r="D25" i="10"/>
  <c r="E25" i="10"/>
  <c r="F25" i="10"/>
  <c r="G25" i="10"/>
  <c r="H25" i="10"/>
  <c r="I25" i="10"/>
  <c r="I26" i="10" s="1"/>
  <c r="J25" i="10"/>
  <c r="J26" i="10" s="1"/>
  <c r="K25" i="10"/>
  <c r="K26" i="10" s="1"/>
  <c r="L25" i="10"/>
  <c r="D26" i="10"/>
  <c r="F26" i="10"/>
  <c r="G26" i="10"/>
  <c r="H26" i="10"/>
  <c r="D27" i="10"/>
  <c r="E27" i="10"/>
  <c r="F27" i="10"/>
  <c r="G27" i="10"/>
  <c r="H27" i="10"/>
  <c r="I27" i="10"/>
  <c r="J27" i="10"/>
  <c r="K27" i="10"/>
  <c r="L27" i="10"/>
  <c r="C27" i="10"/>
  <c r="D5" i="10"/>
  <c r="E5" i="10"/>
  <c r="F5" i="10"/>
  <c r="G5" i="10"/>
  <c r="H5" i="10"/>
  <c r="I5" i="10"/>
  <c r="J5" i="10"/>
  <c r="K5" i="10"/>
  <c r="L5" i="10"/>
  <c r="D6" i="10"/>
  <c r="E6" i="10"/>
  <c r="F6" i="10"/>
  <c r="G6" i="10"/>
  <c r="H6" i="10"/>
  <c r="I6" i="10"/>
  <c r="J6" i="10"/>
  <c r="K6" i="10"/>
  <c r="L6" i="10"/>
  <c r="D7" i="10"/>
  <c r="E7" i="10"/>
  <c r="F7" i="10"/>
  <c r="G7" i="10"/>
  <c r="H7" i="10"/>
  <c r="I7" i="10"/>
  <c r="J7" i="10"/>
  <c r="K7" i="10"/>
  <c r="L7" i="10"/>
  <c r="D8" i="10"/>
  <c r="E8" i="10"/>
  <c r="F8" i="10"/>
  <c r="G8" i="10"/>
  <c r="H8" i="10"/>
  <c r="I8" i="10"/>
  <c r="J8" i="10"/>
  <c r="K8" i="10"/>
  <c r="L8" i="10"/>
  <c r="D9" i="10"/>
  <c r="F9" i="10"/>
  <c r="G9" i="10"/>
  <c r="H9" i="10"/>
  <c r="I9" i="10"/>
  <c r="J9" i="10"/>
  <c r="K9" i="10"/>
  <c r="L9" i="10"/>
  <c r="C25" i="10"/>
  <c r="C23" i="10"/>
  <c r="D19" i="10"/>
  <c r="E19" i="10"/>
  <c r="F19" i="10"/>
  <c r="G19" i="10"/>
  <c r="H19" i="10"/>
  <c r="I19" i="10"/>
  <c r="J19" i="10"/>
  <c r="K19" i="10"/>
  <c r="L19" i="10"/>
  <c r="D20" i="10"/>
  <c r="E20" i="10"/>
  <c r="F20" i="10"/>
  <c r="G20" i="10"/>
  <c r="H20" i="10"/>
  <c r="I20" i="10"/>
  <c r="J20" i="10"/>
  <c r="K20" i="10"/>
  <c r="L20" i="10"/>
  <c r="D21" i="10"/>
  <c r="E21" i="10"/>
  <c r="F21" i="10"/>
  <c r="G21" i="10"/>
  <c r="H21" i="10"/>
  <c r="I21" i="10"/>
  <c r="J21" i="10"/>
  <c r="K21" i="10"/>
  <c r="L21" i="10"/>
  <c r="C21" i="10"/>
  <c r="C20" i="10"/>
  <c r="C19" i="10"/>
  <c r="N13" i="15" l="1"/>
  <c r="N12" i="15"/>
  <c r="N9" i="15"/>
  <c r="O9" i="15" s="1"/>
  <c r="N8" i="15"/>
  <c r="N16" i="15" s="1"/>
  <c r="N7" i="15"/>
  <c r="O7" i="15" s="1"/>
  <c r="N11" i="15"/>
  <c r="N6" i="15"/>
  <c r="N14" i="15" s="1"/>
  <c r="O14" i="15" s="1"/>
  <c r="N10" i="15"/>
  <c r="N5" i="15"/>
  <c r="O13" i="15"/>
  <c r="L15" i="15"/>
  <c r="O5" i="15"/>
  <c r="I9" i="15"/>
  <c r="J10" i="15" s="1"/>
  <c r="I12" i="15"/>
  <c r="I10" i="15"/>
  <c r="I8" i="15"/>
  <c r="I7" i="15"/>
  <c r="I11" i="15"/>
  <c r="J11" i="15" s="1"/>
  <c r="I6" i="15"/>
  <c r="I5" i="15"/>
  <c r="I13" i="15"/>
  <c r="G15" i="15"/>
  <c r="D4" i="15"/>
  <c r="D6" i="15"/>
  <c r="D13" i="15"/>
  <c r="D12" i="15"/>
  <c r="D11" i="15"/>
  <c r="D10" i="15"/>
  <c r="D7" i="15"/>
  <c r="D5" i="15"/>
  <c r="D9" i="15"/>
  <c r="B2" i="10"/>
  <c r="B2" i="3"/>
  <c r="O8" i="15" l="1"/>
  <c r="N18" i="15"/>
  <c r="N17" i="15"/>
  <c r="O10" i="15"/>
  <c r="N15" i="15"/>
  <c r="O15" i="15" s="1"/>
  <c r="J13" i="15"/>
  <c r="O11" i="15"/>
  <c r="L16" i="15"/>
  <c r="O6" i="15"/>
  <c r="O12" i="15"/>
  <c r="J7" i="15"/>
  <c r="J12" i="15"/>
  <c r="I14" i="15"/>
  <c r="J14" i="15" s="1"/>
  <c r="I17" i="15"/>
  <c r="I16" i="15"/>
  <c r="I15" i="15"/>
  <c r="J5" i="15"/>
  <c r="I18" i="15"/>
  <c r="J8" i="15"/>
  <c r="J6" i="15"/>
  <c r="J9" i="15"/>
  <c r="G16" i="15"/>
  <c r="L3" i="10"/>
  <c r="K3" i="10"/>
  <c r="J3" i="10"/>
  <c r="I3" i="10"/>
  <c r="H3" i="10"/>
  <c r="G3" i="10"/>
  <c r="F3" i="10"/>
  <c r="E3" i="10"/>
  <c r="D3" i="10"/>
  <c r="C3" i="10"/>
  <c r="J15" i="15" l="1"/>
  <c r="L17" i="15"/>
  <c r="O16" i="15"/>
  <c r="G17" i="15"/>
  <c r="J16" i="15"/>
  <c r="D106" i="3"/>
  <c r="E106" i="3"/>
  <c r="F106" i="3"/>
  <c r="G106" i="3"/>
  <c r="H106" i="3"/>
  <c r="I106" i="3"/>
  <c r="J106" i="3"/>
  <c r="K106" i="3"/>
  <c r="L106" i="3"/>
  <c r="D104" i="3"/>
  <c r="E104" i="3"/>
  <c r="F104" i="3"/>
  <c r="G104" i="3"/>
  <c r="H104" i="3"/>
  <c r="I104" i="3"/>
  <c r="J104" i="3"/>
  <c r="K104" i="3"/>
  <c r="L104" i="3"/>
  <c r="C104" i="3"/>
  <c r="D96" i="3"/>
  <c r="E96" i="3"/>
  <c r="F96" i="3"/>
  <c r="G96" i="3"/>
  <c r="H96" i="3"/>
  <c r="I96" i="3"/>
  <c r="J96" i="3"/>
  <c r="K96" i="3"/>
  <c r="L96" i="3"/>
  <c r="D97" i="3"/>
  <c r="E97" i="3"/>
  <c r="F97" i="3"/>
  <c r="G97" i="3"/>
  <c r="H97" i="3"/>
  <c r="I97" i="3"/>
  <c r="J97" i="3"/>
  <c r="K97" i="3"/>
  <c r="L97" i="3"/>
  <c r="D98" i="3"/>
  <c r="E98" i="3"/>
  <c r="F98" i="3"/>
  <c r="G98" i="3"/>
  <c r="H98" i="3"/>
  <c r="I98" i="3"/>
  <c r="J98" i="3"/>
  <c r="K98" i="3"/>
  <c r="L98" i="3"/>
  <c r="D99" i="3"/>
  <c r="E99" i="3"/>
  <c r="F99" i="3"/>
  <c r="G99" i="3"/>
  <c r="H99" i="3"/>
  <c r="I99" i="3"/>
  <c r="J99" i="3"/>
  <c r="K99" i="3"/>
  <c r="L99" i="3"/>
  <c r="D100" i="3"/>
  <c r="E100" i="3"/>
  <c r="F100" i="3"/>
  <c r="G100" i="3"/>
  <c r="H100" i="3"/>
  <c r="I100" i="3"/>
  <c r="J100" i="3"/>
  <c r="K100" i="3"/>
  <c r="L100" i="3"/>
  <c r="D101" i="3"/>
  <c r="E101" i="3"/>
  <c r="F101" i="3"/>
  <c r="G101" i="3"/>
  <c r="H101" i="3"/>
  <c r="I101" i="3"/>
  <c r="J101" i="3"/>
  <c r="K101" i="3"/>
  <c r="L101" i="3"/>
  <c r="D102" i="3"/>
  <c r="E102" i="3"/>
  <c r="F102" i="3"/>
  <c r="G102" i="3"/>
  <c r="H102" i="3"/>
  <c r="I102" i="3"/>
  <c r="J102" i="3"/>
  <c r="K102" i="3"/>
  <c r="L102" i="3"/>
  <c r="D103" i="3"/>
  <c r="E103" i="3"/>
  <c r="F103" i="3"/>
  <c r="G103" i="3"/>
  <c r="H103" i="3"/>
  <c r="I103" i="3"/>
  <c r="J103" i="3"/>
  <c r="K103" i="3"/>
  <c r="L103" i="3"/>
  <c r="C96" i="3"/>
  <c r="C97" i="3"/>
  <c r="C98" i="3"/>
  <c r="C99" i="3"/>
  <c r="C100" i="3"/>
  <c r="C101" i="3"/>
  <c r="C102" i="3"/>
  <c r="C103" i="3"/>
  <c r="D95" i="3"/>
  <c r="E95" i="3"/>
  <c r="F95" i="3"/>
  <c r="G95" i="3"/>
  <c r="H95" i="3"/>
  <c r="I95" i="3"/>
  <c r="J95" i="3"/>
  <c r="K95" i="3"/>
  <c r="L95" i="3"/>
  <c r="C95" i="3"/>
  <c r="D92" i="3"/>
  <c r="E92" i="3"/>
  <c r="F92" i="3"/>
  <c r="G92" i="3"/>
  <c r="H92" i="3"/>
  <c r="I92" i="3"/>
  <c r="J92" i="3"/>
  <c r="K92" i="3"/>
  <c r="L92" i="3"/>
  <c r="C92" i="3"/>
  <c r="D80" i="3"/>
  <c r="E80" i="3"/>
  <c r="F80" i="3"/>
  <c r="G80" i="3"/>
  <c r="H80" i="3"/>
  <c r="I80" i="3"/>
  <c r="J80" i="3"/>
  <c r="K80" i="3"/>
  <c r="L80" i="3"/>
  <c r="D81" i="3"/>
  <c r="E81" i="3"/>
  <c r="F81" i="3"/>
  <c r="G81" i="3"/>
  <c r="H81" i="3"/>
  <c r="I81" i="3"/>
  <c r="J81" i="3"/>
  <c r="K81" i="3"/>
  <c r="L81" i="3"/>
  <c r="D82" i="3"/>
  <c r="E82" i="3"/>
  <c r="F82" i="3"/>
  <c r="G82" i="3"/>
  <c r="H82" i="3"/>
  <c r="I82" i="3"/>
  <c r="J82" i="3"/>
  <c r="K82" i="3"/>
  <c r="L82" i="3"/>
  <c r="D83" i="3"/>
  <c r="E83" i="3"/>
  <c r="F83" i="3"/>
  <c r="G83" i="3"/>
  <c r="H83" i="3"/>
  <c r="I83" i="3"/>
  <c r="J83" i="3"/>
  <c r="K83" i="3"/>
  <c r="L83" i="3"/>
  <c r="D84" i="3"/>
  <c r="E84" i="3"/>
  <c r="F84" i="3"/>
  <c r="G84" i="3"/>
  <c r="H84" i="3"/>
  <c r="I84" i="3"/>
  <c r="J84" i="3"/>
  <c r="K84" i="3"/>
  <c r="L84" i="3"/>
  <c r="D85" i="3"/>
  <c r="E85" i="3"/>
  <c r="F85" i="3"/>
  <c r="G85" i="3"/>
  <c r="H85" i="3"/>
  <c r="I85" i="3"/>
  <c r="J85" i="3"/>
  <c r="K85" i="3"/>
  <c r="L85" i="3"/>
  <c r="D86" i="3"/>
  <c r="E86" i="3"/>
  <c r="F86" i="3"/>
  <c r="G86" i="3"/>
  <c r="H86" i="3"/>
  <c r="I86" i="3"/>
  <c r="J86" i="3"/>
  <c r="K86" i="3"/>
  <c r="L86" i="3"/>
  <c r="D87" i="3"/>
  <c r="E87" i="3"/>
  <c r="F87" i="3"/>
  <c r="G87" i="3"/>
  <c r="H87" i="3"/>
  <c r="I87" i="3"/>
  <c r="J87" i="3"/>
  <c r="K87" i="3"/>
  <c r="L87" i="3"/>
  <c r="D88" i="3"/>
  <c r="E88" i="3"/>
  <c r="F88" i="3"/>
  <c r="G88" i="3"/>
  <c r="H88" i="3"/>
  <c r="I88" i="3"/>
  <c r="J88" i="3"/>
  <c r="K88" i="3"/>
  <c r="L88" i="3"/>
  <c r="D89" i="3"/>
  <c r="E89" i="3"/>
  <c r="F89" i="3"/>
  <c r="G89" i="3"/>
  <c r="H89" i="3"/>
  <c r="I89" i="3"/>
  <c r="J89" i="3"/>
  <c r="K89" i="3"/>
  <c r="L89" i="3"/>
  <c r="D90" i="3"/>
  <c r="E90" i="3"/>
  <c r="F90" i="3"/>
  <c r="G90" i="3"/>
  <c r="H90" i="3"/>
  <c r="I90" i="3"/>
  <c r="J90" i="3"/>
  <c r="K90" i="3"/>
  <c r="L90" i="3"/>
  <c r="D91" i="3"/>
  <c r="E91" i="3"/>
  <c r="F91" i="3"/>
  <c r="G91" i="3"/>
  <c r="H91" i="3"/>
  <c r="I91" i="3"/>
  <c r="J91" i="3"/>
  <c r="K91" i="3"/>
  <c r="L91" i="3"/>
  <c r="C81" i="3"/>
  <c r="C82" i="3"/>
  <c r="C83" i="3"/>
  <c r="C84" i="3"/>
  <c r="C85" i="3"/>
  <c r="C86" i="3"/>
  <c r="C87" i="3"/>
  <c r="C88" i="3"/>
  <c r="C89" i="3"/>
  <c r="C90" i="3"/>
  <c r="C91" i="3"/>
  <c r="C80" i="3"/>
  <c r="D77" i="3"/>
  <c r="E77" i="3"/>
  <c r="F77" i="3"/>
  <c r="G77" i="3"/>
  <c r="H77" i="3"/>
  <c r="I77" i="3"/>
  <c r="J77" i="3"/>
  <c r="K77" i="3"/>
  <c r="L77" i="3"/>
  <c r="C77" i="3"/>
  <c r="D71" i="3"/>
  <c r="E71" i="3"/>
  <c r="F71" i="3"/>
  <c r="G71" i="3"/>
  <c r="H71" i="3"/>
  <c r="I71" i="3"/>
  <c r="J71" i="3"/>
  <c r="K71" i="3"/>
  <c r="L71" i="3"/>
  <c r="D72" i="3"/>
  <c r="E72" i="3"/>
  <c r="F72" i="3"/>
  <c r="G72" i="3"/>
  <c r="H72" i="3"/>
  <c r="I72" i="3"/>
  <c r="J72" i="3"/>
  <c r="K72" i="3"/>
  <c r="L72" i="3"/>
  <c r="D73" i="3"/>
  <c r="E73" i="3"/>
  <c r="F73" i="3"/>
  <c r="G73" i="3"/>
  <c r="H73" i="3"/>
  <c r="I73" i="3"/>
  <c r="J73" i="3"/>
  <c r="K73" i="3"/>
  <c r="L73" i="3"/>
  <c r="D74" i="3"/>
  <c r="E74" i="3"/>
  <c r="F74" i="3"/>
  <c r="G74" i="3"/>
  <c r="H74" i="3"/>
  <c r="I74" i="3"/>
  <c r="J74" i="3"/>
  <c r="K74" i="3"/>
  <c r="L74" i="3"/>
  <c r="D75" i="3"/>
  <c r="E75" i="3"/>
  <c r="F75" i="3"/>
  <c r="G75" i="3"/>
  <c r="H75" i="3"/>
  <c r="I75" i="3"/>
  <c r="J75" i="3"/>
  <c r="K75" i="3"/>
  <c r="L75" i="3"/>
  <c r="D76" i="3"/>
  <c r="E76" i="3"/>
  <c r="F76" i="3"/>
  <c r="G76" i="3"/>
  <c r="H76" i="3"/>
  <c r="I76" i="3"/>
  <c r="J76" i="3"/>
  <c r="K76" i="3"/>
  <c r="L76" i="3"/>
  <c r="D70" i="3"/>
  <c r="E70" i="3"/>
  <c r="F70" i="3"/>
  <c r="G70" i="3"/>
  <c r="H70" i="3"/>
  <c r="I70" i="3"/>
  <c r="J70" i="3"/>
  <c r="K70" i="3"/>
  <c r="L70" i="3"/>
  <c r="C70" i="3"/>
  <c r="C71" i="3"/>
  <c r="C72" i="3"/>
  <c r="C73" i="3"/>
  <c r="C74" i="3"/>
  <c r="C75" i="3"/>
  <c r="C76" i="3"/>
  <c r="D69" i="3"/>
  <c r="E69" i="3"/>
  <c r="F69" i="3"/>
  <c r="G69" i="3"/>
  <c r="H69" i="3"/>
  <c r="I69" i="3"/>
  <c r="J69" i="3"/>
  <c r="K69" i="3"/>
  <c r="L69" i="3"/>
  <c r="C69" i="3"/>
  <c r="D65" i="3"/>
  <c r="E65" i="3"/>
  <c r="F65" i="3"/>
  <c r="G65" i="3"/>
  <c r="H65" i="3"/>
  <c r="I65" i="3"/>
  <c r="J65" i="3"/>
  <c r="K65" i="3"/>
  <c r="L65" i="3"/>
  <c r="C65" i="3"/>
  <c r="D56" i="3"/>
  <c r="E56" i="3"/>
  <c r="F56" i="3"/>
  <c r="G56" i="3"/>
  <c r="H56" i="3"/>
  <c r="I56" i="3"/>
  <c r="J56" i="3"/>
  <c r="K56" i="3"/>
  <c r="L56" i="3"/>
  <c r="C56" i="3"/>
  <c r="D55" i="3"/>
  <c r="E55" i="3"/>
  <c r="F55" i="3"/>
  <c r="G55" i="3"/>
  <c r="H55" i="3"/>
  <c r="I55" i="3"/>
  <c r="J55" i="3"/>
  <c r="K55" i="3"/>
  <c r="L55" i="3"/>
  <c r="C55" i="3"/>
  <c r="D63" i="3"/>
  <c r="E63" i="3"/>
  <c r="F63" i="3"/>
  <c r="G63" i="3"/>
  <c r="H63" i="3"/>
  <c r="I63" i="3"/>
  <c r="J63" i="3"/>
  <c r="K63" i="3"/>
  <c r="L63" i="3"/>
  <c r="C63" i="3"/>
  <c r="D61" i="3"/>
  <c r="E61" i="3"/>
  <c r="F61" i="3"/>
  <c r="G61" i="3"/>
  <c r="H61" i="3"/>
  <c r="I61" i="3"/>
  <c r="J61" i="3"/>
  <c r="K61" i="3"/>
  <c r="L61" i="3"/>
  <c r="C61" i="3"/>
  <c r="D58" i="3"/>
  <c r="E58" i="3"/>
  <c r="F58" i="3"/>
  <c r="G58" i="3"/>
  <c r="H58" i="3"/>
  <c r="I58" i="3"/>
  <c r="J58" i="3"/>
  <c r="K58" i="3"/>
  <c r="L58" i="3"/>
  <c r="D59" i="3"/>
  <c r="E59" i="3"/>
  <c r="F59" i="3"/>
  <c r="G59" i="3"/>
  <c r="H59" i="3"/>
  <c r="I59" i="3"/>
  <c r="J59" i="3"/>
  <c r="K59" i="3"/>
  <c r="L59" i="3"/>
  <c r="D60" i="3"/>
  <c r="E60" i="3"/>
  <c r="F60" i="3"/>
  <c r="G60" i="3"/>
  <c r="H60" i="3"/>
  <c r="I60" i="3"/>
  <c r="J60" i="3"/>
  <c r="K60" i="3"/>
  <c r="L60" i="3"/>
  <c r="C59" i="3"/>
  <c r="C60" i="3"/>
  <c r="C58" i="3"/>
  <c r="D53" i="3"/>
  <c r="E53" i="3"/>
  <c r="F53" i="3"/>
  <c r="G53" i="3"/>
  <c r="H53" i="3"/>
  <c r="I53" i="3"/>
  <c r="J53" i="3"/>
  <c r="K53" i="3"/>
  <c r="L53" i="3"/>
  <c r="D54" i="3"/>
  <c r="E54" i="3"/>
  <c r="F54" i="3"/>
  <c r="G54" i="3"/>
  <c r="H54" i="3"/>
  <c r="I54" i="3"/>
  <c r="J54" i="3"/>
  <c r="K54" i="3"/>
  <c r="L54" i="3"/>
  <c r="C53" i="3"/>
  <c r="C54" i="3"/>
  <c r="D52" i="3"/>
  <c r="E52" i="3"/>
  <c r="F52" i="3"/>
  <c r="G52" i="3"/>
  <c r="H52" i="3"/>
  <c r="I52" i="3"/>
  <c r="J52" i="3"/>
  <c r="K52" i="3"/>
  <c r="L52" i="3"/>
  <c r="C52" i="3"/>
  <c r="D49" i="3"/>
  <c r="E49" i="3"/>
  <c r="F49" i="3"/>
  <c r="G49" i="3"/>
  <c r="H49" i="3"/>
  <c r="I49" i="3"/>
  <c r="J49" i="3"/>
  <c r="K49" i="3"/>
  <c r="L49" i="3"/>
  <c r="D50" i="3"/>
  <c r="E50" i="3"/>
  <c r="F50" i="3"/>
  <c r="G50" i="3"/>
  <c r="H50" i="3"/>
  <c r="I50" i="3"/>
  <c r="J50" i="3"/>
  <c r="K50" i="3"/>
  <c r="L50" i="3"/>
  <c r="C49" i="3"/>
  <c r="C50" i="3"/>
  <c r="D46" i="3"/>
  <c r="E46" i="3"/>
  <c r="F46" i="3"/>
  <c r="G46" i="3"/>
  <c r="H46" i="3"/>
  <c r="I46" i="3"/>
  <c r="J46" i="3"/>
  <c r="K46" i="3"/>
  <c r="L46" i="3"/>
  <c r="D47" i="3"/>
  <c r="E47" i="3"/>
  <c r="F47" i="3"/>
  <c r="G47" i="3"/>
  <c r="H47" i="3"/>
  <c r="I47" i="3"/>
  <c r="J47" i="3"/>
  <c r="K47" i="3"/>
  <c r="L47" i="3"/>
  <c r="D48" i="3"/>
  <c r="E48" i="3"/>
  <c r="F48" i="3"/>
  <c r="G48" i="3"/>
  <c r="H48" i="3"/>
  <c r="I48" i="3"/>
  <c r="J48" i="3"/>
  <c r="K48" i="3"/>
  <c r="L48" i="3"/>
  <c r="C47" i="3"/>
  <c r="C48" i="3"/>
  <c r="C46" i="3"/>
  <c r="M42" i="3"/>
  <c r="M40" i="3"/>
  <c r="D39" i="3"/>
  <c r="E39" i="3"/>
  <c r="F39" i="3"/>
  <c r="G39" i="3"/>
  <c r="H39" i="3"/>
  <c r="I39" i="3"/>
  <c r="J39" i="3"/>
  <c r="K39" i="3"/>
  <c r="L39" i="3"/>
  <c r="M39" i="3"/>
  <c r="M36" i="3"/>
  <c r="M34" i="3"/>
  <c r="D34" i="3"/>
  <c r="E34" i="3"/>
  <c r="F34" i="3"/>
  <c r="G34" i="3"/>
  <c r="H34" i="3"/>
  <c r="I34" i="3"/>
  <c r="J34" i="3"/>
  <c r="K34" i="3"/>
  <c r="L34" i="3"/>
  <c r="C34" i="3"/>
  <c r="M32" i="3"/>
  <c r="M31" i="3"/>
  <c r="M29" i="3"/>
  <c r="M22" i="3"/>
  <c r="M23" i="3" s="1"/>
  <c r="M19" i="3"/>
  <c r="M13" i="3"/>
  <c r="M28" i="3"/>
  <c r="I25" i="3"/>
  <c r="D28" i="3"/>
  <c r="E28" i="3"/>
  <c r="F28" i="3"/>
  <c r="G28" i="3"/>
  <c r="H28" i="3"/>
  <c r="I28" i="3"/>
  <c r="J28" i="3"/>
  <c r="K28" i="3"/>
  <c r="L28" i="3"/>
  <c r="C28" i="3"/>
  <c r="E12" i="3"/>
  <c r="E12" i="10" s="1"/>
  <c r="F12" i="3"/>
  <c r="F12" i="10" s="1"/>
  <c r="G12" i="3"/>
  <c r="G12" i="10" s="1"/>
  <c r="H12" i="3"/>
  <c r="H12" i="10" s="1"/>
  <c r="I12" i="3"/>
  <c r="I12" i="10" s="1"/>
  <c r="J12" i="3"/>
  <c r="J12" i="10" s="1"/>
  <c r="K12" i="3"/>
  <c r="K12" i="10" s="1"/>
  <c r="D23" i="3"/>
  <c r="E23" i="3"/>
  <c r="F23" i="3"/>
  <c r="G23" i="3"/>
  <c r="H23" i="3"/>
  <c r="I23" i="3"/>
  <c r="J23" i="3"/>
  <c r="K23" i="3"/>
  <c r="L23" i="3"/>
  <c r="C23" i="3"/>
  <c r="D22" i="3"/>
  <c r="E22" i="3"/>
  <c r="F22" i="3"/>
  <c r="G22" i="3"/>
  <c r="H22" i="3"/>
  <c r="I22" i="3"/>
  <c r="J22" i="3"/>
  <c r="K22" i="3"/>
  <c r="L22" i="3"/>
  <c r="C22" i="3"/>
  <c r="D20" i="3"/>
  <c r="E20" i="3"/>
  <c r="F20" i="3"/>
  <c r="G20" i="3"/>
  <c r="H20" i="3"/>
  <c r="I20" i="3"/>
  <c r="J20" i="3"/>
  <c r="K20" i="3"/>
  <c r="L20" i="3"/>
  <c r="C20" i="3"/>
  <c r="D19" i="3"/>
  <c r="E19" i="3"/>
  <c r="F19" i="3"/>
  <c r="G19" i="3"/>
  <c r="H19" i="3"/>
  <c r="I19" i="3"/>
  <c r="J19" i="3"/>
  <c r="K19" i="3"/>
  <c r="L19" i="3"/>
  <c r="C19" i="3"/>
  <c r="M17" i="3"/>
  <c r="M16" i="3"/>
  <c r="I16" i="3"/>
  <c r="M14" i="3"/>
  <c r="D14" i="3"/>
  <c r="E14" i="3"/>
  <c r="F14" i="3"/>
  <c r="G14" i="3"/>
  <c r="H14" i="3"/>
  <c r="I14" i="3"/>
  <c r="J14" i="3"/>
  <c r="K14" i="3"/>
  <c r="L14" i="3"/>
  <c r="C14" i="3"/>
  <c r="D13" i="3"/>
  <c r="E13" i="3"/>
  <c r="F13" i="3"/>
  <c r="G13" i="3"/>
  <c r="H13" i="3"/>
  <c r="I13" i="3"/>
  <c r="J13" i="3"/>
  <c r="K13" i="3"/>
  <c r="L13" i="3"/>
  <c r="C13" i="3"/>
  <c r="M8" i="3"/>
  <c r="D11" i="3"/>
  <c r="D16" i="3" s="1"/>
  <c r="E11" i="3"/>
  <c r="E16" i="3" s="1"/>
  <c r="F11" i="3"/>
  <c r="F16" i="3" s="1"/>
  <c r="G11" i="3"/>
  <c r="G16" i="3" s="1"/>
  <c r="H11" i="3"/>
  <c r="H16" i="3" s="1"/>
  <c r="I11" i="3"/>
  <c r="J11" i="3"/>
  <c r="J16" i="3" s="1"/>
  <c r="K11" i="3"/>
  <c r="K16" i="3" s="1"/>
  <c r="L11" i="3"/>
  <c r="L12" i="3" s="1"/>
  <c r="L12" i="10" s="1"/>
  <c r="M11" i="3"/>
  <c r="M12" i="3" s="1"/>
  <c r="C11" i="3"/>
  <c r="C16" i="3" s="1"/>
  <c r="D9" i="3"/>
  <c r="E9" i="3"/>
  <c r="F9" i="3"/>
  <c r="G9" i="3"/>
  <c r="H9" i="3"/>
  <c r="I9" i="3"/>
  <c r="J9" i="3"/>
  <c r="K9" i="3"/>
  <c r="L9" i="3"/>
  <c r="M9" i="3"/>
  <c r="C9" i="3"/>
  <c r="D8" i="3"/>
  <c r="E8" i="3"/>
  <c r="F8" i="3"/>
  <c r="G8" i="3"/>
  <c r="H8" i="3"/>
  <c r="I8" i="3"/>
  <c r="J8" i="3"/>
  <c r="K8" i="3"/>
  <c r="L8" i="3"/>
  <c r="C8" i="3"/>
  <c r="D6" i="3"/>
  <c r="E6" i="3"/>
  <c r="F6" i="3"/>
  <c r="G6" i="3"/>
  <c r="H6" i="3"/>
  <c r="I6" i="3"/>
  <c r="J6" i="3"/>
  <c r="K6" i="3"/>
  <c r="L6" i="3"/>
  <c r="M6" i="3"/>
  <c r="M5" i="3"/>
  <c r="D5" i="3"/>
  <c r="E5" i="3"/>
  <c r="F5" i="3"/>
  <c r="G5" i="3"/>
  <c r="H5" i="3"/>
  <c r="I5" i="3"/>
  <c r="J5" i="3"/>
  <c r="K5" i="3"/>
  <c r="L5" i="3"/>
  <c r="C5" i="3"/>
  <c r="B6" i="1"/>
  <c r="E1" i="1"/>
  <c r="L18" i="15" l="1"/>
  <c r="O17" i="15"/>
  <c r="J17" i="15"/>
  <c r="G18" i="15"/>
  <c r="J18" i="15" s="1"/>
  <c r="G14" i="10"/>
  <c r="G17" i="3"/>
  <c r="G13" i="10" s="1"/>
  <c r="G25" i="3"/>
  <c r="J14" i="10"/>
  <c r="J25" i="3"/>
  <c r="J17" i="3"/>
  <c r="J13" i="10" s="1"/>
  <c r="F14" i="10"/>
  <c r="F17" i="3"/>
  <c r="F13" i="10" s="1"/>
  <c r="F25" i="3"/>
  <c r="E14" i="10"/>
  <c r="E25" i="3"/>
  <c r="E17" i="3"/>
  <c r="E13" i="10" s="1"/>
  <c r="D14" i="10"/>
  <c r="D25" i="3"/>
  <c r="D17" i="3"/>
  <c r="D13" i="10" s="1"/>
  <c r="C14" i="10"/>
  <c r="C17" i="3"/>
  <c r="C13" i="10" s="1"/>
  <c r="C25" i="3"/>
  <c r="K14" i="10"/>
  <c r="K25" i="3"/>
  <c r="K17" i="3"/>
  <c r="K13" i="10" s="1"/>
  <c r="H14" i="10"/>
  <c r="H25" i="3"/>
  <c r="H17" i="3"/>
  <c r="H13" i="10" s="1"/>
  <c r="D12" i="3"/>
  <c r="D12" i="10" s="1"/>
  <c r="L16" i="3"/>
  <c r="I14" i="10"/>
  <c r="I31" i="3"/>
  <c r="C12" i="3"/>
  <c r="C12" i="10" s="1"/>
  <c r="I26" i="3"/>
  <c r="I15" i="10" s="1"/>
  <c r="I17" i="3"/>
  <c r="I13" i="10" s="1"/>
  <c r="I29" i="3"/>
  <c r="M25" i="3"/>
  <c r="M26" i="3" s="1"/>
  <c r="M20" i="3"/>
  <c r="O18" i="15" l="1"/>
  <c r="E31" i="3"/>
  <c r="E29" i="3"/>
  <c r="E26" i="3"/>
  <c r="E15" i="10" s="1"/>
  <c r="G26" i="3"/>
  <c r="G15" i="10" s="1"/>
  <c r="G31" i="3"/>
  <c r="G29" i="3"/>
  <c r="F31" i="3"/>
  <c r="F26" i="3"/>
  <c r="F15" i="10" s="1"/>
  <c r="F29" i="3"/>
  <c r="C29" i="3"/>
  <c r="C26" i="3"/>
  <c r="C15" i="10" s="1"/>
  <c r="C31" i="3"/>
  <c r="I36" i="3"/>
  <c r="I32" i="3"/>
  <c r="I16" i="10" s="1"/>
  <c r="D31" i="3"/>
  <c r="D26" i="3"/>
  <c r="D15" i="10" s="1"/>
  <c r="D29" i="3"/>
  <c r="H31" i="3"/>
  <c r="H26" i="3"/>
  <c r="H15" i="10" s="1"/>
  <c r="H29" i="3"/>
  <c r="K29" i="3"/>
  <c r="K26" i="3"/>
  <c r="K15" i="10" s="1"/>
  <c r="K31" i="3"/>
  <c r="L14" i="10"/>
  <c r="L25" i="3"/>
  <c r="L17" i="3"/>
  <c r="L13" i="10" s="1"/>
  <c r="J26" i="3"/>
  <c r="J15" i="10" s="1"/>
  <c r="J29" i="3"/>
  <c r="J31" i="3"/>
  <c r="H36" i="3" l="1"/>
  <c r="H32" i="3"/>
  <c r="H16" i="10" s="1"/>
  <c r="J32" i="3"/>
  <c r="J16" i="10" s="1"/>
  <c r="J36" i="3"/>
  <c r="G36" i="3"/>
  <c r="G32" i="3"/>
  <c r="G16" i="10" s="1"/>
  <c r="D32" i="3"/>
  <c r="D16" i="10" s="1"/>
  <c r="D36" i="3"/>
  <c r="C32" i="3"/>
  <c r="C16" i="10" s="1"/>
  <c r="F36" i="3"/>
  <c r="F32" i="3"/>
  <c r="F16" i="10" s="1"/>
  <c r="K32" i="3"/>
  <c r="K16" i="10" s="1"/>
  <c r="K36" i="3"/>
  <c r="L29" i="3"/>
  <c r="L26" i="3"/>
  <c r="L15" i="10" s="1"/>
  <c r="L31" i="3"/>
  <c r="E36" i="3"/>
  <c r="E32" i="3"/>
  <c r="E16" i="10" s="1"/>
  <c r="I40" i="3"/>
  <c r="I37" i="3"/>
  <c r="I42" i="3"/>
  <c r="E40" i="3" l="1"/>
  <c r="E37" i="3"/>
  <c r="L32" i="3"/>
  <c r="L16" i="10" s="1"/>
  <c r="K37" i="3"/>
  <c r="K40" i="3"/>
  <c r="K42" i="3"/>
  <c r="D37" i="3"/>
  <c r="D40" i="3"/>
  <c r="D42" i="3" s="1"/>
  <c r="H40" i="3"/>
  <c r="H37" i="3"/>
  <c r="H42" i="3"/>
  <c r="F40" i="3"/>
  <c r="F37" i="3"/>
  <c r="F42" i="3"/>
  <c r="C40" i="3"/>
  <c r="C42" i="3" s="1"/>
  <c r="C24" i="10" s="1"/>
  <c r="G37" i="3"/>
  <c r="G40" i="3"/>
  <c r="G42" i="3"/>
  <c r="J37" i="3"/>
  <c r="J40" i="3"/>
  <c r="J42" i="3"/>
  <c r="O24" i="10" l="1"/>
  <c r="L37" i="3"/>
  <c r="M37" i="3"/>
  <c r="L40" i="3"/>
  <c r="L42" i="3"/>
  <c r="L24" i="10" s="1"/>
  <c r="L26" i="10" s="1"/>
  <c r="N24" i="10" l="1"/>
  <c r="O26" i="10"/>
  <c r="N26" i="10"/>
</calcChain>
</file>

<file path=xl/sharedStrings.xml><?xml version="1.0" encoding="utf-8"?>
<sst xmlns="http://schemas.openxmlformats.org/spreadsheetml/2006/main" count="248" uniqueCount="175">
  <si>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</si>
  <si>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</si>
  <si>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</si>
  <si>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</si>
  <si>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</si>
  <si>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</si>
  <si>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</si>
  <si>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</si>
  <si>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</si>
  <si>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</si>
  <si>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</si>
  <si>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</si>
  <si>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</si>
  <si>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</si>
  <si>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</si>
  <si>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</si>
  <si>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</si>
  <si>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</si>
  <si>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</si>
  <si>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</si>
  <si>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</si>
  <si>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</si>
  <si>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</si>
  <si>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</si>
  <si>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</si>
  <si>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</si>
  <si>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</si>
  <si>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</si>
  <si>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</si>
  <si>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</si>
  <si>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</si>
  <si>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</si>
  <si>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</si>
  <si>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</si>
  <si>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</si>
  <si>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</si>
  <si>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</si>
  <si>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</si>
  <si>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</si>
  <si>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</si>
  <si>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</si>
  <si>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</si>
  <si>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</si>
  <si>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</si>
  <si>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</si>
  <si>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</si>
  <si>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</si>
  <si>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</si>
  <si>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</si>
  <si>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</si>
  <si>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</si>
  <si>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</si>
  <si>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</si>
  <si>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</si>
  <si>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</si>
  <si>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</si>
  <si>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</si>
  <si>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</si>
  <si>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COGS</t>
  </si>
  <si>
    <t>COGS % Sales</t>
  </si>
  <si>
    <t>Gross Profit</t>
  </si>
  <si>
    <t>Selling &amp; General Expenses</t>
  </si>
  <si>
    <t>S&amp;G EXP % Sales</t>
  </si>
  <si>
    <t>EBITDA</t>
  </si>
  <si>
    <t>Effective Tax rate</t>
  </si>
  <si>
    <t>EBITDA Margins</t>
  </si>
  <si>
    <t xml:space="preserve">Interest </t>
  </si>
  <si>
    <t>Interest % Sales</t>
  </si>
  <si>
    <t xml:space="preserve">Depreciation </t>
  </si>
  <si>
    <t>Report Date       June-20</t>
  </si>
  <si>
    <t xml:space="preserve">Sales                       </t>
  </si>
  <si>
    <t>Depreciation % Sales</t>
  </si>
  <si>
    <t>Earning Before tax/Profit</t>
  </si>
  <si>
    <t>EBT % Sales</t>
  </si>
  <si>
    <t>Effective Tax Rate</t>
  </si>
  <si>
    <t xml:space="preserve">Net Profit </t>
  </si>
  <si>
    <t>Net Margins</t>
  </si>
  <si>
    <t>No of Equity shares</t>
  </si>
  <si>
    <t>Earning per share</t>
  </si>
  <si>
    <t>Dividend Per share</t>
  </si>
  <si>
    <t>EPS Growth%</t>
  </si>
  <si>
    <t>Dividend payout ratio</t>
  </si>
  <si>
    <t>Reatained Earnings</t>
  </si>
  <si>
    <t>Balance Sheet</t>
  </si>
  <si>
    <t>Total liabilities</t>
  </si>
  <si>
    <t>Fixed Assets Net block</t>
  </si>
  <si>
    <t>Total non current assets</t>
  </si>
  <si>
    <t>Total Current Assests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</si>
  <si>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</si>
  <si>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</si>
  <si>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</si>
  <si>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</si>
  <si>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</si>
  <si>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</si>
  <si>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</si>
  <si>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</si>
  <si>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</si>
  <si>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</si>
  <si>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</si>
  <si>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</si>
  <si>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</si>
  <si>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</si>
  <si>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</si>
  <si>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</si>
  <si>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</si>
  <si>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</si>
  <si>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</si>
  <si>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</si>
  <si>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</si>
  <si>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</si>
  <si>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</si>
  <si>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</si>
  <si>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</si>
  <si>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</si>
  <si>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</si>
  <si>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</si>
  <si>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</si>
  <si>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</si>
  <si>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</si>
  <si>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</si>
  <si>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</si>
  <si>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</si>
  <si>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</si>
  <si>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</si>
  <si>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</si>
  <si>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 xml:space="preserve">Financing Actvities </t>
  </si>
  <si>
    <t>Cash From Financing Activities</t>
  </si>
  <si>
    <t>Net cash Flow</t>
  </si>
  <si>
    <t>SalesGrowth</t>
  </si>
  <si>
    <t>EBITDA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</si>
  <si>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</si>
  <si>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</si>
  <si>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</si>
  <si>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</si>
  <si>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</si>
  <si>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</si>
  <si>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</si>
  <si>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</si>
  <si>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</si>
  <si>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</si>
  <si>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Retained Earnings%</t>
  </si>
  <si>
    <t>Return on Equity%</t>
  </si>
  <si>
    <t>Self Sustained Growth Rate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</si>
  <si>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</si>
  <si>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</si>
  <si>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</si>
  <si>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</si>
  <si>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</si>
  <si>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</si>
  <si>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</si>
  <si>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</si>
  <si>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</si>
  <si>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</si>
  <si>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</si>
  <si>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</si>
  <si>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Depreciation               5599.37</t>
  </si>
  <si>
    <t>Interest coverage ratio</t>
  </si>
  <si>
    <t>Mean</t>
  </si>
  <si>
    <t>Median</t>
  </si>
  <si>
    <t>Trends</t>
  </si>
  <si>
    <t>Year Weight</t>
  </si>
  <si>
    <t>Year</t>
  </si>
  <si>
    <t>(While entering in transpose click cntrl + Shift + enter)</t>
  </si>
  <si>
    <t>Particulars</t>
  </si>
  <si>
    <t>Total Liabilities</t>
  </si>
  <si>
    <t>Total Assets</t>
  </si>
  <si>
    <t xml:space="preserve">Total </t>
  </si>
  <si>
    <t>Total Asset</t>
  </si>
  <si>
    <t>Return on Capital Employed%</t>
  </si>
  <si>
    <t>ROCE % = Operating profit/Capital employed*100</t>
  </si>
  <si>
    <t>Operating profit is EBIT</t>
  </si>
  <si>
    <t>Ebit = Ebitda - depreciation( Depreciation line will come after selling and general expenses and then ebit will be calucalted )</t>
  </si>
  <si>
    <t>ROE%= Net Income /Shareholders Equity * 100</t>
  </si>
  <si>
    <t>EBT Growth</t>
  </si>
  <si>
    <t>With the present generated income how many times u can pay the intrest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</si>
</sst>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&quot;₹&quot;\ #,##0.0"/>
    <numFmt numFmtId="169" formatCode="&quot;₹&quot;\ #,##0.00;\(&quot;₹&quot;\ #,##0.00\);\-"/>
    <numFmt numFmtId="170" formatCode="0.00&quot;x&quot;"/>
    <numFmt numFmtId="171" formatCode="0\ &quot;days&quot;"/>
    <numFmt numFmtId="172" formatCode="#,##0.0"/>
    <numFmt numFmtId="175" formatCode="yyyy\ \'\A\'"/>
    <numFmt numFmtId="176" formatCode="yyyy&quot;A&quot;"/>
    <numFmt numFmtId="177" formatCode="yyyy&quot;E&quot;"/>
    <numFmt numFmtId="181" formatCode="0.000000000000000%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2" tint="-0.74999237037263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</font>
    <font>
      <sz val="11"/>
      <color theme="0" tint="-4.9989318521683403E-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5">
    <border>
      <left/>
      <right/>
      <top/>
      <bottom/>
      <diagonal/>
    </border>
    <border>
      <left/>
      <right/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otted">
        <color theme="4" tint="-0.499984740745262"/>
      </left>
      <right/>
      <top style="dotted">
        <color theme="4" tint="-0.499984740745262"/>
      </top>
      <bottom/>
      <diagonal/>
    </border>
    <border>
      <left/>
      <right/>
      <top style="dotted">
        <color theme="4" tint="-0.499984740745262"/>
      </top>
      <bottom/>
      <diagonal/>
    </border>
    <border>
      <left/>
      <right style="dotted">
        <color theme="4" tint="-0.499984740745262"/>
      </right>
      <top style="dotted">
        <color theme="4" tint="-0.499984740745262"/>
      </top>
      <bottom/>
      <diagonal/>
    </border>
    <border>
      <left style="dotted">
        <color theme="4" tint="-0.499984740745262"/>
      </left>
      <right/>
      <top/>
      <bottom/>
      <diagonal/>
    </border>
    <border>
      <left/>
      <right style="dotted">
        <color theme="4" tint="-0.499984740745262"/>
      </right>
      <top/>
      <bottom/>
      <diagonal/>
    </border>
    <border>
      <left style="dotted">
        <color theme="4" tint="-0.499984740745262"/>
      </left>
      <right/>
      <top/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 style="dotted">
        <color theme="4" tint="-0.499984740745262"/>
      </right>
      <top/>
      <bottom style="dotted">
        <color theme="4" tint="-0.499984740745262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55">
    <xf numFmtId="0" fontId="0" fillId="0" borderId="0" xfId="0"/>
    <xf numFmtId="43" fontId="5" fillId="0" borderId="0" xfId="1" applyFont="1" applyBorder="1"/>
    <xf numFmtId="43" fontId="0" fillId="0" borderId="0" xfId="1" applyFont="1" applyBorder="1"/>
    <xf numFmtId="164" fontId="6" fillId="3" borderId="0" xfId="1" applyNumberFormat="1" applyFont="1" applyFill="1" applyBorder="1"/>
    <xf numFmtId="164" fontId="6" fillId="3" borderId="0" xfId="0" applyNumberFormat="1" applyFont="1" applyFill="1" applyAlignment="1">
      <alignment horizontal="center"/>
    </xf>
    <xf numFmtId="43" fontId="4" fillId="0" borderId="0" xfId="1" applyFont="1" applyBorder="1"/>
    <xf numFmtId="165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66" fontId="0" fillId="0" borderId="0" xfId="0" applyNumberFormat="1"/>
    <xf numFmtId="167" fontId="0" fillId="0" borderId="0" xfId="0" applyNumberFormat="1"/>
    <xf numFmtId="9" fontId="4" fillId="0" borderId="0" xfId="1" applyNumberFormat="1" applyFont="1" applyBorder="1"/>
    <xf numFmtId="0" fontId="7" fillId="5" borderId="0" xfId="0" applyFont="1" applyFill="1"/>
    <xf numFmtId="0" fontId="0" fillId="5" borderId="0" xfId="0" applyFill="1"/>
    <xf numFmtId="2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6" borderId="0" xfId="0" applyFont="1" applyFill="1"/>
    <xf numFmtId="0" fontId="0" fillId="6" borderId="0" xfId="0" applyFill="1"/>
    <xf numFmtId="166" fontId="7" fillId="0" borderId="0" xfId="0" applyNumberFormat="1" applyFont="1"/>
    <xf numFmtId="0" fontId="8" fillId="0" borderId="0" xfId="0" applyFont="1"/>
    <xf numFmtId="3" fontId="0" fillId="0" borderId="0" xfId="0" applyNumberFormat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167" fontId="7" fillId="0" borderId="1" xfId="0" applyNumberFormat="1" applyFont="1" applyBorder="1"/>
    <xf numFmtId="166" fontId="7" fillId="0" borderId="1" xfId="0" applyNumberFormat="1" applyFont="1" applyBorder="1"/>
    <xf numFmtId="166" fontId="7" fillId="0" borderId="3" xfId="0" applyNumberFormat="1" applyFont="1" applyBorder="1"/>
    <xf numFmtId="166" fontId="7" fillId="0" borderId="2" xfId="0" applyNumberFormat="1" applyFont="1" applyBorder="1"/>
    <xf numFmtId="166" fontId="7" fillId="0" borderId="4" xfId="0" applyNumberFormat="1" applyFont="1" applyBorder="1"/>
    <xf numFmtId="0" fontId="10" fillId="7" borderId="0" xfId="0" applyFont="1" applyFill="1"/>
    <xf numFmtId="17" fontId="10" fillId="7" borderId="0" xfId="0" applyNumberFormat="1" applyFont="1" applyFill="1"/>
    <xf numFmtId="168" fontId="7" fillId="0" borderId="2" xfId="0" applyNumberFormat="1" applyFont="1" applyBorder="1"/>
    <xf numFmtId="169" fontId="0" fillId="0" borderId="0" xfId="0" applyNumberFormat="1"/>
    <xf numFmtId="0" fontId="0" fillId="0" borderId="6" xfId="0" applyBorder="1"/>
    <xf numFmtId="10" fontId="0" fillId="0" borderId="6" xfId="4" applyNumberFormat="1" applyFont="1" applyBorder="1"/>
    <xf numFmtId="10" fontId="0" fillId="0" borderId="0" xfId="4" applyNumberFormat="1" applyFont="1" applyBorder="1"/>
    <xf numFmtId="0" fontId="0" fillId="0" borderId="11" xfId="0" applyBorder="1"/>
    <xf numFmtId="10" fontId="0" fillId="0" borderId="11" xfId="4" applyNumberFormat="1" applyFont="1" applyBorder="1"/>
    <xf numFmtId="17" fontId="10" fillId="7" borderId="0" xfId="0" applyNumberFormat="1" applyFont="1" applyFill="1" applyAlignment="1">
      <alignment horizontal="center"/>
    </xf>
    <xf numFmtId="10" fontId="0" fillId="0" borderId="14" xfId="4" applyNumberFormat="1" applyFont="1" applyBorder="1"/>
    <xf numFmtId="10" fontId="0" fillId="0" borderId="19" xfId="0" applyNumberFormat="1" applyBorder="1"/>
    <xf numFmtId="10" fontId="0" fillId="0" borderId="22" xfId="4" applyNumberFormat="1" applyFont="1" applyBorder="1"/>
    <xf numFmtId="10" fontId="0" fillId="0" borderId="0" xfId="0" applyNumberFormat="1"/>
    <xf numFmtId="170" fontId="0" fillId="0" borderId="27" xfId="0" applyNumberFormat="1" applyBorder="1"/>
    <xf numFmtId="170" fontId="0" fillId="0" borderId="22" xfId="0" applyNumberFormat="1" applyBorder="1"/>
    <xf numFmtId="170" fontId="0" fillId="0" borderId="0" xfId="0" applyNumberFormat="1"/>
    <xf numFmtId="171" fontId="0" fillId="0" borderId="22" xfId="0" applyNumberFormat="1" applyBorder="1"/>
    <xf numFmtId="171" fontId="0" fillId="0" borderId="0" xfId="0" applyNumberFormat="1"/>
    <xf numFmtId="171" fontId="0" fillId="0" borderId="27" xfId="0" applyNumberFormat="1" applyBorder="1"/>
    <xf numFmtId="10" fontId="0" fillId="0" borderId="27" xfId="4" applyNumberFormat="1" applyFont="1" applyBorder="1"/>
    <xf numFmtId="0" fontId="0" fillId="8" borderId="5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6" xfId="0" applyFill="1" applyBorder="1"/>
    <xf numFmtId="0" fontId="0" fillId="8" borderId="18" xfId="0" applyFill="1" applyBorder="1"/>
    <xf numFmtId="0" fontId="0" fillId="8" borderId="21" xfId="0" applyFill="1" applyBorder="1"/>
    <xf numFmtId="0" fontId="0" fillId="8" borderId="24" xfId="0" applyFill="1" applyBorder="1"/>
    <xf numFmtId="0" fontId="0" fillId="8" borderId="26" xfId="0" applyFill="1" applyBorder="1"/>
    <xf numFmtId="17" fontId="10" fillId="7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22" xfId="0" applyFill="1" applyBorder="1"/>
    <xf numFmtId="0" fontId="0" fillId="9" borderId="27" xfId="0" applyFill="1" applyBorder="1"/>
    <xf numFmtId="0" fontId="0" fillId="9" borderId="6" xfId="0" applyFill="1" applyBorder="1"/>
    <xf numFmtId="0" fontId="0" fillId="9" borderId="11" xfId="0" applyFill="1" applyBorder="1"/>
    <xf numFmtId="0" fontId="0" fillId="9" borderId="14" xfId="0" applyFill="1" applyBorder="1"/>
    <xf numFmtId="0" fontId="0" fillId="9" borderId="19" xfId="0" applyFill="1" applyBorder="1"/>
    <xf numFmtId="0" fontId="0" fillId="10" borderId="0" xfId="0" applyFill="1"/>
    <xf numFmtId="166" fontId="7" fillId="0" borderId="29" xfId="0" applyNumberFormat="1" applyFont="1" applyBorder="1"/>
    <xf numFmtId="166" fontId="7" fillId="0" borderId="30" xfId="0" applyNumberFormat="1" applyFont="1" applyBorder="1"/>
    <xf numFmtId="0" fontId="11" fillId="0" borderId="0" xfId="0" applyFont="1"/>
    <xf numFmtId="10" fontId="0" fillId="11" borderId="6" xfId="4" applyNumberFormat="1" applyFont="1" applyFill="1" applyBorder="1"/>
    <xf numFmtId="10" fontId="0" fillId="11" borderId="7" xfId="4" applyNumberFormat="1" applyFont="1" applyFill="1" applyBorder="1"/>
    <xf numFmtId="10" fontId="0" fillId="11" borderId="0" xfId="4" applyNumberFormat="1" applyFont="1" applyFill="1" applyBorder="1"/>
    <xf numFmtId="10" fontId="0" fillId="11" borderId="9" xfId="4" applyNumberFormat="1" applyFont="1" applyFill="1" applyBorder="1"/>
    <xf numFmtId="10" fontId="0" fillId="11" borderId="11" xfId="4" applyNumberFormat="1" applyFont="1" applyFill="1" applyBorder="1"/>
    <xf numFmtId="0" fontId="0" fillId="11" borderId="12" xfId="0" applyFill="1" applyBorder="1"/>
    <xf numFmtId="10" fontId="0" fillId="11" borderId="12" xfId="4" applyNumberFormat="1" applyFont="1" applyFill="1" applyBorder="1"/>
    <xf numFmtId="10" fontId="0" fillId="11" borderId="14" xfId="4" applyNumberFormat="1" applyFont="1" applyFill="1" applyBorder="1"/>
    <xf numFmtId="10" fontId="0" fillId="11" borderId="15" xfId="4" applyNumberFormat="1" applyFont="1" applyFill="1" applyBorder="1"/>
    <xf numFmtId="10" fontId="0" fillId="11" borderId="17" xfId="4" applyNumberFormat="1" applyFont="1" applyFill="1" applyBorder="1"/>
    <xf numFmtId="10" fontId="0" fillId="11" borderId="19" xfId="4" applyNumberFormat="1" applyFont="1" applyFill="1" applyBorder="1"/>
    <xf numFmtId="10" fontId="0" fillId="11" borderId="20" xfId="4" applyNumberFormat="1" applyFont="1" applyFill="1" applyBorder="1"/>
    <xf numFmtId="10" fontId="0" fillId="11" borderId="22" xfId="4" applyNumberFormat="1" applyFont="1" applyFill="1" applyBorder="1"/>
    <xf numFmtId="10" fontId="0" fillId="11" borderId="23" xfId="4" applyNumberFormat="1" applyFont="1" applyFill="1" applyBorder="1"/>
    <xf numFmtId="10" fontId="0" fillId="11" borderId="25" xfId="4" applyNumberFormat="1" applyFont="1" applyFill="1" applyBorder="1"/>
    <xf numFmtId="170" fontId="0" fillId="11" borderId="27" xfId="0" applyNumberFormat="1" applyFill="1" applyBorder="1"/>
    <xf numFmtId="170" fontId="0" fillId="11" borderId="28" xfId="0" applyNumberFormat="1" applyFill="1" applyBorder="1"/>
    <xf numFmtId="170" fontId="0" fillId="11" borderId="22" xfId="0" applyNumberFormat="1" applyFill="1" applyBorder="1"/>
    <xf numFmtId="170" fontId="0" fillId="11" borderId="23" xfId="0" applyNumberFormat="1" applyFill="1" applyBorder="1"/>
    <xf numFmtId="170" fontId="0" fillId="11" borderId="0" xfId="0" applyNumberFormat="1" applyFill="1"/>
    <xf numFmtId="170" fontId="0" fillId="11" borderId="25" xfId="0" applyNumberFormat="1" applyFill="1" applyBorder="1"/>
    <xf numFmtId="171" fontId="0" fillId="11" borderId="22" xfId="0" applyNumberFormat="1" applyFill="1" applyBorder="1"/>
    <xf numFmtId="171" fontId="0" fillId="11" borderId="23" xfId="0" applyNumberFormat="1" applyFill="1" applyBorder="1"/>
    <xf numFmtId="171" fontId="0" fillId="11" borderId="0" xfId="0" applyNumberFormat="1" applyFill="1"/>
    <xf numFmtId="171" fontId="0" fillId="11" borderId="25" xfId="0" applyNumberFormat="1" applyFill="1" applyBorder="1"/>
    <xf numFmtId="171" fontId="0" fillId="11" borderId="27" xfId="0" applyNumberFormat="1" applyFill="1" applyBorder="1"/>
    <xf numFmtId="171" fontId="0" fillId="11" borderId="28" xfId="0" applyNumberFormat="1" applyFill="1" applyBorder="1"/>
    <xf numFmtId="10" fontId="0" fillId="11" borderId="27" xfId="4" applyNumberFormat="1" applyFont="1" applyFill="1" applyBorder="1"/>
    <xf numFmtId="10" fontId="0" fillId="11" borderId="28" xfId="4" applyNumberFormat="1" applyFont="1" applyFill="1" applyBorder="1"/>
    <xf numFmtId="10" fontId="8" fillId="0" borderId="0" xfId="4" applyNumberFormat="1" applyFont="1"/>
    <xf numFmtId="172" fontId="0" fillId="0" borderId="0" xfId="0" applyNumberFormat="1"/>
    <xf numFmtId="0" fontId="12" fillId="12" borderId="0" xfId="0" applyFont="1" applyFill="1"/>
    <xf numFmtId="0" fontId="0" fillId="0" borderId="0" xfId="0" applyAlignment="1">
      <alignment horizontal="left"/>
    </xf>
    <xf numFmtId="17" fontId="12" fillId="12" borderId="0" xfId="0" applyNumberFormat="1" applyFont="1" applyFill="1" applyAlignment="1">
      <alignment horizontal="center"/>
    </xf>
    <xf numFmtId="17" fontId="2" fillId="12" borderId="0" xfId="0" applyNumberFormat="1" applyFont="1" applyFill="1" applyAlignment="1">
      <alignment horizontal="center"/>
    </xf>
    <xf numFmtId="0" fontId="0" fillId="13" borderId="0" xfId="0" applyFill="1"/>
    <xf numFmtId="0" fontId="8" fillId="13" borderId="0" xfId="0" applyFont="1" applyFill="1"/>
    <xf numFmtId="0" fontId="7" fillId="13" borderId="1" xfId="0" applyFont="1" applyFill="1" applyBorder="1"/>
    <xf numFmtId="0" fontId="7" fillId="13" borderId="2" xfId="0" applyFont="1" applyFill="1" applyBorder="1"/>
    <xf numFmtId="43" fontId="4" fillId="13" borderId="0" xfId="1" applyFont="1" applyFill="1" applyBorder="1"/>
    <xf numFmtId="43" fontId="5" fillId="13" borderId="1" xfId="1" applyFont="1" applyFill="1" applyBorder="1"/>
    <xf numFmtId="43" fontId="5" fillId="13" borderId="3" xfId="1" applyFont="1" applyFill="1" applyBorder="1"/>
    <xf numFmtId="0" fontId="7" fillId="13" borderId="4" xfId="0" applyFont="1" applyFill="1" applyBorder="1"/>
    <xf numFmtId="0" fontId="7" fillId="13" borderId="0" xfId="0" applyFont="1" applyFill="1"/>
    <xf numFmtId="0" fontId="7" fillId="13" borderId="29" xfId="0" applyFont="1" applyFill="1" applyBorder="1"/>
    <xf numFmtId="0" fontId="0" fillId="13" borderId="0" xfId="0" applyFill="1" applyAlignment="1">
      <alignment horizontal="left" vertical="center"/>
    </xf>
    <xf numFmtId="0" fontId="7" fillId="13" borderId="29" xfId="0" applyFont="1" applyFill="1" applyBorder="1" applyAlignment="1">
      <alignment horizontal="left" vertical="center"/>
    </xf>
    <xf numFmtId="0" fontId="7" fillId="13" borderId="0" xfId="0" applyFont="1" applyFill="1" applyAlignment="1">
      <alignment horizontal="left" vertical="center"/>
    </xf>
    <xf numFmtId="0" fontId="7" fillId="13" borderId="30" xfId="0" applyFont="1" applyFill="1" applyBorder="1"/>
    <xf numFmtId="0" fontId="0" fillId="13" borderId="0" xfId="0" applyFill="1" applyAlignment="1">
      <alignment horizontal="left"/>
    </xf>
    <xf numFmtId="172" fontId="0" fillId="13" borderId="0" xfId="0" applyNumberFormat="1" applyFill="1"/>
    <xf numFmtId="10" fontId="0" fillId="13" borderId="0" xfId="4" applyNumberFormat="1" applyFont="1" applyFill="1"/>
    <xf numFmtId="175" fontId="0" fillId="0" borderId="0" xfId="0" applyNumberFormat="1"/>
    <xf numFmtId="176" fontId="0" fillId="0" borderId="0" xfId="0" applyNumberFormat="1"/>
    <xf numFmtId="0" fontId="0" fillId="14" borderId="0" xfId="0" applyFill="1" applyAlignment="1">
      <alignment horizontal="left"/>
    </xf>
    <xf numFmtId="177" fontId="0" fillId="13" borderId="0" xfId="0" applyNumberFormat="1" applyFill="1"/>
    <xf numFmtId="176" fontId="0" fillId="14" borderId="0" xfId="0" applyNumberFormat="1" applyFill="1"/>
    <xf numFmtId="172" fontId="0" fillId="0" borderId="0" xfId="0" applyNumberFormat="1" applyAlignment="1">
      <alignment horizontal="right"/>
    </xf>
    <xf numFmtId="172" fontId="0" fillId="14" borderId="0" xfId="0" applyNumberFormat="1" applyFill="1"/>
    <xf numFmtId="0" fontId="10" fillId="15" borderId="0" xfId="0" applyFont="1" applyFill="1" applyAlignment="1">
      <alignment horizontal="left" indent="23"/>
    </xf>
    <xf numFmtId="0" fontId="7" fillId="0" borderId="31" xfId="0" applyFont="1" applyBorder="1"/>
    <xf numFmtId="17" fontId="7" fillId="0" borderId="31" xfId="0" applyNumberFormat="1" applyFont="1" applyBorder="1"/>
    <xf numFmtId="43" fontId="0" fillId="0" borderId="0" xfId="0" applyNumberFormat="1"/>
    <xf numFmtId="43" fontId="7" fillId="0" borderId="0" xfId="0" applyNumberFormat="1" applyFont="1"/>
    <xf numFmtId="9" fontId="0" fillId="0" borderId="0" xfId="4" applyFont="1"/>
    <xf numFmtId="10" fontId="7" fillId="0" borderId="0" xfId="4" applyNumberFormat="1" applyFont="1"/>
    <xf numFmtId="43" fontId="4" fillId="10" borderId="0" xfId="1" applyFont="1" applyFill="1" applyBorder="1"/>
    <xf numFmtId="2" fontId="8" fillId="0" borderId="0" xfId="4" applyNumberFormat="1" applyFont="1"/>
    <xf numFmtId="43" fontId="3" fillId="0" borderId="0" xfId="3" applyNumberFormat="1" applyBorder="1" applyAlignment="1" applyProtection="1">
      <alignment horizontal="center"/>
    </xf>
    <xf numFmtId="43" fontId="6" fillId="2" borderId="0" xfId="2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10" fillId="0" borderId="0" xfId="0" applyFont="1"/>
    <xf numFmtId="0" fontId="2" fillId="0" borderId="0" xfId="0" applyFont="1"/>
    <xf numFmtId="181" fontId="10" fillId="0" borderId="0" xfId="0" applyNumberFormat="1" applyFont="1"/>
    <xf numFmtId="0" fontId="2" fillId="14" borderId="0" xfId="0" applyFont="1" applyFill="1"/>
    <xf numFmtId="17" fontId="7" fillId="0" borderId="33" xfId="0" applyNumberFormat="1" applyFont="1" applyBorder="1" applyAlignment="1">
      <alignment horizontal="right" vertical="center" wrapText="1"/>
    </xf>
    <xf numFmtId="0" fontId="0" fillId="0" borderId="34" xfId="0" applyBorder="1"/>
    <xf numFmtId="0" fontId="7" fillId="0" borderId="32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5">
    <cellStyle name="Accent6" xfId="2" builtinId="49"/>
    <cellStyle name="Comma" xfId="1" builtinId="3"/>
    <cellStyle name="Hyperlink" xfId="3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37f37b826d46106/Parth%20Sir%20Finacial%20Model%20excel.xlsx" TargetMode="External"/><Relationship Id="rId1" Type="http://schemas.openxmlformats.org/officeDocument/2006/relationships/externalLinkPath" Target="/037f37b826d46106/Parth%20Sir%20Finacial%20Model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&gt;"/>
      <sheetName val="Sheet1"/>
      <sheetName val="HistoricalFS"/>
      <sheetName val="Cash Flow Data"/>
      <sheetName val="Data Sheet"/>
      <sheetName val="Data&gt;"/>
    </sheetNames>
    <sheetDataSet>
      <sheetData sheetId="0"/>
      <sheetData sheetId="1"/>
      <sheetData sheetId="2"/>
      <sheetData sheetId="3"/>
      <sheetData sheetId="4">
        <row r="16">
          <cell r="B16">
            <v>41364</v>
          </cell>
          <cell r="C16">
            <v>41729</v>
          </cell>
          <cell r="D16">
            <v>42094</v>
          </cell>
          <cell r="E16">
            <v>42460</v>
          </cell>
          <cell r="F16">
            <v>42825</v>
          </cell>
          <cell r="G16">
            <v>43190</v>
          </cell>
          <cell r="H16">
            <v>43555</v>
          </cell>
          <cell r="I16">
            <v>43921</v>
          </cell>
          <cell r="J16">
            <v>44286</v>
          </cell>
          <cell r="K16">
            <v>44651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299D-79AF-4129-92CF-D2AADE1760CB}">
  <sheetPr>
    <tabColor rgb="FF92D050"/>
  </sheetPr>
  <dimension ref="C5:C7"/>
  <sheetViews>
    <sheetView workbookViewId="0">
      <selection activeCell="D21" sqref="D21"/>
    </sheetView>
  </sheetViews>
  <sheetFormatPr defaultRowHeight="14.4" x14ac:dyDescent="0.3"/>
  <sheetData>
    <row r="5" spans="3:3" x14ac:dyDescent="0.3">
      <c r="C5" t="s">
        <v>164</v>
      </c>
    </row>
    <row r="7" spans="3:3" x14ac:dyDescent="0.3">
      <c r="C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44E-30E0-47B8-8875-BA08AC80336F}">
  <sheetPr>
    <tabColor rgb="FF92D050"/>
  </sheetPr>
  <dimension ref="A1:K94"/>
  <sheetViews>
    <sheetView topLeftCell="A13" workbookViewId="0">
      <selection activeCell="D8" sqref="D8"/>
    </sheetView>
  </sheetViews>
  <sheetFormatPr defaultRowHeight="14.4" x14ac:dyDescent="0.3"/>
  <cols>
    <col min="1" max="1" width="24.77734375" customWidth="1"/>
    <col min="2" max="2" width="19.6640625" customWidth="1"/>
    <col min="3" max="3" width="11.33203125" bestFit="1" customWidth="1"/>
    <col min="4" max="4" width="13" customWidth="1"/>
    <col min="5" max="5" width="13.5546875" customWidth="1"/>
    <col min="6" max="6" width="11.77734375" customWidth="1"/>
    <col min="7" max="7" width="11.33203125" customWidth="1"/>
    <col min="8" max="8" width="14.77734375" customWidth="1"/>
    <col min="9" max="9" width="11.21875" customWidth="1"/>
    <col min="10" max="10" width="12.44140625" customWidth="1"/>
    <col min="11" max="11" width="11.88671875" customWidth="1"/>
  </cols>
  <sheetData>
    <row r="1" spans="1:11" x14ac:dyDescent="0.3">
      <c r="A1" s="1" t="s">
        <v>0</v>
      </c>
      <c r="B1" s="1" t="s">
        <v>1</v>
      </c>
      <c r="C1" s="1"/>
      <c r="D1" s="1"/>
      <c r="E1" s="141" t="str">
        <f>IF(B2&lt;&gt;B3, "A NEW VERSION OF THE WORKSHEET IS AVAILABLE", "")</f>
        <v/>
      </c>
      <c r="F1" s="141"/>
      <c r="G1" s="141"/>
      <c r="H1" s="141"/>
      <c r="I1" s="141"/>
      <c r="J1" s="141"/>
      <c r="K1" s="141"/>
    </row>
    <row r="2" spans="1:11" x14ac:dyDescent="0.3">
      <c r="A2" s="1" t="s">
        <v>2</v>
      </c>
      <c r="B2" s="2">
        <v>2.1</v>
      </c>
      <c r="C2" s="2"/>
      <c r="D2" s="2"/>
      <c r="E2" s="142" t="s">
        <v>3</v>
      </c>
      <c r="F2" s="142"/>
      <c r="G2" s="142"/>
      <c r="H2" s="142"/>
      <c r="I2" s="142"/>
      <c r="J2" s="142"/>
      <c r="K2" s="142"/>
    </row>
    <row r="3" spans="1:11" x14ac:dyDescent="0.3">
      <c r="A3" s="1" t="s">
        <v>4</v>
      </c>
      <c r="B3" s="2">
        <v>2.1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6</v>
      </c>
      <c r="B6" s="2">
        <f>IF(B9&gt;0, B9/B8, 0)</f>
        <v>357.59251876172613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7</v>
      </c>
      <c r="B7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 t="s">
        <v>8</v>
      </c>
      <c r="B8">
        <v>426.4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9</v>
      </c>
      <c r="B9">
        <v>152477.45000000001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3" t="s">
        <v>11</v>
      </c>
      <c r="B16" s="4">
        <v>41364</v>
      </c>
      <c r="C16" s="4">
        <v>41729</v>
      </c>
      <c r="D16" s="4">
        <v>42094</v>
      </c>
      <c r="E16" s="4">
        <v>42460</v>
      </c>
      <c r="F16" s="4">
        <v>42825</v>
      </c>
      <c r="G16" s="4">
        <v>43190</v>
      </c>
      <c r="H16" s="4">
        <v>43555</v>
      </c>
      <c r="I16" s="4">
        <v>43921</v>
      </c>
      <c r="J16" s="4">
        <v>44286</v>
      </c>
      <c r="K16" s="4">
        <v>44651</v>
      </c>
    </row>
    <row r="17" spans="1:11" x14ac:dyDescent="0.3">
      <c r="A17" s="5" t="s">
        <v>12</v>
      </c>
      <c r="B17">
        <v>188792.69</v>
      </c>
      <c r="C17">
        <v>232833.66</v>
      </c>
      <c r="D17">
        <v>263158.98</v>
      </c>
      <c r="E17">
        <v>273045.59999999998</v>
      </c>
      <c r="F17">
        <v>269692.51</v>
      </c>
      <c r="G17">
        <v>291550.48</v>
      </c>
      <c r="H17">
        <v>301938.40000000002</v>
      </c>
      <c r="I17">
        <v>261067.97</v>
      </c>
      <c r="J17">
        <v>249794.75</v>
      </c>
      <c r="K17">
        <v>278453.62</v>
      </c>
    </row>
    <row r="18" spans="1:11" x14ac:dyDescent="0.3">
      <c r="A18" s="2" t="s">
        <v>13</v>
      </c>
      <c r="B18">
        <v>123117.34</v>
      </c>
      <c r="C18">
        <v>146426.99</v>
      </c>
      <c r="D18">
        <v>163250.35999999999</v>
      </c>
      <c r="E18">
        <v>166134.01</v>
      </c>
      <c r="F18">
        <v>173294.07999999999</v>
      </c>
      <c r="G18">
        <v>187896.58</v>
      </c>
      <c r="H18">
        <v>194267.91</v>
      </c>
      <c r="I18">
        <v>164899.82</v>
      </c>
      <c r="J18">
        <v>153607.35999999999</v>
      </c>
      <c r="K18">
        <v>179295.33</v>
      </c>
    </row>
    <row r="19" spans="1:11" x14ac:dyDescent="0.3">
      <c r="A19" s="2" t="s">
        <v>14</v>
      </c>
      <c r="B19">
        <v>3029.29</v>
      </c>
      <c r="C19">
        <v>2840.58</v>
      </c>
      <c r="D19">
        <v>3330.35</v>
      </c>
      <c r="E19">
        <v>2750.99</v>
      </c>
      <c r="F19">
        <v>7399.92</v>
      </c>
      <c r="G19">
        <v>2046.58</v>
      </c>
      <c r="H19">
        <v>-2053.2800000000002</v>
      </c>
      <c r="I19">
        <v>-2231.19</v>
      </c>
      <c r="J19">
        <v>-4684.16</v>
      </c>
      <c r="K19">
        <v>-1590.49</v>
      </c>
    </row>
    <row r="20" spans="1:11" x14ac:dyDescent="0.3">
      <c r="A20" s="2" t="s">
        <v>15</v>
      </c>
      <c r="B20">
        <v>1077.77</v>
      </c>
      <c r="C20">
        <v>1128.69</v>
      </c>
      <c r="D20">
        <v>1121.75</v>
      </c>
      <c r="E20">
        <v>1143.6300000000001</v>
      </c>
      <c r="F20">
        <v>1159.82</v>
      </c>
      <c r="G20">
        <v>1308.08</v>
      </c>
      <c r="H20">
        <v>1585.93</v>
      </c>
      <c r="I20">
        <v>1264.95</v>
      </c>
      <c r="J20">
        <v>1112.8699999999999</v>
      </c>
      <c r="K20">
        <v>2178.29</v>
      </c>
    </row>
    <row r="21" spans="1:11" x14ac:dyDescent="0.3">
      <c r="A21" s="2" t="s">
        <v>16</v>
      </c>
      <c r="B21">
        <v>4440.7299999999996</v>
      </c>
      <c r="C21">
        <v>13806.04</v>
      </c>
      <c r="D21">
        <v>16173.17</v>
      </c>
      <c r="E21">
        <v>12101.53</v>
      </c>
      <c r="F21">
        <v>10067.370000000001</v>
      </c>
      <c r="G21">
        <v>10971.66</v>
      </c>
      <c r="H21">
        <v>11694.54</v>
      </c>
      <c r="I21">
        <v>11541.51</v>
      </c>
      <c r="J21">
        <v>8273.17</v>
      </c>
      <c r="K21">
        <v>9427.3799999999992</v>
      </c>
    </row>
    <row r="22" spans="1:11" x14ac:dyDescent="0.3">
      <c r="A22" s="2" t="s">
        <v>17</v>
      </c>
      <c r="B22">
        <v>16632.189999999999</v>
      </c>
      <c r="C22">
        <v>21609.919999999998</v>
      </c>
      <c r="D22">
        <v>25641.95</v>
      </c>
      <c r="E22">
        <v>28880.89</v>
      </c>
      <c r="F22">
        <v>28332.89</v>
      </c>
      <c r="G22">
        <v>30300.09</v>
      </c>
      <c r="H22">
        <v>33243.870000000003</v>
      </c>
      <c r="I22">
        <v>30438.6</v>
      </c>
      <c r="J22">
        <v>27648.48</v>
      </c>
      <c r="K22">
        <v>30808.52</v>
      </c>
    </row>
    <row r="23" spans="1:11" x14ac:dyDescent="0.3">
      <c r="A23" s="2" t="s">
        <v>18</v>
      </c>
      <c r="B23">
        <v>16632.91</v>
      </c>
      <c r="C23">
        <v>22357.79</v>
      </c>
      <c r="D23">
        <v>23603.01</v>
      </c>
      <c r="E23">
        <v>21991.9</v>
      </c>
      <c r="F23">
        <v>30039.38</v>
      </c>
      <c r="G23">
        <v>31004.58</v>
      </c>
      <c r="H23">
        <v>32719.8</v>
      </c>
      <c r="I23">
        <v>29248.32</v>
      </c>
      <c r="J23">
        <v>23015.79</v>
      </c>
      <c r="K23">
        <v>29205.4</v>
      </c>
    </row>
    <row r="24" spans="1:11" x14ac:dyDescent="0.3">
      <c r="A24" s="2" t="s">
        <v>19</v>
      </c>
      <c r="B24">
        <v>5325.06</v>
      </c>
      <c r="C24">
        <v>-4508.55</v>
      </c>
      <c r="D24">
        <v>-2539.56</v>
      </c>
      <c r="E24">
        <v>7149.38</v>
      </c>
      <c r="F24">
        <v>4610.2</v>
      </c>
      <c r="G24">
        <v>658.39</v>
      </c>
      <c r="H24">
        <v>1708.74</v>
      </c>
      <c r="I24">
        <v>3456.51</v>
      </c>
      <c r="J24">
        <v>-834.51</v>
      </c>
      <c r="K24">
        <v>1228.1199999999999</v>
      </c>
    </row>
    <row r="25" spans="1:11" x14ac:dyDescent="0.3">
      <c r="A25" s="5" t="s">
        <v>20</v>
      </c>
      <c r="B25">
        <v>212.88</v>
      </c>
      <c r="C25">
        <v>-156.79</v>
      </c>
      <c r="D25">
        <v>714.03</v>
      </c>
      <c r="E25">
        <v>-2669.62</v>
      </c>
      <c r="F25">
        <v>1869.1</v>
      </c>
      <c r="G25">
        <v>5932.73</v>
      </c>
      <c r="H25">
        <v>-26686.25</v>
      </c>
      <c r="I25">
        <v>101.71</v>
      </c>
      <c r="J25">
        <v>-11117.83</v>
      </c>
      <c r="K25">
        <v>2424.0500000000002</v>
      </c>
    </row>
    <row r="26" spans="1:11" x14ac:dyDescent="0.3">
      <c r="A26" s="5" t="s">
        <v>21</v>
      </c>
      <c r="B26" s="108">
        <v>7601.28</v>
      </c>
      <c r="C26">
        <v>11078.16</v>
      </c>
      <c r="D26">
        <v>13388.63</v>
      </c>
      <c r="E26">
        <v>16710.78</v>
      </c>
      <c r="F26">
        <v>17904.990000000002</v>
      </c>
      <c r="G26">
        <v>21553.59</v>
      </c>
      <c r="H26">
        <v>23590.63</v>
      </c>
      <c r="I26">
        <v>21425.43</v>
      </c>
      <c r="J26">
        <v>23546.71</v>
      </c>
      <c r="K26">
        <v>24835.69</v>
      </c>
    </row>
    <row r="27" spans="1:11" x14ac:dyDescent="0.3">
      <c r="A27" s="5" t="s">
        <v>22</v>
      </c>
      <c r="B27" s="108">
        <v>3560.25</v>
      </c>
      <c r="C27">
        <v>4749.4399999999996</v>
      </c>
      <c r="D27">
        <v>4861.49</v>
      </c>
      <c r="E27">
        <v>4889.08</v>
      </c>
      <c r="F27">
        <v>4238.01</v>
      </c>
      <c r="G27">
        <v>4681.79</v>
      </c>
      <c r="H27">
        <v>5758.6</v>
      </c>
      <c r="I27">
        <v>7243.33</v>
      </c>
      <c r="J27">
        <v>8097.17</v>
      </c>
      <c r="K27">
        <v>9311.86</v>
      </c>
    </row>
    <row r="28" spans="1:11" x14ac:dyDescent="0.3">
      <c r="A28" s="5" t="s">
        <v>23</v>
      </c>
      <c r="B28">
        <v>13647.33</v>
      </c>
      <c r="C28">
        <v>18868.97</v>
      </c>
      <c r="D28">
        <v>21702.560000000001</v>
      </c>
      <c r="E28">
        <v>14125.77</v>
      </c>
      <c r="F28">
        <v>9314.7900000000009</v>
      </c>
      <c r="G28">
        <v>11155.03</v>
      </c>
      <c r="H28">
        <v>-31371.15</v>
      </c>
      <c r="I28">
        <v>-10579.98</v>
      </c>
      <c r="J28">
        <v>-10474.280000000001</v>
      </c>
      <c r="K28">
        <v>-7003.41</v>
      </c>
    </row>
    <row r="29" spans="1:11" x14ac:dyDescent="0.3">
      <c r="A29" s="5" t="s">
        <v>24</v>
      </c>
      <c r="B29" s="108">
        <v>3776.66</v>
      </c>
      <c r="C29">
        <v>4764.79</v>
      </c>
      <c r="D29">
        <v>7642.91</v>
      </c>
      <c r="E29">
        <v>3025.05</v>
      </c>
      <c r="F29">
        <v>3251.23</v>
      </c>
      <c r="G29">
        <v>4341.93</v>
      </c>
      <c r="H29">
        <v>-2437.4499999999998</v>
      </c>
      <c r="I29">
        <v>395.25</v>
      </c>
      <c r="J29">
        <v>2541.86</v>
      </c>
      <c r="K29">
        <v>4231.29</v>
      </c>
    </row>
    <row r="30" spans="1:11" x14ac:dyDescent="0.3">
      <c r="A30" s="5" t="s">
        <v>25</v>
      </c>
      <c r="B30" s="108">
        <v>9892.61</v>
      </c>
      <c r="C30">
        <v>13991.02</v>
      </c>
      <c r="D30">
        <v>13986.29</v>
      </c>
      <c r="E30">
        <v>11579.31</v>
      </c>
      <c r="F30">
        <v>7454.36</v>
      </c>
      <c r="G30">
        <v>8988.91</v>
      </c>
      <c r="H30">
        <v>-28826.23</v>
      </c>
      <c r="I30">
        <v>-12070.85</v>
      </c>
      <c r="J30">
        <v>-13451.39</v>
      </c>
      <c r="K30">
        <v>-11441.47</v>
      </c>
    </row>
    <row r="31" spans="1:11" x14ac:dyDescent="0.3">
      <c r="A31" s="5" t="s">
        <v>26</v>
      </c>
      <c r="B31">
        <v>638.07000000000005</v>
      </c>
      <c r="C31">
        <v>643.78</v>
      </c>
      <c r="D31" s="5"/>
      <c r="E31">
        <v>67.92</v>
      </c>
      <c r="F31" s="5"/>
      <c r="G31" s="5"/>
      <c r="H31" s="5"/>
      <c r="I31" s="5"/>
      <c r="J31" s="5"/>
      <c r="K31" s="5"/>
    </row>
    <row r="32" spans="1:11" x14ac:dyDescent="0.3">
      <c r="A32" s="5" t="s">
        <v>64</v>
      </c>
      <c r="B32" s="12">
        <v>0.28000000000000003</v>
      </c>
      <c r="C32" s="12">
        <v>0.25</v>
      </c>
      <c r="D32" s="12">
        <v>0.35</v>
      </c>
      <c r="E32" s="12">
        <v>0.21</v>
      </c>
      <c r="F32" s="12">
        <v>0.35</v>
      </c>
      <c r="G32" s="12">
        <v>0.39</v>
      </c>
      <c r="H32" s="12">
        <v>0.08</v>
      </c>
      <c r="I32" s="12">
        <v>-0.04</v>
      </c>
      <c r="J32" s="12">
        <v>-0.24</v>
      </c>
      <c r="K32" s="12">
        <v>-0.6</v>
      </c>
    </row>
    <row r="33" spans="1:11" x14ac:dyDescent="0.3">
      <c r="A33" s="11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139" t="s">
        <v>63</v>
      </c>
      <c r="B34" s="2">
        <f>SUM(B26,B27,B29,B30)</f>
        <v>24830.799999999999</v>
      </c>
      <c r="C34" s="2">
        <f t="shared" ref="C34:K34" si="0">SUM(C26,C27,C29,C30)</f>
        <v>34583.410000000003</v>
      </c>
      <c r="D34" s="2">
        <f t="shared" si="0"/>
        <v>39879.32</v>
      </c>
      <c r="E34" s="2">
        <f t="shared" si="0"/>
        <v>36204.22</v>
      </c>
      <c r="F34" s="2">
        <f t="shared" si="0"/>
        <v>32848.589999999997</v>
      </c>
      <c r="G34" s="2">
        <f t="shared" si="0"/>
        <v>39566.22</v>
      </c>
      <c r="H34" s="2">
        <f t="shared" si="0"/>
        <v>-1914.4499999999971</v>
      </c>
      <c r="I34" s="2">
        <f t="shared" si="0"/>
        <v>16993.160000000003</v>
      </c>
      <c r="J34" s="2">
        <f t="shared" si="0"/>
        <v>20734.349999999999</v>
      </c>
      <c r="K34" s="2">
        <f t="shared" si="0"/>
        <v>26937.370000000003</v>
      </c>
    </row>
    <row r="35" spans="1:11" x14ac:dyDescent="0.3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1" t="s">
        <v>27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3" t="s">
        <v>69</v>
      </c>
      <c r="B41" s="4">
        <v>44104</v>
      </c>
      <c r="C41" s="4">
        <v>44196</v>
      </c>
      <c r="D41" s="4">
        <v>44286</v>
      </c>
      <c r="E41" s="4">
        <v>44377</v>
      </c>
      <c r="F41" s="4">
        <v>44469</v>
      </c>
      <c r="G41" s="4">
        <v>44561</v>
      </c>
      <c r="H41" s="4">
        <v>44651</v>
      </c>
      <c r="I41" s="4">
        <v>44742</v>
      </c>
      <c r="J41" s="4">
        <v>44834</v>
      </c>
      <c r="K41" s="4">
        <v>44926</v>
      </c>
    </row>
    <row r="42" spans="1:11" x14ac:dyDescent="0.3">
      <c r="A42" s="5" t="s">
        <v>70</v>
      </c>
      <c r="B42">
        <v>53530</v>
      </c>
      <c r="C42">
        <v>75653.789999999994</v>
      </c>
      <c r="D42">
        <v>88627.9</v>
      </c>
      <c r="E42">
        <v>66406.45</v>
      </c>
      <c r="F42">
        <v>61378.82</v>
      </c>
      <c r="G42">
        <v>72229.289999999994</v>
      </c>
      <c r="H42">
        <v>78439.06</v>
      </c>
      <c r="I42">
        <v>71934.66</v>
      </c>
      <c r="J42">
        <v>79611.37</v>
      </c>
      <c r="K42">
        <v>88488.59</v>
      </c>
    </row>
    <row r="43" spans="1:11" x14ac:dyDescent="0.3">
      <c r="A43" s="5" t="s">
        <v>28</v>
      </c>
      <c r="B43">
        <v>47431.7</v>
      </c>
      <c r="C43">
        <v>63521.09</v>
      </c>
      <c r="D43">
        <v>75254.17</v>
      </c>
      <c r="E43">
        <v>61163.78</v>
      </c>
      <c r="F43">
        <v>57262.21</v>
      </c>
      <c r="G43">
        <v>65151.27</v>
      </c>
      <c r="H43">
        <v>70156.27</v>
      </c>
      <c r="I43">
        <v>69521.929999999993</v>
      </c>
      <c r="J43">
        <v>74039.06</v>
      </c>
      <c r="K43">
        <v>77668.350000000006</v>
      </c>
    </row>
    <row r="44" spans="1:11" x14ac:dyDescent="0.3">
      <c r="A44" s="5" t="s">
        <v>20</v>
      </c>
      <c r="B44">
        <v>638.1</v>
      </c>
      <c r="C44">
        <v>289.37</v>
      </c>
      <c r="D44">
        <v>-12655.05</v>
      </c>
      <c r="E44">
        <v>584.12</v>
      </c>
      <c r="F44">
        <v>862.46</v>
      </c>
      <c r="G44">
        <v>788.73</v>
      </c>
      <c r="H44">
        <v>188.74</v>
      </c>
      <c r="I44">
        <v>2380.98</v>
      </c>
      <c r="J44">
        <v>1351.14</v>
      </c>
      <c r="K44">
        <v>1129.98</v>
      </c>
    </row>
    <row r="45" spans="1:11" x14ac:dyDescent="0.3">
      <c r="A45" s="5" t="s">
        <v>155</v>
      </c>
      <c r="B45">
        <v>5601.47</v>
      </c>
      <c r="C45">
        <v>6128.75</v>
      </c>
      <c r="D45">
        <v>6217.12</v>
      </c>
      <c r="E45">
        <v>6202.13</v>
      </c>
      <c r="F45">
        <v>6123.32</v>
      </c>
      <c r="G45">
        <v>6078.13</v>
      </c>
      <c r="H45">
        <v>6432.11</v>
      </c>
      <c r="I45">
        <v>5841.04</v>
      </c>
      <c r="J45">
        <v>5897.34</v>
      </c>
      <c r="K45">
        <v>6071.78</v>
      </c>
    </row>
    <row r="46" spans="1:11" x14ac:dyDescent="0.3">
      <c r="A46" s="5" t="s">
        <v>22</v>
      </c>
      <c r="B46">
        <v>1949.6</v>
      </c>
      <c r="C46">
        <v>2125.9299999999998</v>
      </c>
      <c r="D46">
        <v>2144.83</v>
      </c>
      <c r="E46">
        <v>2203.3000000000002</v>
      </c>
      <c r="F46">
        <v>2327.3000000000002</v>
      </c>
      <c r="G46">
        <v>2400.7399999999998</v>
      </c>
      <c r="H46">
        <v>2380.52</v>
      </c>
      <c r="I46">
        <v>2420.7199999999998</v>
      </c>
      <c r="J46">
        <v>2487.2600000000002</v>
      </c>
      <c r="K46">
        <v>2675.83</v>
      </c>
    </row>
    <row r="47" spans="1:11" x14ac:dyDescent="0.3">
      <c r="A47" s="5" t="s">
        <v>23</v>
      </c>
      <c r="B47">
        <v>-814.67</v>
      </c>
      <c r="C47">
        <v>4167.3900000000003</v>
      </c>
      <c r="D47">
        <v>-7643.27</v>
      </c>
      <c r="E47">
        <v>-2578.64</v>
      </c>
      <c r="F47">
        <v>-3471.55</v>
      </c>
      <c r="G47">
        <v>-612.12</v>
      </c>
      <c r="H47">
        <v>-341.1</v>
      </c>
      <c r="I47">
        <v>-3468.05</v>
      </c>
      <c r="J47">
        <v>-1461.15</v>
      </c>
      <c r="K47">
        <v>3202.61</v>
      </c>
    </row>
    <row r="48" spans="1:11" x14ac:dyDescent="0.3">
      <c r="A48" s="5" t="s">
        <v>24</v>
      </c>
      <c r="B48">
        <v>-471.39</v>
      </c>
      <c r="C48">
        <v>945.18</v>
      </c>
      <c r="D48">
        <v>-132.41999999999999</v>
      </c>
      <c r="E48">
        <v>1741.96</v>
      </c>
      <c r="F48">
        <v>1005.06</v>
      </c>
      <c r="G48">
        <v>726.05</v>
      </c>
      <c r="H48">
        <v>758.22</v>
      </c>
      <c r="I48">
        <v>1518.96</v>
      </c>
      <c r="J48">
        <v>-457.08</v>
      </c>
      <c r="K48">
        <v>262.83</v>
      </c>
    </row>
    <row r="49" spans="1:11" x14ac:dyDescent="0.3">
      <c r="A49" s="5" t="s">
        <v>25</v>
      </c>
      <c r="B49">
        <v>-314.45</v>
      </c>
      <c r="C49">
        <v>2906.45</v>
      </c>
      <c r="D49">
        <v>-7605.4</v>
      </c>
      <c r="E49">
        <v>-4450.92</v>
      </c>
      <c r="F49">
        <v>-4441.57</v>
      </c>
      <c r="G49">
        <v>-1516.14</v>
      </c>
      <c r="H49">
        <v>-1032.8399999999999</v>
      </c>
      <c r="I49">
        <v>-5006.6000000000004</v>
      </c>
      <c r="J49">
        <v>-944.61</v>
      </c>
      <c r="K49">
        <v>2957.71</v>
      </c>
    </row>
    <row r="50" spans="1:11" x14ac:dyDescent="0.3">
      <c r="A50" s="5" t="s">
        <v>29</v>
      </c>
      <c r="B50">
        <v>6098.3</v>
      </c>
      <c r="C50">
        <v>12132.7</v>
      </c>
      <c r="D50">
        <v>13373.73</v>
      </c>
      <c r="E50">
        <v>5242.67</v>
      </c>
      <c r="F50">
        <v>4116.6099999999997</v>
      </c>
      <c r="G50">
        <v>7078.02</v>
      </c>
      <c r="H50">
        <v>8282.7900000000009</v>
      </c>
      <c r="I50">
        <v>2412.73</v>
      </c>
      <c r="J50">
        <v>5572.31</v>
      </c>
      <c r="K50">
        <v>10820.24</v>
      </c>
    </row>
    <row r="51" spans="1:11" x14ac:dyDescent="0.3">
      <c r="A51" s="5" t="s">
        <v>63</v>
      </c>
      <c r="B51" s="2">
        <v>6765.23</v>
      </c>
      <c r="C51" s="2">
        <v>12106.31</v>
      </c>
      <c r="D51" s="2">
        <v>624.13</v>
      </c>
      <c r="E51" s="2">
        <v>5696.47</v>
      </c>
      <c r="F51" s="2">
        <v>5014.1099999999997</v>
      </c>
      <c r="G51" s="2">
        <v>7688.78</v>
      </c>
      <c r="H51" s="2">
        <v>8538.01</v>
      </c>
      <c r="I51" s="2">
        <v>4774.12</v>
      </c>
      <c r="J51" s="2">
        <v>6982.91</v>
      </c>
      <c r="K51" s="2"/>
    </row>
    <row r="52" spans="1:11" x14ac:dyDescent="0.3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1" t="s">
        <v>30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3" t="s">
        <v>11</v>
      </c>
      <c r="B56" s="4">
        <v>41364</v>
      </c>
      <c r="C56" s="4">
        <v>41729</v>
      </c>
      <c r="D56" s="4">
        <v>42094</v>
      </c>
      <c r="E56" s="4">
        <v>42460</v>
      </c>
      <c r="F56" s="4">
        <v>42825</v>
      </c>
      <c r="G56" s="4">
        <v>43190</v>
      </c>
      <c r="H56" s="4">
        <v>43555</v>
      </c>
      <c r="I56" s="4">
        <v>43921</v>
      </c>
      <c r="J56" s="4">
        <v>44286</v>
      </c>
      <c r="K56" s="4">
        <v>44651</v>
      </c>
    </row>
    <row r="57" spans="1:11" x14ac:dyDescent="0.3">
      <c r="A57" s="5" t="s">
        <v>31</v>
      </c>
      <c r="B57">
        <v>638.07000000000005</v>
      </c>
      <c r="C57">
        <v>643.78</v>
      </c>
      <c r="D57">
        <v>643.78</v>
      </c>
      <c r="E57">
        <v>679.18</v>
      </c>
      <c r="F57">
        <v>679.22</v>
      </c>
      <c r="G57">
        <v>679.22</v>
      </c>
      <c r="H57">
        <v>679.22</v>
      </c>
      <c r="I57">
        <v>719.54</v>
      </c>
      <c r="J57">
        <v>765.81</v>
      </c>
      <c r="K57">
        <v>765.88</v>
      </c>
    </row>
    <row r="58" spans="1:11" x14ac:dyDescent="0.3">
      <c r="A58" s="5" t="s">
        <v>32</v>
      </c>
      <c r="B58">
        <v>36999.230000000003</v>
      </c>
      <c r="C58">
        <v>64959.67</v>
      </c>
      <c r="D58">
        <v>55618.14</v>
      </c>
      <c r="E58">
        <v>78273.23</v>
      </c>
      <c r="F58">
        <v>57382.67</v>
      </c>
      <c r="G58">
        <v>94748.69</v>
      </c>
      <c r="H58">
        <v>59500.34</v>
      </c>
      <c r="I58">
        <v>61491.49</v>
      </c>
      <c r="J58">
        <v>54480.91</v>
      </c>
      <c r="K58">
        <v>43795.360000000001</v>
      </c>
    </row>
    <row r="59" spans="1:11" x14ac:dyDescent="0.3">
      <c r="A59" s="5" t="s">
        <v>33</v>
      </c>
      <c r="B59">
        <v>53715.71</v>
      </c>
      <c r="C59">
        <v>60642.28</v>
      </c>
      <c r="D59">
        <v>73610.39</v>
      </c>
      <c r="E59">
        <v>69359.960000000006</v>
      </c>
      <c r="F59">
        <v>78603.98</v>
      </c>
      <c r="G59">
        <v>88950.47</v>
      </c>
      <c r="H59">
        <v>106175.34</v>
      </c>
      <c r="I59">
        <v>124787.64</v>
      </c>
      <c r="J59">
        <v>142130.57</v>
      </c>
      <c r="K59">
        <v>146449.03</v>
      </c>
    </row>
    <row r="60" spans="1:11" x14ac:dyDescent="0.3">
      <c r="A60" s="5" t="s">
        <v>34</v>
      </c>
      <c r="B60">
        <v>76977.02</v>
      </c>
      <c r="C60">
        <v>92180.26</v>
      </c>
      <c r="D60">
        <v>107442.48</v>
      </c>
      <c r="E60">
        <v>114871.75</v>
      </c>
      <c r="F60">
        <v>135914.49</v>
      </c>
      <c r="G60">
        <v>142813.43</v>
      </c>
      <c r="H60">
        <v>139348.59</v>
      </c>
      <c r="I60">
        <v>133180.72</v>
      </c>
      <c r="J60">
        <v>144192.62</v>
      </c>
      <c r="K60">
        <v>138051.22</v>
      </c>
    </row>
    <row r="61" spans="1:11" x14ac:dyDescent="0.3">
      <c r="A61" s="1" t="s">
        <v>166</v>
      </c>
      <c r="B61">
        <v>168330.03</v>
      </c>
      <c r="C61">
        <v>218425.99</v>
      </c>
      <c r="D61">
        <v>237314.79</v>
      </c>
      <c r="E61">
        <v>263184.12</v>
      </c>
      <c r="F61">
        <v>272580.36</v>
      </c>
      <c r="G61">
        <v>327191.81</v>
      </c>
      <c r="H61">
        <v>305703.49</v>
      </c>
      <c r="I61">
        <v>320179.39</v>
      </c>
      <c r="J61">
        <v>341569.91</v>
      </c>
      <c r="K61">
        <v>329061.49</v>
      </c>
    </row>
    <row r="62" spans="1:11" x14ac:dyDescent="0.3">
      <c r="A62" s="5" t="s">
        <v>35</v>
      </c>
      <c r="B62">
        <v>55511.73</v>
      </c>
      <c r="C62">
        <v>69091.67</v>
      </c>
      <c r="D62">
        <v>88479.49</v>
      </c>
      <c r="E62">
        <v>107231.76</v>
      </c>
      <c r="F62">
        <v>95944.08</v>
      </c>
      <c r="G62">
        <v>121413.86</v>
      </c>
      <c r="H62">
        <v>111234.47</v>
      </c>
      <c r="I62">
        <v>127107.14</v>
      </c>
      <c r="J62">
        <v>138707.60999999999</v>
      </c>
      <c r="K62">
        <v>138855.45000000001</v>
      </c>
    </row>
    <row r="63" spans="1:11" x14ac:dyDescent="0.3">
      <c r="A63" s="5" t="s">
        <v>36</v>
      </c>
      <c r="B63">
        <v>18453.55</v>
      </c>
      <c r="C63">
        <v>33262.559999999998</v>
      </c>
      <c r="D63">
        <v>28640.09</v>
      </c>
      <c r="E63">
        <v>25918.94</v>
      </c>
      <c r="F63">
        <v>33698.839999999997</v>
      </c>
      <c r="G63">
        <v>40033.5</v>
      </c>
      <c r="H63">
        <v>31883.84</v>
      </c>
      <c r="I63">
        <v>35622.29</v>
      </c>
      <c r="J63">
        <v>20963.93</v>
      </c>
      <c r="K63">
        <v>10251.09</v>
      </c>
    </row>
    <row r="64" spans="1:11" x14ac:dyDescent="0.3">
      <c r="A64" s="5" t="s">
        <v>37</v>
      </c>
      <c r="B64">
        <v>8764.73</v>
      </c>
      <c r="C64">
        <v>10686.67</v>
      </c>
      <c r="D64">
        <v>15336.74</v>
      </c>
      <c r="E64">
        <v>23767.02</v>
      </c>
      <c r="F64">
        <v>20337.919999999998</v>
      </c>
      <c r="G64">
        <v>20812.75</v>
      </c>
      <c r="H64">
        <v>15770.72</v>
      </c>
      <c r="I64">
        <v>16308.48</v>
      </c>
      <c r="J64">
        <v>24620.28</v>
      </c>
      <c r="K64">
        <v>29379.53</v>
      </c>
    </row>
    <row r="65" spans="1:11" x14ac:dyDescent="0.3">
      <c r="A65" s="5" t="s">
        <v>38</v>
      </c>
      <c r="B65">
        <v>85600.02</v>
      </c>
      <c r="C65">
        <v>105385.09</v>
      </c>
      <c r="D65">
        <v>104858.47</v>
      </c>
      <c r="E65">
        <v>106266.4</v>
      </c>
      <c r="F65">
        <v>122599.52</v>
      </c>
      <c r="G65">
        <v>144931.70000000001</v>
      </c>
      <c r="H65">
        <v>146814.46</v>
      </c>
      <c r="I65">
        <v>141141.48000000001</v>
      </c>
      <c r="J65">
        <v>157278.09</v>
      </c>
      <c r="K65">
        <v>150575.42000000001</v>
      </c>
    </row>
    <row r="66" spans="1:11" x14ac:dyDescent="0.3">
      <c r="A66" s="1" t="s">
        <v>166</v>
      </c>
      <c r="B66">
        <v>168330.03</v>
      </c>
      <c r="C66">
        <v>218425.99</v>
      </c>
      <c r="D66">
        <v>237314.79</v>
      </c>
      <c r="E66">
        <v>263184.12</v>
      </c>
      <c r="F66">
        <v>272580.36</v>
      </c>
      <c r="G66">
        <v>327191.81</v>
      </c>
      <c r="H66">
        <v>305703.49</v>
      </c>
      <c r="I66">
        <v>320179.39</v>
      </c>
      <c r="J66">
        <v>341569.91</v>
      </c>
      <c r="K66">
        <v>329061.49</v>
      </c>
    </row>
    <row r="67" spans="1:11" x14ac:dyDescent="0.3">
      <c r="A67" s="5" t="s">
        <v>39</v>
      </c>
      <c r="B67">
        <v>10959.6</v>
      </c>
      <c r="C67">
        <v>10574.23</v>
      </c>
      <c r="D67">
        <v>12579.2</v>
      </c>
      <c r="E67">
        <v>13570.91</v>
      </c>
      <c r="F67">
        <v>14075.55</v>
      </c>
      <c r="G67">
        <v>19893.3</v>
      </c>
      <c r="H67">
        <v>18996.169999999998</v>
      </c>
      <c r="I67">
        <v>11172.69</v>
      </c>
      <c r="J67">
        <v>12679.08</v>
      </c>
      <c r="K67">
        <v>12442.12</v>
      </c>
    </row>
    <row r="68" spans="1:11" x14ac:dyDescent="0.3">
      <c r="A68" s="5" t="s">
        <v>40</v>
      </c>
      <c r="B68">
        <v>21036.82</v>
      </c>
      <c r="C68">
        <v>27270.89</v>
      </c>
      <c r="D68">
        <v>29272.34</v>
      </c>
      <c r="E68">
        <v>32655.73</v>
      </c>
      <c r="F68">
        <v>35085.31</v>
      </c>
      <c r="G68">
        <v>42137.63</v>
      </c>
      <c r="H68">
        <v>39013.730000000003</v>
      </c>
      <c r="I68">
        <v>37456.879999999997</v>
      </c>
      <c r="J68">
        <v>36088.589999999997</v>
      </c>
      <c r="K68">
        <v>35240.339999999997</v>
      </c>
    </row>
    <row r="69" spans="1:11" x14ac:dyDescent="0.3">
      <c r="A69" s="2" t="s">
        <v>41</v>
      </c>
      <c r="B69">
        <v>21114.82</v>
      </c>
      <c r="C69">
        <v>29711.79</v>
      </c>
      <c r="D69">
        <v>32115.759999999998</v>
      </c>
      <c r="E69">
        <v>30460.400000000001</v>
      </c>
      <c r="F69">
        <v>36077.879999999997</v>
      </c>
      <c r="G69">
        <v>34613.910000000003</v>
      </c>
      <c r="H69">
        <v>32648.82</v>
      </c>
      <c r="I69">
        <v>33726.97</v>
      </c>
      <c r="J69">
        <v>46792.46</v>
      </c>
      <c r="K69">
        <v>40669.19</v>
      </c>
    </row>
    <row r="70" spans="1:11" x14ac:dyDescent="0.3">
      <c r="A70" s="2" t="s">
        <v>42</v>
      </c>
      <c r="B70">
        <v>3190115771</v>
      </c>
      <c r="C70">
        <v>3218930000</v>
      </c>
      <c r="D70">
        <v>3218930067</v>
      </c>
      <c r="E70">
        <v>3395930306</v>
      </c>
      <c r="F70">
        <v>3396100719</v>
      </c>
      <c r="G70">
        <v>3396100719</v>
      </c>
      <c r="H70">
        <v>3396100719</v>
      </c>
      <c r="I70">
        <v>3597726185</v>
      </c>
      <c r="J70">
        <v>3829060661</v>
      </c>
      <c r="K70">
        <v>3829414903</v>
      </c>
    </row>
    <row r="71" spans="1:11" x14ac:dyDescent="0.3">
      <c r="A71" s="2" t="s">
        <v>43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 t="s">
        <v>44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5" t="s">
        <v>38</v>
      </c>
      <c r="B74" s="2">
        <f>B65-SUM(B67:B69)</f>
        <v>32488.780000000006</v>
      </c>
      <c r="C74" s="2">
        <f t="shared" ref="C74:K74" si="1">C65-SUM(C67:C69)</f>
        <v>37828.179999999993</v>
      </c>
      <c r="D74" s="2">
        <f t="shared" si="1"/>
        <v>30891.17</v>
      </c>
      <c r="E74" s="2">
        <f t="shared" si="1"/>
        <v>29579.359999999986</v>
      </c>
      <c r="F74" s="2">
        <f t="shared" si="1"/>
        <v>37360.780000000013</v>
      </c>
      <c r="G74" s="2">
        <f t="shared" si="1"/>
        <v>48286.860000000015</v>
      </c>
      <c r="H74" s="2">
        <f t="shared" si="1"/>
        <v>56155.739999999991</v>
      </c>
      <c r="I74" s="2">
        <f t="shared" si="1"/>
        <v>58784.94</v>
      </c>
      <c r="J74" s="2">
        <f t="shared" si="1"/>
        <v>61717.959999999992</v>
      </c>
      <c r="K74" s="2">
        <f t="shared" si="1"/>
        <v>62223.770000000019</v>
      </c>
    </row>
    <row r="75" spans="1:11" x14ac:dyDescent="0.3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5" t="s">
        <v>167</v>
      </c>
      <c r="B76" s="2">
        <f>B61</f>
        <v>168330.03</v>
      </c>
      <c r="C76" s="2">
        <f t="shared" ref="C76:K76" si="2">C61</f>
        <v>218425.99</v>
      </c>
      <c r="D76" s="2">
        <f t="shared" si="2"/>
        <v>237314.79</v>
      </c>
      <c r="E76" s="2">
        <f t="shared" si="2"/>
        <v>263184.12</v>
      </c>
      <c r="F76" s="2">
        <f t="shared" si="2"/>
        <v>272580.36</v>
      </c>
      <c r="G76" s="2">
        <f t="shared" si="2"/>
        <v>327191.81</v>
      </c>
      <c r="H76" s="2">
        <f t="shared" si="2"/>
        <v>305703.49</v>
      </c>
      <c r="I76" s="2">
        <f t="shared" si="2"/>
        <v>320179.39</v>
      </c>
      <c r="J76" s="2">
        <f t="shared" si="2"/>
        <v>341569.91</v>
      </c>
      <c r="K76" s="2">
        <f t="shared" si="2"/>
        <v>329061.49</v>
      </c>
    </row>
    <row r="77" spans="1:11" x14ac:dyDescent="0.3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1" t="s">
        <v>45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3" t="s">
        <v>11</v>
      </c>
      <c r="B81" s="4">
        <v>41364</v>
      </c>
      <c r="C81" s="4">
        <v>41729</v>
      </c>
      <c r="D81" s="4">
        <v>42094</v>
      </c>
      <c r="E81" s="4">
        <v>42460</v>
      </c>
      <c r="F81" s="4">
        <v>42825</v>
      </c>
      <c r="G81" s="4">
        <v>43190</v>
      </c>
      <c r="H81" s="4">
        <v>43555</v>
      </c>
      <c r="I81" s="4">
        <v>43921</v>
      </c>
      <c r="J81" s="4">
        <v>44286</v>
      </c>
      <c r="K81" s="4">
        <v>44651</v>
      </c>
    </row>
    <row r="82" spans="1:11" x14ac:dyDescent="0.3">
      <c r="A82" s="5" t="s">
        <v>46</v>
      </c>
      <c r="B82">
        <v>22162.61</v>
      </c>
      <c r="C82">
        <v>36151.160000000003</v>
      </c>
      <c r="D82">
        <v>35531.26</v>
      </c>
      <c r="E82">
        <v>37899.54</v>
      </c>
      <c r="F82">
        <v>30199.25</v>
      </c>
      <c r="G82">
        <v>23857.42</v>
      </c>
      <c r="H82">
        <v>18890.75</v>
      </c>
      <c r="I82">
        <v>26632.94</v>
      </c>
      <c r="J82">
        <v>29000.51</v>
      </c>
      <c r="K82">
        <v>14282.83</v>
      </c>
    </row>
    <row r="83" spans="1:11" x14ac:dyDescent="0.3">
      <c r="A83" s="5" t="s">
        <v>47</v>
      </c>
      <c r="B83">
        <v>-22969.45</v>
      </c>
      <c r="C83">
        <v>-27990.91</v>
      </c>
      <c r="D83">
        <v>-36232.35</v>
      </c>
      <c r="E83">
        <v>-36693.9</v>
      </c>
      <c r="F83">
        <v>-39571.4</v>
      </c>
      <c r="G83">
        <v>-25139.14</v>
      </c>
      <c r="H83">
        <v>-20878.07</v>
      </c>
      <c r="I83">
        <v>-33114.550000000003</v>
      </c>
      <c r="J83">
        <v>-25672.5</v>
      </c>
      <c r="K83">
        <v>-4443.66</v>
      </c>
    </row>
    <row r="84" spans="1:11" x14ac:dyDescent="0.3">
      <c r="A84" s="5" t="s">
        <v>48</v>
      </c>
      <c r="B84">
        <v>-1692.08</v>
      </c>
      <c r="C84">
        <v>-3883.24</v>
      </c>
      <c r="D84">
        <v>5201.4399999999996</v>
      </c>
      <c r="E84">
        <v>-3795.12</v>
      </c>
      <c r="F84">
        <v>6205.3</v>
      </c>
      <c r="G84">
        <v>2011.71</v>
      </c>
      <c r="H84">
        <v>8830.3700000000008</v>
      </c>
      <c r="I84">
        <v>3389.61</v>
      </c>
      <c r="J84">
        <v>9904.2000000000007</v>
      </c>
      <c r="K84">
        <v>-3380.17</v>
      </c>
    </row>
    <row r="85" spans="1:11" x14ac:dyDescent="0.3">
      <c r="A85" s="5" t="s">
        <v>49</v>
      </c>
      <c r="B85">
        <v>-2498.92</v>
      </c>
      <c r="C85">
        <v>4277.01</v>
      </c>
      <c r="D85">
        <v>4500.3500000000004</v>
      </c>
      <c r="E85">
        <v>-2589.48</v>
      </c>
      <c r="F85">
        <v>-3166.85</v>
      </c>
      <c r="G85">
        <v>729.99</v>
      </c>
      <c r="H85">
        <v>6843.05</v>
      </c>
      <c r="I85">
        <v>-3092</v>
      </c>
      <c r="J85">
        <v>13232.21</v>
      </c>
      <c r="K85">
        <v>6459</v>
      </c>
    </row>
    <row r="86" spans="1:11" x14ac:dyDescent="0.3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1" t="s">
        <v>50</v>
      </c>
      <c r="B90">
        <v>266.3</v>
      </c>
      <c r="C90">
        <v>394.42</v>
      </c>
      <c r="D90">
        <v>544.37</v>
      </c>
      <c r="E90">
        <v>386.6</v>
      </c>
      <c r="F90">
        <v>465.85</v>
      </c>
      <c r="G90">
        <v>326.85000000000002</v>
      </c>
      <c r="H90">
        <v>174.25</v>
      </c>
      <c r="I90">
        <v>71.05</v>
      </c>
      <c r="J90">
        <v>301.8</v>
      </c>
      <c r="K90">
        <v>433.75</v>
      </c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1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2" t="s">
        <v>52</v>
      </c>
      <c r="B93" s="6">
        <v>285.72000000000003</v>
      </c>
      <c r="C93" s="6">
        <v>288.74</v>
      </c>
      <c r="D93" s="6">
        <v>288.74</v>
      </c>
      <c r="E93" s="6">
        <v>288.72000000000003</v>
      </c>
      <c r="F93" s="6">
        <v>288.73</v>
      </c>
      <c r="G93" s="6">
        <v>288.73</v>
      </c>
      <c r="H93" s="6">
        <v>288.73</v>
      </c>
      <c r="I93" s="6">
        <v>308.89999999999998</v>
      </c>
      <c r="J93" s="6">
        <v>332.03</v>
      </c>
      <c r="K93" s="6">
        <v>332.07</v>
      </c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BDF644B4-D0BE-4348-8FFB-56006DEFE7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B64B-4C93-4C5A-B5C9-D6ADF6BF6DEC}">
  <sheetPr>
    <tabColor rgb="FF92D050"/>
  </sheetPr>
  <dimension ref="A1:X110"/>
  <sheetViews>
    <sheetView showGridLines="0" tabSelected="1" workbookViewId="0">
      <pane xSplit="1" ySplit="3" topLeftCell="B61" activePane="bottomRight" state="frozen"/>
      <selection pane="topRight" activeCell="B1" sqref="B1"/>
      <selection pane="bottomLeft" activeCell="A4" sqref="A4"/>
      <selection pane="bottomRight" activeCell="M55" sqref="M55"/>
    </sheetView>
  </sheetViews>
  <sheetFormatPr defaultRowHeight="14.4" x14ac:dyDescent="0.3"/>
  <cols>
    <col min="1" max="1" width="1.88671875" customWidth="1"/>
    <col min="2" max="2" width="28.44140625" customWidth="1"/>
    <col min="3" max="3" width="14.33203125" customWidth="1"/>
    <col min="4" max="4" width="15.33203125" customWidth="1"/>
    <col min="5" max="5" width="13.88671875" customWidth="1"/>
    <col min="6" max="6" width="13.5546875" customWidth="1"/>
    <col min="7" max="7" width="14.77734375" customWidth="1"/>
    <col min="8" max="8" width="13.109375" customWidth="1"/>
    <col min="9" max="9" width="13.88671875" customWidth="1"/>
    <col min="10" max="10" width="11.6640625" customWidth="1"/>
    <col min="11" max="11" width="13.6640625" customWidth="1"/>
    <col min="12" max="12" width="16.109375" customWidth="1"/>
    <col min="13" max="13" width="13.21875" customWidth="1"/>
    <col min="14" max="14" width="10.44140625" bestFit="1" customWidth="1"/>
    <col min="15" max="15" width="10.33203125" customWidth="1"/>
    <col min="16" max="16" width="12.5546875" customWidth="1"/>
    <col min="17" max="17" width="12.109375" customWidth="1"/>
    <col min="18" max="18" width="12.33203125" customWidth="1"/>
    <col min="19" max="19" width="11.21875" customWidth="1"/>
    <col min="20" max="20" width="11.77734375" customWidth="1"/>
    <col min="21" max="21" width="10.5546875" customWidth="1"/>
    <col min="22" max="22" width="13.88671875" customWidth="1"/>
    <col min="23" max="23" width="11.6640625" customWidth="1"/>
  </cols>
  <sheetData>
    <row r="1" spans="1:17" x14ac:dyDescent="0.3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7" x14ac:dyDescent="0.3">
      <c r="B2" s="143" t="str">
        <f>"HISTORICAL Financial statement- "&amp; 'Data sheet Tata Motors'!B1</f>
        <v>HISTORICAL Financial statement- TATA MOTORS LTD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7" x14ac:dyDescent="0.3">
      <c r="B3" s="7" t="s">
        <v>53</v>
      </c>
      <c r="C3" s="8">
        <f>'Data sheet Tata Motors'!B16</f>
        <v>41364</v>
      </c>
      <c r="D3" s="8">
        <f>'Data sheet Tata Motors'!C16</f>
        <v>41729</v>
      </c>
      <c r="E3" s="8">
        <f>'Data sheet Tata Motors'!D16</f>
        <v>42094</v>
      </c>
      <c r="F3" s="8">
        <f>'Data sheet Tata Motors'!E16</f>
        <v>42460</v>
      </c>
      <c r="G3" s="8">
        <f>'Data sheet Tata Motors'!F16</f>
        <v>42825</v>
      </c>
      <c r="H3" s="8">
        <f>'Data sheet Tata Motors'!G16</f>
        <v>43190</v>
      </c>
      <c r="I3" s="8">
        <f>'Data sheet Tata Motors'!H16</f>
        <v>43555</v>
      </c>
      <c r="J3" s="8">
        <f>'Data sheet Tata Motors'!I16</f>
        <v>43921</v>
      </c>
      <c r="K3" s="8">
        <f>'Data sheet Tata Motors'!J16</f>
        <v>44286</v>
      </c>
      <c r="L3" s="8">
        <f>'Data sheet Tata Motors'!K16</f>
        <v>44651</v>
      </c>
      <c r="M3" s="9" t="s">
        <v>54</v>
      </c>
    </row>
    <row r="4" spans="1:17" x14ac:dyDescent="0.3">
      <c r="A4" s="69" t="s">
        <v>56</v>
      </c>
      <c r="B4" s="13" t="s">
        <v>55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" x14ac:dyDescent="0.3">
      <c r="B5" s="108" t="s">
        <v>12</v>
      </c>
      <c r="C5" s="10">
        <f>IFERROR('Data sheet Tata Motors'!B17,0)</f>
        <v>188792.69</v>
      </c>
      <c r="D5" s="10">
        <f>IFERROR('Data sheet Tata Motors'!C17,0)</f>
        <v>232833.66</v>
      </c>
      <c r="E5" s="10">
        <f>IFERROR('Data sheet Tata Motors'!D17,0)</f>
        <v>263158.98</v>
      </c>
      <c r="F5" s="10">
        <f>IFERROR('Data sheet Tata Motors'!E17,0)</f>
        <v>273045.59999999998</v>
      </c>
      <c r="G5" s="10">
        <f>IFERROR('Data sheet Tata Motors'!F17,0)</f>
        <v>269692.51</v>
      </c>
      <c r="H5" s="10">
        <f>IFERROR('Data sheet Tata Motors'!G17,0)</f>
        <v>291550.48</v>
      </c>
      <c r="I5" s="10">
        <f>IFERROR('Data sheet Tata Motors'!H17,0)</f>
        <v>301938.40000000002</v>
      </c>
      <c r="J5" s="10">
        <f>IFERROR('Data sheet Tata Motors'!I17,0)</f>
        <v>261067.97</v>
      </c>
      <c r="K5" s="10">
        <f>IFERROR('Data sheet Tata Motors'!J17,0)</f>
        <v>249794.75</v>
      </c>
      <c r="L5" s="10">
        <f>IFERROR('Data sheet Tata Motors'!K17,0)</f>
        <v>278453.62</v>
      </c>
      <c r="M5" s="10">
        <f>IFERROR(SUM('Data sheet Tata Motors'!G42:J42),0)</f>
        <v>302214.38</v>
      </c>
    </row>
    <row r="6" spans="1:17" x14ac:dyDescent="0.3">
      <c r="B6" s="109" t="s">
        <v>57</v>
      </c>
      <c r="C6" s="21">
        <v>0</v>
      </c>
      <c r="D6" s="102">
        <f>D5/C5-1</f>
        <v>0.23327688164197458</v>
      </c>
      <c r="E6" s="102">
        <f t="shared" ref="E6:M6" si="0">E5/D5-1</f>
        <v>0.13024457030826198</v>
      </c>
      <c r="F6" s="102">
        <f t="shared" si="0"/>
        <v>3.75690010654397E-2</v>
      </c>
      <c r="G6" s="102">
        <f t="shared" si="0"/>
        <v>-1.2280329732469508E-2</v>
      </c>
      <c r="H6" s="102">
        <f t="shared" si="0"/>
        <v>8.104774581985974E-2</v>
      </c>
      <c r="I6" s="102">
        <f t="shared" si="0"/>
        <v>3.5629919045237157E-2</v>
      </c>
      <c r="J6" s="102">
        <f t="shared" si="0"/>
        <v>-0.135360159555724</v>
      </c>
      <c r="K6" s="102">
        <f t="shared" si="0"/>
        <v>-4.3181168490336042E-2</v>
      </c>
      <c r="L6" s="102">
        <f t="shared" si="0"/>
        <v>0.11472967306158344</v>
      </c>
      <c r="M6" s="102">
        <f t="shared" si="0"/>
        <v>8.5331122648001578E-2</v>
      </c>
      <c r="O6" s="72"/>
    </row>
    <row r="7" spans="1:17" x14ac:dyDescent="0.3">
      <c r="B7" s="108"/>
    </row>
    <row r="8" spans="1:17" x14ac:dyDescent="0.3">
      <c r="B8" s="108" t="s">
        <v>58</v>
      </c>
      <c r="C8" s="10">
        <f>IFERROR(SUM('Data sheet Tata Motors'!B18,'Data sheet Tata Motors'!B20,'Data sheet Tata Motors'!B21,'Data sheet Tata Motors'!B22)-1*'Data sheet Tata Motors'!B19,0)</f>
        <v>142238.74</v>
      </c>
      <c r="D8" s="10">
        <f>IFERROR(SUM('Data sheet Tata Motors'!C18,'Data sheet Tata Motors'!C20,'Data sheet Tata Motors'!C21,'Data sheet Tata Motors'!C22)-1*'Data sheet Tata Motors'!C19,0)</f>
        <v>180131.06000000003</v>
      </c>
      <c r="E8" s="10">
        <f>IFERROR(SUM('Data sheet Tata Motors'!D18,'Data sheet Tata Motors'!D20,'Data sheet Tata Motors'!D21,'Data sheet Tata Motors'!D22)-1*'Data sheet Tata Motors'!D19,0)</f>
        <v>202856.88</v>
      </c>
      <c r="F8" s="10">
        <f>IFERROR(SUM('Data sheet Tata Motors'!E18,'Data sheet Tata Motors'!E20,'Data sheet Tata Motors'!E21,'Data sheet Tata Motors'!E22)-1*'Data sheet Tata Motors'!E19,0)</f>
        <v>205509.07</v>
      </c>
      <c r="G8" s="10">
        <f>IFERROR(SUM('Data sheet Tata Motors'!F18,'Data sheet Tata Motors'!F20,'Data sheet Tata Motors'!F21,'Data sheet Tata Motors'!F22)-1*'Data sheet Tata Motors'!F19,0)</f>
        <v>205454.23999999996</v>
      </c>
      <c r="H8" s="10">
        <f>IFERROR(SUM('Data sheet Tata Motors'!G18,'Data sheet Tata Motors'!G20,'Data sheet Tata Motors'!G21,'Data sheet Tata Motors'!G22)-1*'Data sheet Tata Motors'!G19,0)</f>
        <v>228429.83</v>
      </c>
      <c r="I8" s="10">
        <f>IFERROR(SUM('Data sheet Tata Motors'!H18,'Data sheet Tata Motors'!H20,'Data sheet Tata Motors'!H21,'Data sheet Tata Motors'!H22)-1*'Data sheet Tata Motors'!H19,0)</f>
        <v>242845.53</v>
      </c>
      <c r="J8" s="10">
        <f>IFERROR(SUM('Data sheet Tata Motors'!I18,'Data sheet Tata Motors'!I20,'Data sheet Tata Motors'!I21,'Data sheet Tata Motors'!I22)-1*'Data sheet Tata Motors'!I19,0)</f>
        <v>210376.07000000004</v>
      </c>
      <c r="K8" s="10">
        <f>IFERROR(SUM('Data sheet Tata Motors'!J18,'Data sheet Tata Motors'!J20,'Data sheet Tata Motors'!J21,'Data sheet Tata Motors'!J22)-1*'Data sheet Tata Motors'!J19,0)</f>
        <v>195326.04</v>
      </c>
      <c r="L8" s="10">
        <f>IFERROR(SUM('Data sheet Tata Motors'!K18,'Data sheet Tata Motors'!K20,'Data sheet Tata Motors'!K21,'Data sheet Tata Motors'!K22)-1*'Data sheet Tata Motors'!K19,0)</f>
        <v>223300.00999999998</v>
      </c>
      <c r="M8" s="10">
        <f>IFERROR(SUM('Data sheet Tata Motors'!G43:J43),0)</f>
        <v>278868.53000000003</v>
      </c>
    </row>
    <row r="9" spans="1:17" x14ac:dyDescent="0.3">
      <c r="B9" s="109" t="s">
        <v>59</v>
      </c>
      <c r="C9" s="102">
        <f>C8/C5</f>
        <v>0.75341232756416565</v>
      </c>
      <c r="D9" s="102">
        <f t="shared" ref="D9:M9" si="1">D8/D5</f>
        <v>0.77364698901353024</v>
      </c>
      <c r="E9" s="102">
        <f t="shared" si="1"/>
        <v>0.77085296500237244</v>
      </c>
      <c r="F9" s="102">
        <f t="shared" si="1"/>
        <v>0.75265475803309057</v>
      </c>
      <c r="G9" s="102">
        <f t="shared" si="1"/>
        <v>0.76180921746770036</v>
      </c>
      <c r="H9" s="102">
        <f t="shared" si="1"/>
        <v>0.78350009919380004</v>
      </c>
      <c r="I9" s="102">
        <f t="shared" si="1"/>
        <v>0.80428832503583503</v>
      </c>
      <c r="J9" s="102">
        <f t="shared" si="1"/>
        <v>0.80582872728508226</v>
      </c>
      <c r="K9" s="102">
        <f t="shared" si="1"/>
        <v>0.7819461377791167</v>
      </c>
      <c r="L9" s="102">
        <f t="shared" si="1"/>
        <v>0.80192891728252624</v>
      </c>
      <c r="M9" s="102">
        <f t="shared" si="1"/>
        <v>0.92275069770008966</v>
      </c>
    </row>
    <row r="10" spans="1:17" x14ac:dyDescent="0.3">
      <c r="B10" s="108"/>
    </row>
    <row r="11" spans="1:17" x14ac:dyDescent="0.3">
      <c r="B11" s="110" t="s">
        <v>60</v>
      </c>
      <c r="C11" s="26">
        <f>C5-C8</f>
        <v>46553.950000000012</v>
      </c>
      <c r="D11" s="26">
        <f t="shared" ref="D11:M11" si="2">D5-D8</f>
        <v>52702.599999999977</v>
      </c>
      <c r="E11" s="26">
        <f t="shared" si="2"/>
        <v>60302.099999999977</v>
      </c>
      <c r="F11" s="26">
        <f t="shared" si="2"/>
        <v>67536.52999999997</v>
      </c>
      <c r="G11" s="26">
        <f t="shared" si="2"/>
        <v>64238.270000000048</v>
      </c>
      <c r="H11" s="26">
        <f t="shared" si="2"/>
        <v>63120.649999999994</v>
      </c>
      <c r="I11" s="26">
        <f t="shared" si="2"/>
        <v>59092.870000000024</v>
      </c>
      <c r="J11" s="26">
        <f t="shared" si="2"/>
        <v>50691.899999999965</v>
      </c>
      <c r="K11" s="26">
        <f t="shared" si="2"/>
        <v>54468.709999999992</v>
      </c>
      <c r="L11" s="26">
        <f t="shared" si="2"/>
        <v>55153.610000000015</v>
      </c>
      <c r="M11" s="26">
        <f t="shared" si="2"/>
        <v>23345.849999999977</v>
      </c>
    </row>
    <row r="12" spans="1:17" ht="15" customHeight="1" x14ac:dyDescent="0.3">
      <c r="B12" s="109" t="s">
        <v>132</v>
      </c>
      <c r="C12" s="102">
        <f>C11/C5</f>
        <v>0.24658767243583429</v>
      </c>
      <c r="D12" s="102">
        <f t="shared" ref="D12:M12" si="3">D11/D5</f>
        <v>0.22635301098646982</v>
      </c>
      <c r="E12" s="102">
        <f t="shared" si="3"/>
        <v>0.22914703499762759</v>
      </c>
      <c r="F12" s="102">
        <f t="shared" si="3"/>
        <v>0.24734524196690946</v>
      </c>
      <c r="G12" s="102">
        <f t="shared" si="3"/>
        <v>0.23819078253229964</v>
      </c>
      <c r="H12" s="102">
        <f t="shared" si="3"/>
        <v>0.21649990080619999</v>
      </c>
      <c r="I12" s="102">
        <f t="shared" si="3"/>
        <v>0.19571167496416494</v>
      </c>
      <c r="J12" s="102">
        <f t="shared" si="3"/>
        <v>0.19417127271491774</v>
      </c>
      <c r="K12" s="102">
        <f t="shared" si="3"/>
        <v>0.2180538622208833</v>
      </c>
      <c r="L12" s="102">
        <f t="shared" si="3"/>
        <v>0.19807108271747378</v>
      </c>
      <c r="M12" s="102">
        <f t="shared" si="3"/>
        <v>7.7249302299910338E-2</v>
      </c>
    </row>
    <row r="13" spans="1:17" ht="25.2" customHeight="1" x14ac:dyDescent="0.3">
      <c r="B13" s="108" t="s">
        <v>61</v>
      </c>
      <c r="C13" s="11">
        <f>IFERROR(SUM('Data sheet Tata Motors'!B23:B24),0)</f>
        <v>21957.97</v>
      </c>
      <c r="D13" s="11">
        <f>IFERROR(SUM('Data sheet Tata Motors'!C23:C24),0)</f>
        <v>17849.240000000002</v>
      </c>
      <c r="E13" s="11">
        <f>IFERROR(SUM('Data sheet Tata Motors'!D23:D24),0)</f>
        <v>21063.449999999997</v>
      </c>
      <c r="F13" s="11">
        <f>IFERROR(SUM('Data sheet Tata Motors'!E23:E24),0)</f>
        <v>29141.280000000002</v>
      </c>
      <c r="G13" s="11">
        <f>IFERROR(SUM('Data sheet Tata Motors'!F23:F24),0)</f>
        <v>34649.58</v>
      </c>
      <c r="H13" s="11">
        <f>IFERROR(SUM('Data sheet Tata Motors'!G23:G24),0)</f>
        <v>31662.97</v>
      </c>
      <c r="I13" s="11">
        <f>IFERROR(SUM('Data sheet Tata Motors'!H23:H24),0)</f>
        <v>34428.54</v>
      </c>
      <c r="J13" s="11">
        <f>IFERROR(SUM('Data sheet Tata Motors'!I23:I24),0)</f>
        <v>32704.83</v>
      </c>
      <c r="K13" s="11">
        <f>IFERROR(SUM('Data sheet Tata Motors'!J23:J24),0)</f>
        <v>22181.280000000002</v>
      </c>
      <c r="L13" s="11">
        <f>IFERROR(SUM('Data sheet Tata Motors'!K23:K24),0)</f>
        <v>30433.52</v>
      </c>
      <c r="M13" s="11">
        <f>IFERROR(SUM('Data sheet Tata Motors'!L23:L24),0)</f>
        <v>0</v>
      </c>
    </row>
    <row r="14" spans="1:17" x14ac:dyDescent="0.3">
      <c r="B14" s="109" t="s">
        <v>62</v>
      </c>
      <c r="C14" s="102">
        <f>C13/C5</f>
        <v>0.11630731041546154</v>
      </c>
      <c r="D14" s="102">
        <f t="shared" ref="D14:M14" si="4">D13/D5</f>
        <v>7.6660908908102038E-2</v>
      </c>
      <c r="E14" s="102">
        <f t="shared" si="4"/>
        <v>8.0040779911823637E-2</v>
      </c>
      <c r="F14" s="102">
        <f t="shared" si="4"/>
        <v>0.10672678849247161</v>
      </c>
      <c r="G14" s="102">
        <f t="shared" si="4"/>
        <v>0.12847809529452636</v>
      </c>
      <c r="H14" s="102">
        <f t="shared" si="4"/>
        <v>0.10860201636437025</v>
      </c>
      <c r="I14" s="102">
        <f t="shared" si="4"/>
        <v>0.11402504616835751</v>
      </c>
      <c r="J14" s="102">
        <f t="shared" si="4"/>
        <v>0.12527323822987554</v>
      </c>
      <c r="K14" s="102">
        <f t="shared" si="4"/>
        <v>8.8798023177028354E-2</v>
      </c>
      <c r="L14" s="102">
        <f t="shared" si="4"/>
        <v>0.10929475436519734</v>
      </c>
      <c r="M14" s="102">
        <f t="shared" si="4"/>
        <v>0</v>
      </c>
      <c r="O14" s="140"/>
      <c r="P14" s="140"/>
      <c r="Q14" s="140"/>
    </row>
    <row r="15" spans="1:17" x14ac:dyDescent="0.3">
      <c r="B15" s="108"/>
    </row>
    <row r="16" spans="1:17" x14ac:dyDescent="0.3">
      <c r="B16" s="110" t="s">
        <v>63</v>
      </c>
      <c r="C16" s="26">
        <f>C11-C13</f>
        <v>24595.98000000001</v>
      </c>
      <c r="D16" s="26">
        <f t="shared" ref="D16:L16" si="5">D11-D13</f>
        <v>34853.359999999971</v>
      </c>
      <c r="E16" s="26">
        <f t="shared" si="5"/>
        <v>39238.64999999998</v>
      </c>
      <c r="F16" s="26">
        <f t="shared" si="5"/>
        <v>38395.249999999971</v>
      </c>
      <c r="G16" s="26">
        <f t="shared" si="5"/>
        <v>29588.690000000046</v>
      </c>
      <c r="H16" s="26">
        <f t="shared" si="5"/>
        <v>31457.679999999993</v>
      </c>
      <c r="I16" s="26">
        <f t="shared" si="5"/>
        <v>24664.330000000024</v>
      </c>
      <c r="J16" s="26">
        <f t="shared" si="5"/>
        <v>17987.069999999963</v>
      </c>
      <c r="K16" s="26">
        <f t="shared" si="5"/>
        <v>32287.429999999989</v>
      </c>
      <c r="L16" s="26">
        <f t="shared" si="5"/>
        <v>24720.090000000015</v>
      </c>
      <c r="M16" s="26">
        <f>IFERROR(SUM('Data sheet Tata Motors'!G51:J51),0)</f>
        <v>27983.82</v>
      </c>
    </row>
    <row r="17" spans="2:24" x14ac:dyDescent="0.3">
      <c r="B17" s="109" t="s">
        <v>65</v>
      </c>
      <c r="C17" s="102">
        <f>C16/C5</f>
        <v>0.13028036202037277</v>
      </c>
      <c r="D17" s="102">
        <f t="shared" ref="D17:M17" si="6">D16/D5</f>
        <v>0.14969210207836775</v>
      </c>
      <c r="E17" s="102">
        <f t="shared" si="6"/>
        <v>0.14910625508580397</v>
      </c>
      <c r="F17" s="102">
        <f t="shared" si="6"/>
        <v>0.14061845347443788</v>
      </c>
      <c r="G17" s="102">
        <f t="shared" si="6"/>
        <v>0.10971268723777329</v>
      </c>
      <c r="H17" s="102">
        <f t="shared" si="6"/>
        <v>0.10789788444182975</v>
      </c>
      <c r="I17" s="102">
        <f t="shared" si="6"/>
        <v>8.1686628795807431E-2</v>
      </c>
      <c r="J17" s="102">
        <f t="shared" si="6"/>
        <v>6.8898034485042198E-2</v>
      </c>
      <c r="K17" s="102">
        <f t="shared" si="6"/>
        <v>0.12925583904385496</v>
      </c>
      <c r="L17" s="102">
        <f t="shared" si="6"/>
        <v>8.877632835227646E-2</v>
      </c>
      <c r="M17" s="102">
        <f t="shared" si="6"/>
        <v>9.2595924786901276E-2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2:24" x14ac:dyDescent="0.3">
      <c r="B18" s="108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2:24" x14ac:dyDescent="0.3">
      <c r="B19" s="108" t="s">
        <v>66</v>
      </c>
      <c r="C19" s="11">
        <f>IFERROR('Data sheet Tata Motors'!B27,0)</f>
        <v>3560.25</v>
      </c>
      <c r="D19" s="11">
        <f>IFERROR('Data sheet Tata Motors'!C27,0)</f>
        <v>4749.4399999999996</v>
      </c>
      <c r="E19" s="11">
        <f>IFERROR('Data sheet Tata Motors'!D27,0)</f>
        <v>4861.49</v>
      </c>
      <c r="F19" s="11">
        <f>IFERROR('Data sheet Tata Motors'!E27,0)</f>
        <v>4889.08</v>
      </c>
      <c r="G19" s="11">
        <f>IFERROR('Data sheet Tata Motors'!F27,0)</f>
        <v>4238.01</v>
      </c>
      <c r="H19" s="11">
        <f>IFERROR('Data sheet Tata Motors'!G27,0)</f>
        <v>4681.79</v>
      </c>
      <c r="I19" s="11">
        <f>IFERROR('Data sheet Tata Motors'!H27,0)</f>
        <v>5758.6</v>
      </c>
      <c r="J19" s="11">
        <f>IFERROR('Data sheet Tata Motors'!I27,0)</f>
        <v>7243.33</v>
      </c>
      <c r="K19" s="11">
        <f>IFERROR('Data sheet Tata Motors'!J27,0)</f>
        <v>8097.17</v>
      </c>
      <c r="L19" s="11">
        <f>IFERROR('Data sheet Tata Motors'!K27,0)</f>
        <v>9311.86</v>
      </c>
      <c r="M19" s="11">
        <f>IFERROR(SUM('Data sheet Tata Motors'!G46:J46),0)</f>
        <v>9689.24</v>
      </c>
      <c r="N19" s="11"/>
      <c r="O19" s="11"/>
      <c r="P19" s="11"/>
      <c r="Q19" s="11"/>
      <c r="R19" s="11"/>
      <c r="S19" s="11"/>
      <c r="T19" s="11"/>
    </row>
    <row r="20" spans="2:24" x14ac:dyDescent="0.3">
      <c r="B20" s="109" t="s">
        <v>67</v>
      </c>
      <c r="C20" s="102">
        <f>C19/C5</f>
        <v>1.8857986503608801E-2</v>
      </c>
      <c r="D20" s="102">
        <f t="shared" ref="D20:M20" si="7">D19/D5</f>
        <v>2.0398425210512945E-2</v>
      </c>
      <c r="E20" s="102">
        <f t="shared" si="7"/>
        <v>1.8473585814932098E-2</v>
      </c>
      <c r="F20" s="102">
        <f t="shared" si="7"/>
        <v>1.7905727101993223E-2</v>
      </c>
      <c r="G20" s="102">
        <f t="shared" si="7"/>
        <v>1.5714229512714312E-2</v>
      </c>
      <c r="H20" s="102">
        <f t="shared" si="7"/>
        <v>1.605824830060304E-2</v>
      </c>
      <c r="I20" s="102">
        <f t="shared" si="7"/>
        <v>1.9072102124141878E-2</v>
      </c>
      <c r="J20" s="102">
        <f t="shared" si="7"/>
        <v>2.7744996829752802E-2</v>
      </c>
      <c r="K20" s="102">
        <f t="shared" si="7"/>
        <v>3.2415292955516477E-2</v>
      </c>
      <c r="L20" s="102">
        <f t="shared" si="7"/>
        <v>3.3441332168710897E-2</v>
      </c>
      <c r="M20" s="102">
        <f t="shared" si="7"/>
        <v>3.2060817225176376E-2</v>
      </c>
      <c r="N20" s="102"/>
      <c r="O20" s="102"/>
      <c r="P20" s="102"/>
      <c r="Q20" s="102"/>
      <c r="R20" s="102"/>
      <c r="S20" s="102"/>
      <c r="T20" s="102"/>
    </row>
    <row r="21" spans="2:24" x14ac:dyDescent="0.3">
      <c r="B21" s="108"/>
    </row>
    <row r="22" spans="2:24" x14ac:dyDescent="0.3">
      <c r="B22" s="108" t="s">
        <v>68</v>
      </c>
      <c r="C22" s="11">
        <f>IFERROR('Data sheet Tata Motors'!B26,0)</f>
        <v>7601.28</v>
      </c>
      <c r="D22" s="11">
        <f>IFERROR('Data sheet Tata Motors'!C26,0)</f>
        <v>11078.16</v>
      </c>
      <c r="E22" s="11">
        <f>IFERROR('Data sheet Tata Motors'!D26,0)</f>
        <v>13388.63</v>
      </c>
      <c r="F22" s="11">
        <f>IFERROR('Data sheet Tata Motors'!E26,0)</f>
        <v>16710.78</v>
      </c>
      <c r="G22" s="11">
        <f>IFERROR('Data sheet Tata Motors'!F26,0)</f>
        <v>17904.990000000002</v>
      </c>
      <c r="H22" s="11">
        <f>IFERROR('Data sheet Tata Motors'!G26,0)</f>
        <v>21553.59</v>
      </c>
      <c r="I22" s="11">
        <f>IFERROR('Data sheet Tata Motors'!H26,0)</f>
        <v>23590.63</v>
      </c>
      <c r="J22" s="11">
        <f>IFERROR('Data sheet Tata Motors'!I26,0)</f>
        <v>21425.43</v>
      </c>
      <c r="K22" s="11">
        <f>IFERROR('Data sheet Tata Motors'!J26,0)</f>
        <v>23546.71</v>
      </c>
      <c r="L22" s="11">
        <f>IFERROR('Data sheet Tata Motors'!K26,0)</f>
        <v>24835.69</v>
      </c>
      <c r="M22" s="11">
        <f>IFERROR(SUM('Data sheet Tata Motors'!G45:J45),0)</f>
        <v>24248.62</v>
      </c>
    </row>
    <row r="23" spans="2:24" x14ac:dyDescent="0.3">
      <c r="B23" s="109" t="s">
        <v>71</v>
      </c>
      <c r="C23" s="102">
        <f>C22/C5</f>
        <v>4.0262575844435503E-2</v>
      </c>
      <c r="D23" s="102">
        <f t="shared" ref="D23:M23" si="8">D22/D5</f>
        <v>4.757971849946438E-2</v>
      </c>
      <c r="E23" s="102">
        <f t="shared" si="8"/>
        <v>5.0876584184966822E-2</v>
      </c>
      <c r="F23" s="102">
        <f t="shared" si="8"/>
        <v>6.1201425695927715E-2</v>
      </c>
      <c r="G23" s="102">
        <f t="shared" si="8"/>
        <v>6.63903865924938E-2</v>
      </c>
      <c r="H23" s="102">
        <f t="shared" si="8"/>
        <v>7.3927472182518786E-2</v>
      </c>
      <c r="I23" s="102">
        <f t="shared" si="8"/>
        <v>7.8130605447998658E-2</v>
      </c>
      <c r="J23" s="102">
        <f t="shared" si="8"/>
        <v>8.206839774331566E-2</v>
      </c>
      <c r="K23" s="102">
        <f t="shared" si="8"/>
        <v>9.4264230933596482E-2</v>
      </c>
      <c r="L23" s="102">
        <f t="shared" si="8"/>
        <v>8.9191478279219347E-2</v>
      </c>
      <c r="M23" s="102">
        <f t="shared" si="8"/>
        <v>8.0236486430592738E-2</v>
      </c>
    </row>
    <row r="24" spans="2:24" x14ac:dyDescent="0.3">
      <c r="B24" s="108"/>
    </row>
    <row r="25" spans="2:24" x14ac:dyDescent="0.3">
      <c r="B25" s="110" t="s">
        <v>72</v>
      </c>
      <c r="C25" s="26">
        <f>IFERROR(C16-SUM(C22,C19),0)</f>
        <v>13434.450000000012</v>
      </c>
      <c r="D25" s="26">
        <f t="shared" ref="D25:M25" si="9">IFERROR(D16-SUM(D22,D19),0)</f>
        <v>19025.759999999973</v>
      </c>
      <c r="E25" s="26">
        <f t="shared" si="9"/>
        <v>20988.529999999981</v>
      </c>
      <c r="F25" s="26">
        <f t="shared" si="9"/>
        <v>16795.38999999997</v>
      </c>
      <c r="G25" s="26">
        <f t="shared" si="9"/>
        <v>7445.690000000046</v>
      </c>
      <c r="H25" s="26">
        <f t="shared" si="9"/>
        <v>5222.299999999992</v>
      </c>
      <c r="I25" s="27">
        <f t="shared" si="9"/>
        <v>-4684.8999999999796</v>
      </c>
      <c r="J25" s="27">
        <f t="shared" si="9"/>
        <v>-10681.690000000039</v>
      </c>
      <c r="K25" s="26">
        <f t="shared" si="9"/>
        <v>643.549999999992</v>
      </c>
      <c r="L25" s="27">
        <f t="shared" si="9"/>
        <v>-9427.4599999999882</v>
      </c>
      <c r="M25" s="27">
        <f t="shared" si="9"/>
        <v>-5954.0400000000009</v>
      </c>
      <c r="N25" s="11"/>
    </row>
    <row r="26" spans="2:24" x14ac:dyDescent="0.3">
      <c r="B26" s="109" t="s">
        <v>73</v>
      </c>
      <c r="C26" s="102">
        <f>C25/C5</f>
        <v>7.115979967232848E-2</v>
      </c>
      <c r="D26" s="102">
        <f t="shared" ref="D26:M26" si="10">D25/D5</f>
        <v>8.1713958368390432E-2</v>
      </c>
      <c r="E26" s="102">
        <f t="shared" si="10"/>
        <v>7.9756085085905037E-2</v>
      </c>
      <c r="F26" s="102">
        <f t="shared" si="10"/>
        <v>6.1511300676516931E-2</v>
      </c>
      <c r="G26" s="102">
        <f t="shared" si="10"/>
        <v>2.7608071132565179E-2</v>
      </c>
      <c r="H26" s="102">
        <f t="shared" si="10"/>
        <v>1.7912163958707913E-2</v>
      </c>
      <c r="I26" s="102">
        <f t="shared" si="10"/>
        <v>-1.5516078776333117E-2</v>
      </c>
      <c r="J26" s="102">
        <f t="shared" si="10"/>
        <v>-4.0915360088026265E-2</v>
      </c>
      <c r="K26" s="102">
        <f t="shared" si="10"/>
        <v>2.5763151547420113E-3</v>
      </c>
      <c r="L26" s="102">
        <f t="shared" si="10"/>
        <v>-3.3856482095653805E-2</v>
      </c>
      <c r="M26" s="102">
        <f t="shared" si="10"/>
        <v>-1.9701378868867858E-2</v>
      </c>
    </row>
    <row r="27" spans="2:24" x14ac:dyDescent="0.3">
      <c r="B27" s="108"/>
    </row>
    <row r="28" spans="2:24" x14ac:dyDescent="0.3">
      <c r="B28" s="108" t="s">
        <v>24</v>
      </c>
      <c r="C28" s="11">
        <f>IFERROR('Data sheet Tata Motors'!B29,0)</f>
        <v>3776.66</v>
      </c>
      <c r="D28" s="11">
        <f>IFERROR('Data sheet Tata Motors'!C29,0)</f>
        <v>4764.79</v>
      </c>
      <c r="E28" s="11">
        <f>IFERROR('Data sheet Tata Motors'!D29,0)</f>
        <v>7642.91</v>
      </c>
      <c r="F28" s="11">
        <f>IFERROR('Data sheet Tata Motors'!E29,0)</f>
        <v>3025.05</v>
      </c>
      <c r="G28" s="11">
        <f>IFERROR('Data sheet Tata Motors'!F29,0)</f>
        <v>3251.23</v>
      </c>
      <c r="H28" s="11">
        <f>IFERROR('Data sheet Tata Motors'!G29,0)</f>
        <v>4341.93</v>
      </c>
      <c r="I28" s="10">
        <f>IFERROR('Data sheet Tata Motors'!H29,0)</f>
        <v>-2437.4499999999998</v>
      </c>
      <c r="J28" s="11">
        <f>IFERROR('Data sheet Tata Motors'!I29,0)</f>
        <v>395.25</v>
      </c>
      <c r="K28" s="11">
        <f>IFERROR('Data sheet Tata Motors'!J29,0)</f>
        <v>2541.86</v>
      </c>
      <c r="L28" s="11">
        <f>IFERROR('Data sheet Tata Motors'!K29,0)</f>
        <v>4231.29</v>
      </c>
      <c r="M28" s="11">
        <f>IFERROR(SUM('Data sheet Tata Motors'!G48:J48),0)</f>
        <v>2546.15</v>
      </c>
    </row>
    <row r="29" spans="2:24" x14ac:dyDescent="0.3">
      <c r="B29" s="109" t="s">
        <v>74</v>
      </c>
      <c r="C29" s="102">
        <f>C28/C25</f>
        <v>0.28111757459367498</v>
      </c>
      <c r="D29" s="102">
        <f t="shared" ref="D29:M29" si="11">D28/D25</f>
        <v>0.25043887865714731</v>
      </c>
      <c r="E29" s="102">
        <f t="shared" si="11"/>
        <v>0.3641469888553418</v>
      </c>
      <c r="F29" s="102">
        <f t="shared" si="11"/>
        <v>0.18011192356950362</v>
      </c>
      <c r="G29" s="102">
        <f t="shared" si="11"/>
        <v>0.43665932908836924</v>
      </c>
      <c r="H29" s="102">
        <f t="shared" si="11"/>
        <v>0.8314210213890445</v>
      </c>
      <c r="I29" s="102">
        <f t="shared" si="11"/>
        <v>0.52027791414971725</v>
      </c>
      <c r="J29" s="102">
        <f t="shared" si="11"/>
        <v>-3.7002571690434617E-2</v>
      </c>
      <c r="K29" s="102">
        <f t="shared" si="11"/>
        <v>3.9497474943672315</v>
      </c>
      <c r="L29" s="102">
        <f t="shared" si="11"/>
        <v>-0.4488260888935095</v>
      </c>
      <c r="M29" s="102">
        <f t="shared" si="11"/>
        <v>-0.42763400984877492</v>
      </c>
    </row>
    <row r="30" spans="2:24" x14ac:dyDescent="0.3">
      <c r="B30" s="108"/>
    </row>
    <row r="31" spans="2:24" x14ac:dyDescent="0.3">
      <c r="B31" s="111" t="s">
        <v>75</v>
      </c>
      <c r="C31" s="33">
        <f>C25-C28</f>
        <v>9657.7900000000118</v>
      </c>
      <c r="D31" s="33">
        <f t="shared" ref="D31:M31" si="12">D25-D28</f>
        <v>14260.969999999972</v>
      </c>
      <c r="E31" s="33">
        <f t="shared" si="12"/>
        <v>13345.619999999981</v>
      </c>
      <c r="F31" s="33">
        <f t="shared" si="12"/>
        <v>13770.339999999971</v>
      </c>
      <c r="G31" s="33">
        <f t="shared" si="12"/>
        <v>4194.4600000000464</v>
      </c>
      <c r="H31" s="33">
        <f t="shared" si="12"/>
        <v>880.36999999999171</v>
      </c>
      <c r="I31" s="33">
        <f t="shared" si="12"/>
        <v>-2247.4499999999798</v>
      </c>
      <c r="J31" s="33">
        <f t="shared" si="12"/>
        <v>-11076.940000000039</v>
      </c>
      <c r="K31" s="33">
        <f t="shared" si="12"/>
        <v>-1898.3100000000081</v>
      </c>
      <c r="L31" s="33">
        <f t="shared" si="12"/>
        <v>-13658.749999999989</v>
      </c>
      <c r="M31" s="33">
        <f t="shared" si="12"/>
        <v>-8500.19</v>
      </c>
    </row>
    <row r="32" spans="2:24" x14ac:dyDescent="0.3">
      <c r="B32" s="109" t="s">
        <v>76</v>
      </c>
      <c r="C32" s="102">
        <f>C31/C5</f>
        <v>5.1155529379871709E-2</v>
      </c>
      <c r="D32" s="102">
        <f t="shared" ref="D32:M32" si="13">D31/D5</f>
        <v>6.124960626397391E-2</v>
      </c>
      <c r="E32" s="102">
        <f t="shared" si="13"/>
        <v>5.0713146858982282E-2</v>
      </c>
      <c r="F32" s="102">
        <f t="shared" si="13"/>
        <v>5.0432381990407359E-2</v>
      </c>
      <c r="G32" s="102">
        <f t="shared" si="13"/>
        <v>1.5552749314395296E-2</v>
      </c>
      <c r="H32" s="102">
        <f t="shared" si="13"/>
        <v>3.01961430487095E-3</v>
      </c>
      <c r="I32" s="102">
        <f t="shared" si="13"/>
        <v>-7.4434056747998256E-3</v>
      </c>
      <c r="J32" s="102">
        <f t="shared" si="13"/>
        <v>-4.2429333632923408E-2</v>
      </c>
      <c r="K32" s="102">
        <f t="shared" si="13"/>
        <v>-7.5994791724005731E-3</v>
      </c>
      <c r="L32" s="102">
        <f t="shared" si="13"/>
        <v>-4.9052154538339235E-2</v>
      </c>
      <c r="M32" s="102">
        <f t="shared" si="13"/>
        <v>-2.812635851411174E-2</v>
      </c>
    </row>
    <row r="33" spans="1:13" x14ac:dyDescent="0.3">
      <c r="B33" s="108"/>
    </row>
    <row r="34" spans="1:13" x14ac:dyDescent="0.3">
      <c r="B34" s="108" t="s">
        <v>77</v>
      </c>
      <c r="C34">
        <f>IFERROR('Data sheet Tata Motors'!B93,0)</f>
        <v>285.72000000000003</v>
      </c>
      <c r="D34">
        <f>IFERROR('Data sheet Tata Motors'!C93,0)</f>
        <v>288.74</v>
      </c>
      <c r="E34">
        <f>IFERROR('Data sheet Tata Motors'!D93,0)</f>
        <v>288.74</v>
      </c>
      <c r="F34">
        <f>IFERROR('Data sheet Tata Motors'!E93,0)</f>
        <v>288.72000000000003</v>
      </c>
      <c r="G34">
        <f>IFERROR('Data sheet Tata Motors'!F93,0)</f>
        <v>288.73</v>
      </c>
      <c r="H34">
        <f>IFERROR('Data sheet Tata Motors'!G93,0)</f>
        <v>288.73</v>
      </c>
      <c r="I34">
        <f>IFERROR('Data sheet Tata Motors'!H93,0)</f>
        <v>288.73</v>
      </c>
      <c r="J34">
        <f>IFERROR('Data sheet Tata Motors'!I93,0)</f>
        <v>308.89999999999998</v>
      </c>
      <c r="K34">
        <f>IFERROR('Data sheet Tata Motors'!J93,0)</f>
        <v>332.03</v>
      </c>
      <c r="L34">
        <f>IFERROR('Data sheet Tata Motors'!K93,0)</f>
        <v>332.07</v>
      </c>
      <c r="M34">
        <f>L34</f>
        <v>332.07</v>
      </c>
    </row>
    <row r="35" spans="1:13" x14ac:dyDescent="0.3">
      <c r="B35" s="108"/>
    </row>
    <row r="36" spans="1:13" x14ac:dyDescent="0.3">
      <c r="B36" s="108" t="s">
        <v>78</v>
      </c>
      <c r="C36" s="15">
        <f>IFERROR(C31/C34,0)</f>
        <v>33.80158896822067</v>
      </c>
      <c r="D36" s="15">
        <f t="shared" ref="D36:M36" si="14">IFERROR(D31/D34,0)</f>
        <v>49.390351180993186</v>
      </c>
      <c r="E36" s="15">
        <f t="shared" si="14"/>
        <v>46.220198102098706</v>
      </c>
      <c r="F36" s="15">
        <f t="shared" si="14"/>
        <v>47.694444444444336</v>
      </c>
      <c r="G36" s="15">
        <f t="shared" si="14"/>
        <v>14.527274616423808</v>
      </c>
      <c r="H36" s="15">
        <f t="shared" si="14"/>
        <v>3.049111626779315</v>
      </c>
      <c r="I36" s="15">
        <f t="shared" si="14"/>
        <v>-7.7839157690575265</v>
      </c>
      <c r="J36" s="15">
        <f t="shared" si="14"/>
        <v>-35.859307219164904</v>
      </c>
      <c r="K36" s="15">
        <f t="shared" si="14"/>
        <v>-5.7172845827184542</v>
      </c>
      <c r="L36" s="15">
        <f>IFERROR(L31/L34,0)</f>
        <v>-41.132140813683833</v>
      </c>
      <c r="M36" s="15">
        <f t="shared" si="14"/>
        <v>-25.597584846568498</v>
      </c>
    </row>
    <row r="37" spans="1:13" x14ac:dyDescent="0.3">
      <c r="B37" s="109" t="s">
        <v>80</v>
      </c>
      <c r="C37" s="102"/>
      <c r="D37" s="102">
        <f>IFERROR(D36/C36-1,0)</f>
        <v>0.46118430194002547</v>
      </c>
      <c r="E37" s="102">
        <f t="shared" ref="E37:M37" si="15">IFERROR(E36/D36-1,0)</f>
        <v>-6.4185676009415493E-2</v>
      </c>
      <c r="F37" s="102">
        <f t="shared" si="15"/>
        <v>3.189614936502605E-2</v>
      </c>
      <c r="G37" s="102">
        <f t="shared" si="15"/>
        <v>-0.69540950134463697</v>
      </c>
      <c r="H37" s="102">
        <f t="shared" si="15"/>
        <v>-0.79011124197155724</v>
      </c>
      <c r="I37" s="102">
        <f t="shared" si="15"/>
        <v>-3.5528470983790919</v>
      </c>
      <c r="J37" s="102">
        <f t="shared" si="15"/>
        <v>3.6068467700681115</v>
      </c>
      <c r="K37" s="102">
        <f t="shared" si="15"/>
        <v>-0.84056344011958861</v>
      </c>
      <c r="L37" s="102">
        <f t="shared" si="15"/>
        <v>6.194349033807641</v>
      </c>
      <c r="M37" s="102">
        <f t="shared" si="15"/>
        <v>-0.37767438455202651</v>
      </c>
    </row>
    <row r="38" spans="1:13" x14ac:dyDescent="0.3">
      <c r="B38" s="108"/>
    </row>
    <row r="39" spans="1:13" x14ac:dyDescent="0.3">
      <c r="B39" s="108" t="s">
        <v>79</v>
      </c>
      <c r="C39" s="34">
        <f>IFERROR('Data sheet Tata Motors'!B31/'Historical FS'!C34,0)</f>
        <v>2.2332003359932799</v>
      </c>
      <c r="D39" s="34">
        <f>IFERROR('Data sheet Tata Motors'!C31/'Historical FS'!D34,0)</f>
        <v>2.2296183417607534</v>
      </c>
      <c r="E39" s="10">
        <f>IFERROR('Data sheet Tata Motors'!D31/'Historical FS'!E34,0)</f>
        <v>0</v>
      </c>
      <c r="F39" s="10">
        <f>IFERROR('Data sheet Tata Motors'!E31/'Historical FS'!F34,0)</f>
        <v>0.23524522028262676</v>
      </c>
      <c r="G39" s="10">
        <f>IFERROR('Data sheet Tata Motors'!F31/'Historical FS'!G34,0)</f>
        <v>0</v>
      </c>
      <c r="H39" s="10">
        <f>IFERROR('Data sheet Tata Motors'!G31/'Historical FS'!H34,0)</f>
        <v>0</v>
      </c>
      <c r="I39" s="10">
        <f>IFERROR('Data sheet Tata Motors'!H31/'Historical FS'!I34,0)</f>
        <v>0</v>
      </c>
      <c r="J39" s="10">
        <f>IFERROR('Data sheet Tata Motors'!I31/'Historical FS'!J34,0)</f>
        <v>0</v>
      </c>
      <c r="K39" s="10">
        <f>IFERROR('Data sheet Tata Motors'!J31/'Historical FS'!K34,0)</f>
        <v>0</v>
      </c>
      <c r="L39" s="10">
        <f>IFERROR('Data sheet Tata Motors'!K31/'Historical FS'!L34,0)</f>
        <v>0</v>
      </c>
      <c r="M39" s="10">
        <f>IFERROR('Data sheet Tata Motors'!L31/'Historical FS'!M34,0)</f>
        <v>0</v>
      </c>
    </row>
    <row r="40" spans="1:13" x14ac:dyDescent="0.3">
      <c r="B40" s="109" t="s">
        <v>81</v>
      </c>
      <c r="C40" s="102">
        <f>IFERROR(C39/C36,0)</f>
        <v>6.6067909946271278E-2</v>
      </c>
      <c r="D40" s="102">
        <f t="shared" ref="D40:M40" si="16">IFERROR(D39/D36,0)</f>
        <v>4.5142791829728357E-2</v>
      </c>
      <c r="E40" s="102">
        <f t="shared" si="16"/>
        <v>0</v>
      </c>
      <c r="F40" s="102">
        <f t="shared" si="16"/>
        <v>4.9323400874633563E-3</v>
      </c>
      <c r="G40" s="102">
        <f t="shared" si="16"/>
        <v>0</v>
      </c>
      <c r="H40" s="102">
        <f t="shared" si="16"/>
        <v>0</v>
      </c>
      <c r="I40" s="102">
        <f t="shared" si="16"/>
        <v>0</v>
      </c>
      <c r="J40" s="102">
        <f t="shared" si="16"/>
        <v>0</v>
      </c>
      <c r="K40" s="102">
        <f t="shared" si="16"/>
        <v>0</v>
      </c>
      <c r="L40" s="102">
        <f t="shared" si="16"/>
        <v>0</v>
      </c>
      <c r="M40" s="102">
        <f t="shared" si="16"/>
        <v>0</v>
      </c>
    </row>
    <row r="41" spans="1:13" x14ac:dyDescent="0.3">
      <c r="B41" s="108"/>
    </row>
    <row r="42" spans="1:13" x14ac:dyDescent="0.3">
      <c r="B42" s="108" t="s">
        <v>82</v>
      </c>
      <c r="C42" s="16">
        <f>IFERROR(IF(C36&gt;C39,1-C40,0),0)</f>
        <v>0.93393209005372868</v>
      </c>
      <c r="D42" s="16">
        <f t="shared" ref="D42:M42" si="17">IFERROR(IF(D36&gt;D39,1-D40,0),0)</f>
        <v>0.95485720817027164</v>
      </c>
      <c r="E42" s="16">
        <f>IFERROR(IF(E36&gt;E39,1-E40,0),0)</f>
        <v>1</v>
      </c>
      <c r="F42" s="16">
        <f t="shared" si="17"/>
        <v>0.99506765991253665</v>
      </c>
      <c r="G42" s="16">
        <f t="shared" si="17"/>
        <v>1</v>
      </c>
      <c r="H42" s="16">
        <f t="shared" si="17"/>
        <v>1</v>
      </c>
      <c r="I42" s="16">
        <f t="shared" si="17"/>
        <v>0</v>
      </c>
      <c r="J42" s="16">
        <f t="shared" si="17"/>
        <v>0</v>
      </c>
      <c r="K42" s="16">
        <f t="shared" si="17"/>
        <v>0</v>
      </c>
      <c r="L42" s="16">
        <f t="shared" si="17"/>
        <v>0</v>
      </c>
      <c r="M42" s="16">
        <f t="shared" si="17"/>
        <v>0</v>
      </c>
    </row>
    <row r="43" spans="1:13" x14ac:dyDescent="0.3">
      <c r="B43" s="108"/>
    </row>
    <row r="45" spans="1:13" x14ac:dyDescent="0.3">
      <c r="A45" s="69" t="s">
        <v>56</v>
      </c>
      <c r="B45" s="18" t="s">
        <v>83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x14ac:dyDescent="0.3">
      <c r="B46" s="112" t="s">
        <v>31</v>
      </c>
      <c r="C46" s="10">
        <f>IFERROR('Data sheet Tata Motors'!B57,0)</f>
        <v>638.07000000000005</v>
      </c>
      <c r="D46" s="10">
        <f>IFERROR('Data sheet Tata Motors'!C57,0)</f>
        <v>643.78</v>
      </c>
      <c r="E46" s="10">
        <f>IFERROR('Data sheet Tata Motors'!D57,0)</f>
        <v>643.78</v>
      </c>
      <c r="F46" s="10">
        <f>IFERROR('Data sheet Tata Motors'!E57,0)</f>
        <v>679.18</v>
      </c>
      <c r="G46" s="10">
        <f>IFERROR('Data sheet Tata Motors'!F57,0)</f>
        <v>679.22</v>
      </c>
      <c r="H46" s="10">
        <f>IFERROR('Data sheet Tata Motors'!G57,0)</f>
        <v>679.22</v>
      </c>
      <c r="I46" s="10">
        <f>IFERROR('Data sheet Tata Motors'!H57,0)</f>
        <v>679.22</v>
      </c>
      <c r="J46" s="10">
        <f>IFERROR('Data sheet Tata Motors'!I57,0)</f>
        <v>719.54</v>
      </c>
      <c r="K46" s="10">
        <f>IFERROR('Data sheet Tata Motors'!J57,0)</f>
        <v>765.81</v>
      </c>
      <c r="L46" s="10">
        <f>IFERROR('Data sheet Tata Motors'!K57,0)</f>
        <v>765.88</v>
      </c>
    </row>
    <row r="47" spans="1:13" x14ac:dyDescent="0.3">
      <c r="B47" s="112" t="s">
        <v>32</v>
      </c>
      <c r="C47" s="10">
        <f>IFERROR('Data sheet Tata Motors'!B58,0)</f>
        <v>36999.230000000003</v>
      </c>
      <c r="D47" s="10">
        <f>IFERROR('Data sheet Tata Motors'!C58,0)</f>
        <v>64959.67</v>
      </c>
      <c r="E47" s="10">
        <f>IFERROR('Data sheet Tata Motors'!D58,0)</f>
        <v>55618.14</v>
      </c>
      <c r="F47" s="10">
        <f>IFERROR('Data sheet Tata Motors'!E58,0)</f>
        <v>78273.23</v>
      </c>
      <c r="G47" s="10">
        <f>IFERROR('Data sheet Tata Motors'!F58,0)</f>
        <v>57382.67</v>
      </c>
      <c r="H47" s="10">
        <f>IFERROR('Data sheet Tata Motors'!G58,0)</f>
        <v>94748.69</v>
      </c>
      <c r="I47" s="10">
        <f>IFERROR('Data sheet Tata Motors'!H58,0)</f>
        <v>59500.34</v>
      </c>
      <c r="J47" s="10">
        <f>IFERROR('Data sheet Tata Motors'!I58,0)</f>
        <v>61491.49</v>
      </c>
      <c r="K47" s="10">
        <f>IFERROR('Data sheet Tata Motors'!J58,0)</f>
        <v>54480.91</v>
      </c>
      <c r="L47" s="10">
        <f>IFERROR('Data sheet Tata Motors'!K58,0)</f>
        <v>43795.360000000001</v>
      </c>
    </row>
    <row r="48" spans="1:13" x14ac:dyDescent="0.3">
      <c r="B48" s="112" t="s">
        <v>33</v>
      </c>
      <c r="C48" s="10">
        <f>IFERROR('Data sheet Tata Motors'!B59,0)</f>
        <v>53715.71</v>
      </c>
      <c r="D48" s="10">
        <f>IFERROR('Data sheet Tata Motors'!C59,0)</f>
        <v>60642.28</v>
      </c>
      <c r="E48" s="10">
        <f>IFERROR('Data sheet Tata Motors'!D59,0)</f>
        <v>73610.39</v>
      </c>
      <c r="F48" s="10">
        <f>IFERROR('Data sheet Tata Motors'!E59,0)</f>
        <v>69359.960000000006</v>
      </c>
      <c r="G48" s="10">
        <f>IFERROR('Data sheet Tata Motors'!F59,0)</f>
        <v>78603.98</v>
      </c>
      <c r="H48" s="10">
        <f>IFERROR('Data sheet Tata Motors'!G59,0)</f>
        <v>88950.47</v>
      </c>
      <c r="I48" s="10">
        <f>IFERROR('Data sheet Tata Motors'!H59,0)</f>
        <v>106175.34</v>
      </c>
      <c r="J48" s="10">
        <f>IFERROR('Data sheet Tata Motors'!I59,0)</f>
        <v>124787.64</v>
      </c>
      <c r="K48" s="10">
        <f>IFERROR('Data sheet Tata Motors'!J59,0)</f>
        <v>142130.57</v>
      </c>
      <c r="L48" s="10">
        <f>IFERROR('Data sheet Tata Motors'!K59,0)</f>
        <v>146449.03</v>
      </c>
    </row>
    <row r="49" spans="2:12" x14ac:dyDescent="0.3">
      <c r="B49" s="112" t="s">
        <v>34</v>
      </c>
      <c r="C49" s="10">
        <f>IFERROR('Data sheet Tata Motors'!B60,0)</f>
        <v>76977.02</v>
      </c>
      <c r="D49" s="10">
        <f>IFERROR('Data sheet Tata Motors'!C60,0)</f>
        <v>92180.26</v>
      </c>
      <c r="E49" s="10">
        <f>IFERROR('Data sheet Tata Motors'!D60,0)</f>
        <v>107442.48</v>
      </c>
      <c r="F49" s="10">
        <f>IFERROR('Data sheet Tata Motors'!E60,0)</f>
        <v>114871.75</v>
      </c>
      <c r="G49" s="10">
        <f>IFERROR('Data sheet Tata Motors'!F60,0)</f>
        <v>135914.49</v>
      </c>
      <c r="H49" s="10">
        <f>IFERROR('Data sheet Tata Motors'!G60,0)</f>
        <v>142813.43</v>
      </c>
      <c r="I49" s="10">
        <f>IFERROR('Data sheet Tata Motors'!H60,0)</f>
        <v>139348.59</v>
      </c>
      <c r="J49" s="10">
        <f>IFERROR('Data sheet Tata Motors'!I60,0)</f>
        <v>133180.72</v>
      </c>
      <c r="K49" s="10">
        <f>IFERROR('Data sheet Tata Motors'!J60,0)</f>
        <v>144192.62</v>
      </c>
      <c r="L49" s="10">
        <f>IFERROR('Data sheet Tata Motors'!K60,0)</f>
        <v>138051.22</v>
      </c>
    </row>
    <row r="50" spans="2:12" x14ac:dyDescent="0.3">
      <c r="B50" s="113" t="s">
        <v>84</v>
      </c>
      <c r="C50" s="27">
        <f>IFERROR('Data sheet Tata Motors'!B61,0)</f>
        <v>168330.03</v>
      </c>
      <c r="D50" s="27">
        <f>IFERROR('Data sheet Tata Motors'!C61,0)</f>
        <v>218425.99</v>
      </c>
      <c r="E50" s="27">
        <f>IFERROR('Data sheet Tata Motors'!D61,0)</f>
        <v>237314.79</v>
      </c>
      <c r="F50" s="27">
        <f>IFERROR('Data sheet Tata Motors'!E61,0)</f>
        <v>263184.12</v>
      </c>
      <c r="G50" s="27">
        <f>IFERROR('Data sheet Tata Motors'!F61,0)</f>
        <v>272580.36</v>
      </c>
      <c r="H50" s="27">
        <f>IFERROR('Data sheet Tata Motors'!G61,0)</f>
        <v>327191.81</v>
      </c>
      <c r="I50" s="27">
        <f>IFERROR('Data sheet Tata Motors'!H61,0)</f>
        <v>305703.49</v>
      </c>
      <c r="J50" s="27">
        <f>IFERROR('Data sheet Tata Motors'!I61,0)</f>
        <v>320179.39</v>
      </c>
      <c r="K50" s="27">
        <f>IFERROR('Data sheet Tata Motors'!J61,0)</f>
        <v>341569.91</v>
      </c>
      <c r="L50" s="27">
        <f>IFERROR('Data sheet Tata Motors'!K61,0)</f>
        <v>329061.49</v>
      </c>
    </row>
    <row r="51" spans="2:12" x14ac:dyDescent="0.3">
      <c r="B51" s="5"/>
    </row>
    <row r="52" spans="2:12" x14ac:dyDescent="0.3">
      <c r="B52" s="112" t="s">
        <v>85</v>
      </c>
      <c r="C52" s="10">
        <f>IFERROR('Data sheet Tata Motors'!B62,0)</f>
        <v>55511.73</v>
      </c>
      <c r="D52" s="10">
        <f>IFERROR('Data sheet Tata Motors'!C62,0)</f>
        <v>69091.67</v>
      </c>
      <c r="E52" s="10">
        <f>IFERROR('Data sheet Tata Motors'!D62,0)</f>
        <v>88479.49</v>
      </c>
      <c r="F52" s="10">
        <f>IFERROR('Data sheet Tata Motors'!E62,0)</f>
        <v>107231.76</v>
      </c>
      <c r="G52" s="10">
        <f>IFERROR('Data sheet Tata Motors'!F62,0)</f>
        <v>95944.08</v>
      </c>
      <c r="H52" s="10">
        <f>IFERROR('Data sheet Tata Motors'!G62,0)</f>
        <v>121413.86</v>
      </c>
      <c r="I52" s="10">
        <f>IFERROR('Data sheet Tata Motors'!H62,0)</f>
        <v>111234.47</v>
      </c>
      <c r="J52" s="10">
        <f>IFERROR('Data sheet Tata Motors'!I62,0)</f>
        <v>127107.14</v>
      </c>
      <c r="K52" s="10">
        <f>IFERROR('Data sheet Tata Motors'!J62,0)</f>
        <v>138707.60999999999</v>
      </c>
      <c r="L52" s="10">
        <f>IFERROR('Data sheet Tata Motors'!K62,0)</f>
        <v>138855.45000000001</v>
      </c>
    </row>
    <row r="53" spans="2:12" x14ac:dyDescent="0.3">
      <c r="B53" s="112" t="s">
        <v>36</v>
      </c>
      <c r="C53" s="10">
        <f>IFERROR('Data sheet Tata Motors'!B63,0)</f>
        <v>18453.55</v>
      </c>
      <c r="D53" s="10">
        <f>IFERROR('Data sheet Tata Motors'!C63,0)</f>
        <v>33262.559999999998</v>
      </c>
      <c r="E53" s="10">
        <f>IFERROR('Data sheet Tata Motors'!D63,0)</f>
        <v>28640.09</v>
      </c>
      <c r="F53" s="10">
        <f>IFERROR('Data sheet Tata Motors'!E63,0)</f>
        <v>25918.94</v>
      </c>
      <c r="G53" s="10">
        <f>IFERROR('Data sheet Tata Motors'!F63,0)</f>
        <v>33698.839999999997</v>
      </c>
      <c r="H53" s="10">
        <f>IFERROR('Data sheet Tata Motors'!G63,0)</f>
        <v>40033.5</v>
      </c>
      <c r="I53" s="10">
        <f>IFERROR('Data sheet Tata Motors'!H63,0)</f>
        <v>31883.84</v>
      </c>
      <c r="J53" s="10">
        <f>IFERROR('Data sheet Tata Motors'!I63,0)</f>
        <v>35622.29</v>
      </c>
      <c r="K53" s="10">
        <f>IFERROR('Data sheet Tata Motors'!J63,0)</f>
        <v>20963.93</v>
      </c>
      <c r="L53" s="10">
        <f>IFERROR('Data sheet Tata Motors'!K63,0)</f>
        <v>10251.09</v>
      </c>
    </row>
    <row r="54" spans="2:12" x14ac:dyDescent="0.3">
      <c r="B54" s="112" t="s">
        <v>37</v>
      </c>
      <c r="C54" s="10">
        <f>IFERROR('Data sheet Tata Motors'!B64,0)</f>
        <v>8764.73</v>
      </c>
      <c r="D54" s="10">
        <f>IFERROR('Data sheet Tata Motors'!C64,0)</f>
        <v>10686.67</v>
      </c>
      <c r="E54" s="10">
        <f>IFERROR('Data sheet Tata Motors'!D64,0)</f>
        <v>15336.74</v>
      </c>
      <c r="F54" s="10">
        <f>IFERROR('Data sheet Tata Motors'!E64,0)</f>
        <v>23767.02</v>
      </c>
      <c r="G54" s="10">
        <f>IFERROR('Data sheet Tata Motors'!F64,0)</f>
        <v>20337.919999999998</v>
      </c>
      <c r="H54" s="10">
        <f>IFERROR('Data sheet Tata Motors'!G64,0)</f>
        <v>20812.75</v>
      </c>
      <c r="I54" s="10">
        <f>IFERROR('Data sheet Tata Motors'!H64,0)</f>
        <v>15770.72</v>
      </c>
      <c r="J54" s="10">
        <f>IFERROR('Data sheet Tata Motors'!I64,0)</f>
        <v>16308.48</v>
      </c>
      <c r="K54" s="10">
        <f>IFERROR('Data sheet Tata Motors'!J64,0)</f>
        <v>24620.28</v>
      </c>
      <c r="L54" s="10">
        <f>IFERROR('Data sheet Tata Motors'!K64,0)</f>
        <v>29379.53</v>
      </c>
    </row>
    <row r="55" spans="2:12" x14ac:dyDescent="0.3">
      <c r="B55" s="112" t="s">
        <v>38</v>
      </c>
      <c r="C55" s="10">
        <f>IFERROR('Data sheet Tata Motors'!B65-SUM('Data sheet Tata Motors'!B67:B69),0)</f>
        <v>32488.780000000006</v>
      </c>
      <c r="D55" s="10">
        <f>IFERROR('Data sheet Tata Motors'!C65-SUM('Data sheet Tata Motors'!C67:C69),0)</f>
        <v>37828.179999999993</v>
      </c>
      <c r="E55" s="10">
        <f>IFERROR('Data sheet Tata Motors'!D65-SUM('Data sheet Tata Motors'!D67:D69),0)</f>
        <v>30891.17</v>
      </c>
      <c r="F55" s="10">
        <f>IFERROR('Data sheet Tata Motors'!E65-SUM('Data sheet Tata Motors'!E67:E69),0)</f>
        <v>29579.359999999986</v>
      </c>
      <c r="G55" s="10">
        <f>IFERROR('Data sheet Tata Motors'!F65-SUM('Data sheet Tata Motors'!F67:F69),0)</f>
        <v>37360.780000000013</v>
      </c>
      <c r="H55" s="10">
        <f>IFERROR('Data sheet Tata Motors'!G65-SUM('Data sheet Tata Motors'!G67:G69),0)</f>
        <v>48286.860000000015</v>
      </c>
      <c r="I55" s="10">
        <f>IFERROR('Data sheet Tata Motors'!H65-SUM('Data sheet Tata Motors'!H67:H69),0)</f>
        <v>56155.739999999991</v>
      </c>
      <c r="J55" s="10">
        <f>IFERROR('Data sheet Tata Motors'!I65-SUM('Data sheet Tata Motors'!I67:I69),0)</f>
        <v>58784.94</v>
      </c>
      <c r="K55" s="10">
        <f>IFERROR('Data sheet Tata Motors'!J65-SUM('Data sheet Tata Motors'!J67:J69),0)</f>
        <v>61717.959999999992</v>
      </c>
      <c r="L55" s="10">
        <f>IFERROR('Data sheet Tata Motors'!K65-SUM('Data sheet Tata Motors'!K67:K69),0)</f>
        <v>62223.770000000019</v>
      </c>
    </row>
    <row r="56" spans="2:12" x14ac:dyDescent="0.3">
      <c r="B56" s="114" t="s">
        <v>86</v>
      </c>
      <c r="C56" s="28">
        <f>SUM(C52:C55)</f>
        <v>115218.79000000001</v>
      </c>
      <c r="D56" s="28">
        <f t="shared" ref="D56:L56" si="18">SUM(D52:D55)</f>
        <v>150869.07999999999</v>
      </c>
      <c r="E56" s="28">
        <f t="shared" si="18"/>
        <v>163347.49</v>
      </c>
      <c r="F56" s="28">
        <f t="shared" si="18"/>
        <v>186497.07999999996</v>
      </c>
      <c r="G56" s="28">
        <f t="shared" si="18"/>
        <v>187341.62</v>
      </c>
      <c r="H56" s="28">
        <f t="shared" si="18"/>
        <v>230546.97</v>
      </c>
      <c r="I56" s="28">
        <f t="shared" si="18"/>
        <v>215044.77</v>
      </c>
      <c r="J56" s="28">
        <f t="shared" si="18"/>
        <v>237822.85</v>
      </c>
      <c r="K56" s="28">
        <f t="shared" si="18"/>
        <v>246009.77999999997</v>
      </c>
      <c r="L56" s="28">
        <f t="shared" si="18"/>
        <v>240709.84000000003</v>
      </c>
    </row>
    <row r="57" spans="2:12" x14ac:dyDescent="0.3">
      <c r="B57" s="2"/>
      <c r="C57" s="10"/>
    </row>
    <row r="58" spans="2:12" x14ac:dyDescent="0.3">
      <c r="B58" s="108" t="s">
        <v>39</v>
      </c>
      <c r="C58" s="10">
        <f>IFERROR('Data sheet Tata Motors'!B67,0)</f>
        <v>10959.6</v>
      </c>
      <c r="D58" s="10">
        <f>IFERROR('Data sheet Tata Motors'!C67,0)</f>
        <v>10574.23</v>
      </c>
      <c r="E58" s="10">
        <f>IFERROR('Data sheet Tata Motors'!D67,0)</f>
        <v>12579.2</v>
      </c>
      <c r="F58" s="10">
        <f>IFERROR('Data sheet Tata Motors'!E67,0)</f>
        <v>13570.91</v>
      </c>
      <c r="G58" s="10">
        <f>IFERROR('Data sheet Tata Motors'!F67,0)</f>
        <v>14075.55</v>
      </c>
      <c r="H58" s="10">
        <f>IFERROR('Data sheet Tata Motors'!G67,0)</f>
        <v>19893.3</v>
      </c>
      <c r="I58" s="10">
        <f>IFERROR('Data sheet Tata Motors'!H67,0)</f>
        <v>18996.169999999998</v>
      </c>
      <c r="J58" s="10">
        <f>IFERROR('Data sheet Tata Motors'!I67,0)</f>
        <v>11172.69</v>
      </c>
      <c r="K58" s="10">
        <f>IFERROR('Data sheet Tata Motors'!J67,0)</f>
        <v>12679.08</v>
      </c>
      <c r="L58" s="10">
        <f>IFERROR('Data sheet Tata Motors'!K67,0)</f>
        <v>12442.12</v>
      </c>
    </row>
    <row r="59" spans="2:12" x14ac:dyDescent="0.3">
      <c r="B59" s="108" t="s">
        <v>40</v>
      </c>
      <c r="C59" s="10">
        <f>IFERROR('Data sheet Tata Motors'!B68,0)</f>
        <v>21036.82</v>
      </c>
      <c r="D59" s="10">
        <f>IFERROR('Data sheet Tata Motors'!C68,0)</f>
        <v>27270.89</v>
      </c>
      <c r="E59" s="10">
        <f>IFERROR('Data sheet Tata Motors'!D68,0)</f>
        <v>29272.34</v>
      </c>
      <c r="F59" s="10">
        <f>IFERROR('Data sheet Tata Motors'!E68,0)</f>
        <v>32655.73</v>
      </c>
      <c r="G59" s="10">
        <f>IFERROR('Data sheet Tata Motors'!F68,0)</f>
        <v>35085.31</v>
      </c>
      <c r="H59" s="10">
        <f>IFERROR('Data sheet Tata Motors'!G68,0)</f>
        <v>42137.63</v>
      </c>
      <c r="I59" s="10">
        <f>IFERROR('Data sheet Tata Motors'!H68,0)</f>
        <v>39013.730000000003</v>
      </c>
      <c r="J59" s="10">
        <f>IFERROR('Data sheet Tata Motors'!I68,0)</f>
        <v>37456.879999999997</v>
      </c>
      <c r="K59" s="10">
        <f>IFERROR('Data sheet Tata Motors'!J68,0)</f>
        <v>36088.589999999997</v>
      </c>
      <c r="L59" s="10">
        <f>IFERROR('Data sheet Tata Motors'!K68,0)</f>
        <v>35240.339999999997</v>
      </c>
    </row>
    <row r="60" spans="2:12" x14ac:dyDescent="0.3">
      <c r="B60" s="108" t="s">
        <v>41</v>
      </c>
      <c r="C60" s="10">
        <f>IFERROR('Data sheet Tata Motors'!B69,0)</f>
        <v>21114.82</v>
      </c>
      <c r="D60" s="10">
        <f>IFERROR('Data sheet Tata Motors'!C69,0)</f>
        <v>29711.79</v>
      </c>
      <c r="E60" s="10">
        <f>IFERROR('Data sheet Tata Motors'!D69,0)</f>
        <v>32115.759999999998</v>
      </c>
      <c r="F60" s="10">
        <f>IFERROR('Data sheet Tata Motors'!E69,0)</f>
        <v>30460.400000000001</v>
      </c>
      <c r="G60" s="10">
        <f>IFERROR('Data sheet Tata Motors'!F69,0)</f>
        <v>36077.879999999997</v>
      </c>
      <c r="H60" s="10">
        <f>IFERROR('Data sheet Tata Motors'!G69,0)</f>
        <v>34613.910000000003</v>
      </c>
      <c r="I60" s="10">
        <f>IFERROR('Data sheet Tata Motors'!H69,0)</f>
        <v>32648.82</v>
      </c>
      <c r="J60" s="10">
        <f>IFERROR('Data sheet Tata Motors'!I69,0)</f>
        <v>33726.97</v>
      </c>
      <c r="K60" s="10">
        <f>IFERROR('Data sheet Tata Motors'!J69,0)</f>
        <v>46792.46</v>
      </c>
      <c r="L60" s="10">
        <f>IFERROR('Data sheet Tata Motors'!K69,0)</f>
        <v>40669.19</v>
      </c>
    </row>
    <row r="61" spans="2:12" x14ac:dyDescent="0.3">
      <c r="B61" s="111" t="s">
        <v>87</v>
      </c>
      <c r="C61" s="29">
        <f>IFERROR(SUM(C58:C60),0)</f>
        <v>53111.24</v>
      </c>
      <c r="D61" s="29">
        <f t="shared" ref="D61:L61" si="19">IFERROR(SUM(D58:D60),0)</f>
        <v>67556.91</v>
      </c>
      <c r="E61" s="29">
        <f t="shared" si="19"/>
        <v>73967.3</v>
      </c>
      <c r="F61" s="29">
        <f t="shared" si="19"/>
        <v>76687.040000000008</v>
      </c>
      <c r="G61" s="29">
        <f t="shared" si="19"/>
        <v>85238.739999999991</v>
      </c>
      <c r="H61" s="29">
        <f t="shared" si="19"/>
        <v>96644.84</v>
      </c>
      <c r="I61" s="29">
        <f t="shared" si="19"/>
        <v>90658.72</v>
      </c>
      <c r="J61" s="29">
        <f t="shared" si="19"/>
        <v>82356.540000000008</v>
      </c>
      <c r="K61" s="29">
        <f t="shared" si="19"/>
        <v>95560.13</v>
      </c>
      <c r="L61" s="29">
        <f t="shared" si="19"/>
        <v>88351.65</v>
      </c>
    </row>
    <row r="63" spans="2:12" x14ac:dyDescent="0.3">
      <c r="B63" s="115" t="s">
        <v>88</v>
      </c>
      <c r="C63" s="30">
        <f>IFERROR(C61+C56,0)</f>
        <v>168330.03</v>
      </c>
      <c r="D63" s="30">
        <f t="shared" ref="D63:L63" si="20">IFERROR(D61+D56,0)</f>
        <v>218425.99</v>
      </c>
      <c r="E63" s="30">
        <f t="shared" si="20"/>
        <v>237314.78999999998</v>
      </c>
      <c r="F63" s="30">
        <f t="shared" si="20"/>
        <v>263184.12</v>
      </c>
      <c r="G63" s="30">
        <f t="shared" si="20"/>
        <v>272580.36</v>
      </c>
      <c r="H63" s="30">
        <f t="shared" si="20"/>
        <v>327191.81</v>
      </c>
      <c r="I63" s="30">
        <f t="shared" si="20"/>
        <v>305703.49</v>
      </c>
      <c r="J63" s="30">
        <f t="shared" si="20"/>
        <v>320179.39</v>
      </c>
      <c r="K63" s="30">
        <f t="shared" si="20"/>
        <v>341569.91</v>
      </c>
      <c r="L63" s="30">
        <f t="shared" si="20"/>
        <v>329061.49</v>
      </c>
    </row>
    <row r="64" spans="2:12" x14ac:dyDescent="0.3">
      <c r="B64" s="108"/>
    </row>
    <row r="65" spans="1:13" x14ac:dyDescent="0.3">
      <c r="B65" s="109" t="s">
        <v>89</v>
      </c>
      <c r="C65" s="21" t="b">
        <f>C63=C50</f>
        <v>1</v>
      </c>
      <c r="D65" s="21" t="b">
        <f t="shared" ref="D65:L65" si="21">D63=D50</f>
        <v>1</v>
      </c>
      <c r="E65" s="21" t="b">
        <f t="shared" si="21"/>
        <v>1</v>
      </c>
      <c r="F65" s="21" t="b">
        <f t="shared" si="21"/>
        <v>1</v>
      </c>
      <c r="G65" s="21" t="b">
        <f t="shared" si="21"/>
        <v>1</v>
      </c>
      <c r="H65" s="21" t="b">
        <f t="shared" si="21"/>
        <v>1</v>
      </c>
      <c r="I65" s="21" t="b">
        <f t="shared" si="21"/>
        <v>1</v>
      </c>
      <c r="J65" s="21" t="b">
        <f t="shared" si="21"/>
        <v>1</v>
      </c>
      <c r="K65" s="21" t="b">
        <f t="shared" si="21"/>
        <v>1</v>
      </c>
      <c r="L65" s="21" t="b">
        <f t="shared" si="21"/>
        <v>1</v>
      </c>
    </row>
    <row r="67" spans="1:13" x14ac:dyDescent="0.3">
      <c r="A67" s="69" t="s">
        <v>56</v>
      </c>
      <c r="B67" s="18" t="s">
        <v>120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x14ac:dyDescent="0.3">
      <c r="B68" s="116" t="s">
        <v>122</v>
      </c>
    </row>
    <row r="69" spans="1:13" x14ac:dyDescent="0.3">
      <c r="B69" s="108" t="s">
        <v>90</v>
      </c>
      <c r="C69" s="10">
        <f>IFERROR('Cashflow Data '!E4,0)</f>
        <v>24406</v>
      </c>
      <c r="D69" s="10">
        <f>IFERROR('Cashflow Data '!F4,0)</f>
        <v>36303</v>
      </c>
      <c r="E69" s="10">
        <f>IFERROR('Cashflow Data '!G4,0)</f>
        <v>43397</v>
      </c>
      <c r="F69" s="10">
        <f>IFERROR('Cashflow Data '!H4,0)</f>
        <v>38626</v>
      </c>
      <c r="G69" s="10">
        <f>IFERROR('Cashflow Data '!I4,0)</f>
        <v>28840</v>
      </c>
      <c r="H69" s="10">
        <f>IFERROR('Cashflow Data '!J4,0)</f>
        <v>33312</v>
      </c>
      <c r="I69" s="10">
        <f>IFERROR('Cashflow Data '!K4,0)</f>
        <v>28771</v>
      </c>
      <c r="J69" s="10">
        <f>IFERROR('Cashflow Data '!L4,0)</f>
        <v>23352</v>
      </c>
      <c r="K69" s="10">
        <f>IFERROR('Cashflow Data '!M4,0)</f>
        <v>31198</v>
      </c>
      <c r="L69" s="10">
        <f>IFERROR('Cashflow Data '!N4,0)</f>
        <v>26666</v>
      </c>
    </row>
    <row r="70" spans="1:13" x14ac:dyDescent="0.3">
      <c r="B70" s="108" t="s">
        <v>39</v>
      </c>
      <c r="C70" s="10">
        <f>IFERROR('Cashflow Data '!E5,0)</f>
        <v>-5177</v>
      </c>
      <c r="D70" s="10">
        <f>IFERROR('Cashflow Data '!F5,0)</f>
        <v>445</v>
      </c>
      <c r="E70" s="10">
        <f>IFERROR('Cashflow Data '!G5,0)</f>
        <v>-3179</v>
      </c>
      <c r="F70" s="10">
        <f>IFERROR('Cashflow Data '!H5,0)</f>
        <v>-2223</v>
      </c>
      <c r="G70" s="10">
        <f>IFERROR('Cashflow Data '!I5,0)</f>
        <v>-4152</v>
      </c>
      <c r="H70" s="10">
        <f>IFERROR('Cashflow Data '!J5,0)</f>
        <v>-10688</v>
      </c>
      <c r="I70" s="10">
        <f>IFERROR('Cashflow Data '!K5,0)</f>
        <v>-9109</v>
      </c>
      <c r="J70" s="10">
        <f>IFERROR('Cashflow Data '!L5,0)</f>
        <v>9950</v>
      </c>
      <c r="K70" s="10">
        <f>IFERROR('Cashflow Data '!M5,0)</f>
        <v>-5505</v>
      </c>
      <c r="L70" s="10">
        <f>IFERROR('Cashflow Data '!N5,0)</f>
        <v>337</v>
      </c>
    </row>
    <row r="71" spans="1:13" x14ac:dyDescent="0.3">
      <c r="B71" s="108" t="s">
        <v>40</v>
      </c>
      <c r="C71" s="10">
        <f>IFERROR('Cashflow Data '!E6,0)</f>
        <v>-2656</v>
      </c>
      <c r="D71" s="10">
        <f>IFERROR('Cashflow Data '!F6,0)</f>
        <v>-2853</v>
      </c>
      <c r="E71" s="10">
        <f>IFERROR('Cashflow Data '!G6,0)</f>
        <v>-3692</v>
      </c>
      <c r="F71" s="10">
        <f>IFERROR('Cashflow Data '!H6,0)</f>
        <v>-5743</v>
      </c>
      <c r="G71" s="10">
        <f>IFERROR('Cashflow Data '!I6,0)</f>
        <v>-6621</v>
      </c>
      <c r="H71" s="10">
        <f>IFERROR('Cashflow Data '!J6,0)</f>
        <v>-3560</v>
      </c>
      <c r="I71" s="10">
        <f>IFERROR('Cashflow Data '!K6,0)</f>
        <v>2069</v>
      </c>
      <c r="J71" s="10">
        <f>IFERROR('Cashflow Data '!L6,0)</f>
        <v>2326</v>
      </c>
      <c r="K71" s="10">
        <f>IFERROR('Cashflow Data '!M6,0)</f>
        <v>3814</v>
      </c>
      <c r="L71" s="10">
        <f>IFERROR('Cashflow Data '!N6,0)</f>
        <v>597</v>
      </c>
    </row>
    <row r="72" spans="1:13" x14ac:dyDescent="0.3">
      <c r="B72" s="108" t="s">
        <v>91</v>
      </c>
      <c r="C72" s="10">
        <f>IFERROR('Cashflow Data '!E7,0)</f>
        <v>8132</v>
      </c>
      <c r="D72" s="10">
        <f>IFERROR('Cashflow Data '!F7,0)</f>
        <v>4694</v>
      </c>
      <c r="E72" s="10">
        <f>IFERROR('Cashflow Data '!G7,0)</f>
        <v>3598</v>
      </c>
      <c r="F72" s="10">
        <f>IFERROR('Cashflow Data '!H7,0)</f>
        <v>3947</v>
      </c>
      <c r="G72" s="10">
        <f>IFERROR('Cashflow Data '!I7,0)</f>
        <v>9301</v>
      </c>
      <c r="H72" s="10">
        <f>IFERROR('Cashflow Data '!J7,0)</f>
        <v>7320</v>
      </c>
      <c r="I72" s="10">
        <f>IFERROR('Cashflow Data '!K7,0)</f>
        <v>-4692</v>
      </c>
      <c r="J72" s="10">
        <f>IFERROR('Cashflow Data '!L7,0)</f>
        <v>-8085</v>
      </c>
      <c r="K72" s="10">
        <f>IFERROR('Cashflow Data '!M7,0)</f>
        <v>5748</v>
      </c>
      <c r="L72" s="10">
        <f>IFERROR('Cashflow Data '!N7,0)</f>
        <v>-7012</v>
      </c>
    </row>
    <row r="73" spans="1:13" x14ac:dyDescent="0.3">
      <c r="B73" s="108" t="s">
        <v>92</v>
      </c>
      <c r="C73" s="10">
        <f>IFERROR('Cashflow Data '!E8,0)</f>
        <v>0</v>
      </c>
      <c r="D73" s="10">
        <f>IFERROR('Cashflow Data '!F8,0)</f>
        <v>0</v>
      </c>
      <c r="E73" s="10">
        <f>IFERROR('Cashflow Data '!G8,0)</f>
        <v>0</v>
      </c>
      <c r="F73" s="10">
        <f>IFERROR('Cashflow Data '!H8,0)</f>
        <v>-520</v>
      </c>
      <c r="G73" s="10">
        <f>IFERROR('Cashflow Data '!I8,0)</f>
        <v>0</v>
      </c>
      <c r="H73" s="10">
        <f>IFERROR('Cashflow Data '!J8,0)</f>
        <v>0</v>
      </c>
      <c r="I73" s="10">
        <f>IFERROR('Cashflow Data '!K8,0)</f>
        <v>0</v>
      </c>
      <c r="J73" s="10">
        <f>IFERROR('Cashflow Data '!L8,0)</f>
        <v>0</v>
      </c>
      <c r="K73" s="10">
        <f>IFERROR('Cashflow Data '!M8,0)</f>
        <v>0</v>
      </c>
      <c r="L73" s="10">
        <f>IFERROR('Cashflow Data '!N8,0)</f>
        <v>0</v>
      </c>
    </row>
    <row r="74" spans="1:13" x14ac:dyDescent="0.3">
      <c r="B74" s="108" t="s">
        <v>93</v>
      </c>
      <c r="C74" s="10">
        <f>IFERROR('Cashflow Data '!E9,0)</f>
        <v>-303</v>
      </c>
      <c r="D74" s="10">
        <f>IFERROR('Cashflow Data '!F9,0)</f>
        <v>1870</v>
      </c>
      <c r="E74" s="10">
        <f>IFERROR('Cashflow Data '!G9,0)</f>
        <v>-398</v>
      </c>
      <c r="F74" s="10">
        <f>IFERROR('Cashflow Data '!H9,0)</f>
        <v>5852</v>
      </c>
      <c r="G74" s="10">
        <f>IFERROR('Cashflow Data '!I9,0)</f>
        <v>4727</v>
      </c>
      <c r="H74" s="10">
        <f>IFERROR('Cashflow Data '!J9,0)</f>
        <v>494</v>
      </c>
      <c r="I74" s="10">
        <f>IFERROR('Cashflow Data '!K9,0)</f>
        <v>4512</v>
      </c>
      <c r="J74" s="10">
        <f>IFERROR('Cashflow Data '!L9,0)</f>
        <v>875</v>
      </c>
      <c r="K74" s="10">
        <f>IFERROR('Cashflow Data '!M9,0)</f>
        <v>-4150</v>
      </c>
      <c r="L74" s="10">
        <f>IFERROR('Cashflow Data '!N9,0)</f>
        <v>-4396</v>
      </c>
    </row>
    <row r="75" spans="1:13" x14ac:dyDescent="0.3">
      <c r="B75" s="108" t="s">
        <v>94</v>
      </c>
      <c r="C75" s="10">
        <f>IFERROR('Cashflow Data '!E10,0)</f>
        <v>-3</v>
      </c>
      <c r="D75" s="10">
        <f>IFERROR('Cashflow Data '!F10,0)</f>
        <v>4157</v>
      </c>
      <c r="E75" s="10">
        <f>IFERROR('Cashflow Data '!G10,0)</f>
        <v>-3672</v>
      </c>
      <c r="F75" s="10">
        <f>IFERROR('Cashflow Data '!H10,0)</f>
        <v>1313</v>
      </c>
      <c r="G75" s="10">
        <f>IFERROR('Cashflow Data '!I10,0)</f>
        <v>3254</v>
      </c>
      <c r="H75" s="10">
        <f>IFERROR('Cashflow Data '!J10,0)</f>
        <v>-6434</v>
      </c>
      <c r="I75" s="10">
        <f>IFERROR('Cashflow Data '!K10,0)</f>
        <v>-7221</v>
      </c>
      <c r="J75" s="10">
        <f>IFERROR('Cashflow Data '!L10,0)</f>
        <v>5065</v>
      </c>
      <c r="K75" s="10">
        <f>IFERROR('Cashflow Data '!M10,0)</f>
        <v>-93</v>
      </c>
      <c r="L75" s="10">
        <f>IFERROR('Cashflow Data '!N10,0)</f>
        <v>-10474</v>
      </c>
    </row>
    <row r="76" spans="1:13" x14ac:dyDescent="0.3">
      <c r="B76" s="108" t="s">
        <v>95</v>
      </c>
      <c r="C76" s="10">
        <f>IFERROR('Cashflow Data '!E11,0)</f>
        <v>-2240</v>
      </c>
      <c r="D76" s="10">
        <f>IFERROR('Cashflow Data '!F11,0)</f>
        <v>-4308</v>
      </c>
      <c r="E76" s="10">
        <f>IFERROR('Cashflow Data '!G11,0)</f>
        <v>-4194</v>
      </c>
      <c r="F76" s="10">
        <f>IFERROR('Cashflow Data '!H11,0)</f>
        <v>-2040</v>
      </c>
      <c r="G76" s="10">
        <f>IFERROR('Cashflow Data '!I11,0)</f>
        <v>-1895</v>
      </c>
      <c r="H76" s="10">
        <f>IFERROR('Cashflow Data '!J11,0)</f>
        <v>-3021</v>
      </c>
      <c r="I76" s="10">
        <f>IFERROR('Cashflow Data '!K11,0)</f>
        <v>-2659</v>
      </c>
      <c r="J76" s="10">
        <f>IFERROR('Cashflow Data '!L11,0)</f>
        <v>-1785</v>
      </c>
      <c r="K76" s="10">
        <f>IFERROR('Cashflow Data '!M11,0)</f>
        <v>-2105</v>
      </c>
      <c r="L76" s="10">
        <f>IFERROR('Cashflow Data '!N11,0)</f>
        <v>-1910</v>
      </c>
    </row>
    <row r="77" spans="1:13" x14ac:dyDescent="0.3">
      <c r="B77" s="117" t="s">
        <v>121</v>
      </c>
      <c r="C77" s="70">
        <f>SUM(C69:C76)</f>
        <v>22159</v>
      </c>
      <c r="D77" s="70">
        <f t="shared" ref="D77:L77" si="22">SUM(D69:D76)</f>
        <v>40308</v>
      </c>
      <c r="E77" s="70">
        <f t="shared" si="22"/>
        <v>31860</v>
      </c>
      <c r="F77" s="70">
        <f t="shared" si="22"/>
        <v>39212</v>
      </c>
      <c r="G77" s="70">
        <f t="shared" si="22"/>
        <v>33454</v>
      </c>
      <c r="H77" s="70">
        <f t="shared" si="22"/>
        <v>17423</v>
      </c>
      <c r="I77" s="70">
        <f t="shared" si="22"/>
        <v>11671</v>
      </c>
      <c r="J77" s="70">
        <f t="shared" si="22"/>
        <v>31698</v>
      </c>
      <c r="K77" s="70">
        <f t="shared" si="22"/>
        <v>28907</v>
      </c>
      <c r="L77" s="70">
        <f t="shared" si="22"/>
        <v>3808</v>
      </c>
    </row>
    <row r="79" spans="1:13" x14ac:dyDescent="0.3">
      <c r="A79" s="69" t="s">
        <v>56</v>
      </c>
      <c r="B79" s="116" t="s">
        <v>123</v>
      </c>
    </row>
    <row r="80" spans="1:13" x14ac:dyDescent="0.3">
      <c r="B80" s="118" t="s">
        <v>96</v>
      </c>
      <c r="C80" s="10">
        <f>IFERROR('Cashflow Data '!E13,0)</f>
        <v>-18863</v>
      </c>
      <c r="D80" s="10">
        <f>IFERROR('Cashflow Data '!F13,0)</f>
        <v>-26975</v>
      </c>
      <c r="E80" s="10">
        <f>IFERROR('Cashflow Data '!G13,0)</f>
        <v>-31962</v>
      </c>
      <c r="F80" s="10">
        <f>IFERROR('Cashflow Data '!H13,0)</f>
        <v>-31503</v>
      </c>
      <c r="G80" s="10">
        <f>IFERROR('Cashflow Data '!I13,0)</f>
        <v>-16072</v>
      </c>
      <c r="H80" s="10">
        <f>IFERROR('Cashflow Data '!J13,0)</f>
        <v>-35079</v>
      </c>
      <c r="I80" s="10">
        <f>IFERROR('Cashflow Data '!K13,0)</f>
        <v>-35304</v>
      </c>
      <c r="J80" s="10">
        <f>IFERROR('Cashflow Data '!L13,0)</f>
        <v>-29702</v>
      </c>
      <c r="K80" s="10">
        <f>IFERROR('Cashflow Data '!M13,0)</f>
        <v>-20205</v>
      </c>
      <c r="L80" s="10">
        <f>IFERROR('Cashflow Data '!N13,0)</f>
        <v>-15168</v>
      </c>
    </row>
    <row r="81" spans="1:12" x14ac:dyDescent="0.3">
      <c r="B81" s="118" t="s">
        <v>97</v>
      </c>
      <c r="C81" s="10">
        <f>IFERROR('Cashflow Data '!E14,0)</f>
        <v>37</v>
      </c>
      <c r="D81" s="10">
        <f>IFERROR('Cashflow Data '!F14,0)</f>
        <v>50</v>
      </c>
      <c r="E81" s="10">
        <f>IFERROR('Cashflow Data '!G14,0)</f>
        <v>74</v>
      </c>
      <c r="F81" s="10">
        <f>IFERROR('Cashflow Data '!H14,0)</f>
        <v>59</v>
      </c>
      <c r="G81" s="10">
        <f>IFERROR('Cashflow Data '!I14,0)</f>
        <v>53</v>
      </c>
      <c r="H81" s="10">
        <f>IFERROR('Cashflow Data '!J14,0)</f>
        <v>30</v>
      </c>
      <c r="I81" s="10">
        <f>IFERROR('Cashflow Data '!K14,0)</f>
        <v>67</v>
      </c>
      <c r="J81" s="10">
        <f>IFERROR('Cashflow Data '!L14,0)</f>
        <v>171</v>
      </c>
      <c r="K81" s="10">
        <f>IFERROR('Cashflow Data '!M14,0)</f>
        <v>351</v>
      </c>
      <c r="L81" s="10">
        <f>IFERROR('Cashflow Data '!N14,0)</f>
        <v>230</v>
      </c>
    </row>
    <row r="82" spans="1:12" x14ac:dyDescent="0.3">
      <c r="B82" s="118" t="s">
        <v>98</v>
      </c>
      <c r="C82" s="10">
        <f>IFERROR('Cashflow Data '!E15,0)</f>
        <v>73</v>
      </c>
      <c r="D82" s="10">
        <f>IFERROR('Cashflow Data '!F15,0)</f>
        <v>-429</v>
      </c>
      <c r="E82" s="10">
        <f>IFERROR('Cashflow Data '!G15,0)</f>
        <v>-5461</v>
      </c>
      <c r="F82" s="10">
        <f>IFERROR('Cashflow Data '!H15,0)</f>
        <v>-4728</v>
      </c>
      <c r="G82" s="10">
        <f>IFERROR('Cashflow Data '!I15,0)</f>
        <v>-6</v>
      </c>
      <c r="H82" s="10">
        <f>IFERROR('Cashflow Data '!J15,0)</f>
        <v>-329</v>
      </c>
      <c r="I82" s="10">
        <f>IFERROR('Cashflow Data '!K15,0)</f>
        <v>-130</v>
      </c>
      <c r="J82" s="10">
        <f>IFERROR('Cashflow Data '!L15,0)</f>
        <v>-1439</v>
      </c>
      <c r="K82" s="10">
        <f>IFERROR('Cashflow Data '!M15,0)</f>
        <v>-7530</v>
      </c>
      <c r="L82" s="10">
        <f>IFERROR('Cashflow Data '!N15,0)</f>
        <v>-3008</v>
      </c>
    </row>
    <row r="83" spans="1:12" x14ac:dyDescent="0.3">
      <c r="B83" s="118" t="s">
        <v>99</v>
      </c>
      <c r="C83" s="10">
        <f>IFERROR('Cashflow Data '!E16,0)</f>
        <v>34</v>
      </c>
      <c r="D83" s="10">
        <f>IFERROR('Cashflow Data '!F16,0)</f>
        <v>4</v>
      </c>
      <c r="E83" s="10">
        <f>IFERROR('Cashflow Data '!G16,0)</f>
        <v>42</v>
      </c>
      <c r="F83" s="10">
        <f>IFERROR('Cashflow Data '!H16,0)</f>
        <v>89</v>
      </c>
      <c r="G83" s="10">
        <f>IFERROR('Cashflow Data '!I16,0)</f>
        <v>1965</v>
      </c>
      <c r="H83" s="10">
        <f>IFERROR('Cashflow Data '!J16,0)</f>
        <v>2381</v>
      </c>
      <c r="I83" s="10">
        <f>IFERROR('Cashflow Data '!K16,0)</f>
        <v>5644</v>
      </c>
      <c r="J83" s="10">
        <f>IFERROR('Cashflow Data '!L16,0)</f>
        <v>21</v>
      </c>
      <c r="K83" s="10">
        <f>IFERROR('Cashflow Data '!M16,0)</f>
        <v>226</v>
      </c>
      <c r="L83" s="10">
        <f>IFERROR('Cashflow Data '!N16,0)</f>
        <v>104</v>
      </c>
    </row>
    <row r="84" spans="1:12" x14ac:dyDescent="0.3">
      <c r="B84" s="118" t="s">
        <v>100</v>
      </c>
      <c r="C84" s="10">
        <f>IFERROR('Cashflow Data '!E17,0)</f>
        <v>713</v>
      </c>
      <c r="D84" s="10">
        <f>IFERROR('Cashflow Data '!F17,0)</f>
        <v>653</v>
      </c>
      <c r="E84" s="10">
        <f>IFERROR('Cashflow Data '!G17,0)</f>
        <v>698</v>
      </c>
      <c r="F84" s="10">
        <f>IFERROR('Cashflow Data '!H17,0)</f>
        <v>731</v>
      </c>
      <c r="G84" s="10">
        <f>IFERROR('Cashflow Data '!I17,0)</f>
        <v>638</v>
      </c>
      <c r="H84" s="10">
        <f>IFERROR('Cashflow Data '!J17,0)</f>
        <v>690</v>
      </c>
      <c r="I84" s="10">
        <f>IFERROR('Cashflow Data '!K17,0)</f>
        <v>761</v>
      </c>
      <c r="J84" s="10">
        <f>IFERROR('Cashflow Data '!L17,0)</f>
        <v>1104</v>
      </c>
      <c r="K84" s="10">
        <f>IFERROR('Cashflow Data '!M17,0)</f>
        <v>428</v>
      </c>
      <c r="L84" s="10">
        <f>IFERROR('Cashflow Data '!N17,0)</f>
        <v>653</v>
      </c>
    </row>
    <row r="85" spans="1:12" x14ac:dyDescent="0.3">
      <c r="B85" s="118" t="s">
        <v>101</v>
      </c>
      <c r="C85" s="10">
        <f>IFERROR('Cashflow Data '!E18,0)</f>
        <v>95</v>
      </c>
      <c r="D85" s="10">
        <f>IFERROR('Cashflow Data '!F18,0)</f>
        <v>40</v>
      </c>
      <c r="E85" s="10">
        <f>IFERROR('Cashflow Data '!G18,0)</f>
        <v>80</v>
      </c>
      <c r="F85" s="10">
        <f>IFERROR('Cashflow Data '!H18,0)</f>
        <v>58</v>
      </c>
      <c r="G85" s="10">
        <f>IFERROR('Cashflow Data '!I18,0)</f>
        <v>620</v>
      </c>
      <c r="H85" s="10">
        <f>IFERROR('Cashflow Data '!J18,0)</f>
        <v>1797</v>
      </c>
      <c r="I85" s="10">
        <f>IFERROR('Cashflow Data '!K18,0)</f>
        <v>232</v>
      </c>
      <c r="J85" s="10">
        <f>IFERROR('Cashflow Data '!L18,0)</f>
        <v>21</v>
      </c>
      <c r="K85" s="10">
        <f>IFERROR('Cashflow Data '!M18,0)</f>
        <v>18</v>
      </c>
      <c r="L85" s="10">
        <f>IFERROR('Cashflow Data '!N18,0)</f>
        <v>32</v>
      </c>
    </row>
    <row r="86" spans="1:12" x14ac:dyDescent="0.3">
      <c r="B86" s="118" t="s">
        <v>102</v>
      </c>
      <c r="C86" s="10">
        <f>IFERROR('Cashflow Data '!E19,0)</f>
        <v>0</v>
      </c>
      <c r="D86" s="10">
        <f>IFERROR('Cashflow Data '!F19,0)</f>
        <v>0</v>
      </c>
      <c r="E86" s="10">
        <f>IFERROR('Cashflow Data '!G19,0)</f>
        <v>0</v>
      </c>
      <c r="F86" s="10">
        <f>IFERROR('Cashflow Data '!H19,0)</f>
        <v>0</v>
      </c>
      <c r="G86" s="10">
        <f>IFERROR('Cashflow Data '!I19,0)</f>
        <v>0</v>
      </c>
      <c r="H86" s="10">
        <f>IFERROR('Cashflow Data '!J19,0)</f>
        <v>0</v>
      </c>
      <c r="I86" s="10">
        <f>IFERROR('Cashflow Data '!K19,0)</f>
        <v>0</v>
      </c>
      <c r="J86" s="10">
        <f>IFERROR('Cashflow Data '!L19,0)</f>
        <v>0</v>
      </c>
      <c r="K86" s="10">
        <f>IFERROR('Cashflow Data '!M19,0)</f>
        <v>0</v>
      </c>
      <c r="L86" s="10">
        <f>IFERROR('Cashflow Data '!N19,0)</f>
        <v>0</v>
      </c>
    </row>
    <row r="87" spans="1:12" x14ac:dyDescent="0.3">
      <c r="B87" s="118" t="s">
        <v>103</v>
      </c>
      <c r="C87" s="10">
        <f>IFERROR('Cashflow Data '!E20,0)</f>
        <v>0</v>
      </c>
      <c r="D87" s="10">
        <f>IFERROR('Cashflow Data '!F20,0)</f>
        <v>0</v>
      </c>
      <c r="E87" s="10">
        <f>IFERROR('Cashflow Data '!G20,0)</f>
        <v>-160</v>
      </c>
      <c r="F87" s="10">
        <f>IFERROR('Cashflow Data '!H20,0)</f>
        <v>0</v>
      </c>
      <c r="G87" s="10">
        <f>IFERROR('Cashflow Data '!I20,0)</f>
        <v>-107</v>
      </c>
      <c r="H87" s="10">
        <f>IFERROR('Cashflow Data '!J20,0)</f>
        <v>-4</v>
      </c>
      <c r="I87" s="10">
        <f>IFERROR('Cashflow Data '!K20,0)</f>
        <v>-9</v>
      </c>
      <c r="J87" s="10">
        <f>IFERROR('Cashflow Data '!L20,0)</f>
        <v>-606</v>
      </c>
      <c r="K87" s="10">
        <f>IFERROR('Cashflow Data '!M20,0)</f>
        <v>-10</v>
      </c>
      <c r="L87" s="10">
        <f>IFERROR('Cashflow Data '!N20,0)</f>
        <v>0</v>
      </c>
    </row>
    <row r="88" spans="1:12" x14ac:dyDescent="0.3">
      <c r="B88" s="118" t="s">
        <v>104</v>
      </c>
      <c r="C88" s="10">
        <f>IFERROR('Cashflow Data '!E21,0)</f>
        <v>0</v>
      </c>
      <c r="D88" s="10">
        <f>IFERROR('Cashflow Data '!F21,0)</f>
        <v>0</v>
      </c>
      <c r="E88" s="10">
        <f>IFERROR('Cashflow Data '!G21,0)</f>
        <v>0</v>
      </c>
      <c r="F88" s="10">
        <f>IFERROR('Cashflow Data '!H21,0)</f>
        <v>0</v>
      </c>
      <c r="G88" s="10">
        <f>IFERROR('Cashflow Data '!I21,0)</f>
        <v>0</v>
      </c>
      <c r="H88" s="10">
        <f>IFERROR('Cashflow Data '!J21,0)</f>
        <v>14</v>
      </c>
      <c r="I88" s="10">
        <f>IFERROR('Cashflow Data '!K21,0)</f>
        <v>533</v>
      </c>
      <c r="J88" s="10">
        <f>IFERROR('Cashflow Data '!L21,0)</f>
        <v>0</v>
      </c>
      <c r="K88" s="10">
        <f>IFERROR('Cashflow Data '!M21,0)</f>
        <v>0</v>
      </c>
      <c r="L88" s="10">
        <f>IFERROR('Cashflow Data '!N21,0)</f>
        <v>0</v>
      </c>
    </row>
    <row r="89" spans="1:12" x14ac:dyDescent="0.3">
      <c r="B89" s="118" t="s">
        <v>105</v>
      </c>
      <c r="C89" s="10">
        <f>IFERROR('Cashflow Data '!E22,0)</f>
        <v>0</v>
      </c>
      <c r="D89" s="10">
        <f>IFERROR('Cashflow Data '!F22,0)</f>
        <v>-185</v>
      </c>
      <c r="E89" s="10">
        <f>IFERROR('Cashflow Data '!G22,0)</f>
        <v>0</v>
      </c>
      <c r="F89" s="10">
        <f>IFERROR('Cashflow Data '!H22,0)</f>
        <v>-111</v>
      </c>
      <c r="G89" s="10">
        <f>IFERROR('Cashflow Data '!I22,0)</f>
        <v>0</v>
      </c>
      <c r="H89" s="10">
        <f>IFERROR('Cashflow Data '!J22,0)</f>
        <v>0</v>
      </c>
      <c r="I89" s="10">
        <f>IFERROR('Cashflow Data '!K22,0)</f>
        <v>-8</v>
      </c>
      <c r="J89" s="10">
        <f>IFERROR('Cashflow Data '!L22,0)</f>
        <v>-27</v>
      </c>
      <c r="K89" s="10">
        <f>IFERROR('Cashflow Data '!M22,0)</f>
        <v>0</v>
      </c>
      <c r="L89" s="10">
        <f>IFERROR('Cashflow Data '!N22,0)</f>
        <v>-98</v>
      </c>
    </row>
    <row r="90" spans="1:12" x14ac:dyDescent="0.3">
      <c r="B90" s="118" t="s">
        <v>106</v>
      </c>
      <c r="C90" s="10">
        <f>IFERROR('Cashflow Data '!E23,0)</f>
        <v>45</v>
      </c>
      <c r="D90" s="10">
        <f>IFERROR('Cashflow Data '!F23,0)</f>
        <v>0</v>
      </c>
      <c r="E90" s="10">
        <f>IFERROR('Cashflow Data '!G23,0)</f>
        <v>0</v>
      </c>
      <c r="F90" s="10">
        <f>IFERROR('Cashflow Data '!H23,0)</f>
        <v>0</v>
      </c>
      <c r="G90" s="10">
        <f>IFERROR('Cashflow Data '!I23,0)</f>
        <v>0</v>
      </c>
      <c r="H90" s="10">
        <f>IFERROR('Cashflow Data '!J23,0)</f>
        <v>0</v>
      </c>
      <c r="I90" s="10">
        <f>IFERROR('Cashflow Data '!K23,0)</f>
        <v>0</v>
      </c>
      <c r="J90" s="10">
        <f>IFERROR('Cashflow Data '!L23,0)</f>
        <v>0</v>
      </c>
      <c r="K90" s="10">
        <f>IFERROR('Cashflow Data '!M23,0)</f>
        <v>0</v>
      </c>
      <c r="L90" s="10">
        <f>IFERROR('Cashflow Data '!N23,0)</f>
        <v>0</v>
      </c>
    </row>
    <row r="91" spans="1:12" x14ac:dyDescent="0.3">
      <c r="B91" s="118" t="s">
        <v>107</v>
      </c>
      <c r="C91" s="10">
        <f>IFERROR('Cashflow Data '!E24,0)</f>
        <v>-5103</v>
      </c>
      <c r="D91" s="10">
        <f>IFERROR('Cashflow Data '!F24,0)</f>
        <v>-1149</v>
      </c>
      <c r="E91" s="10">
        <f>IFERROR('Cashflow Data '!G24,0)</f>
        <v>456</v>
      </c>
      <c r="F91" s="10">
        <f>IFERROR('Cashflow Data '!H24,0)</f>
        <v>-1289</v>
      </c>
      <c r="G91" s="10">
        <f>IFERROR('Cashflow Data '!I24,0)</f>
        <v>-26663</v>
      </c>
      <c r="H91" s="10">
        <f>IFERROR('Cashflow Data '!J24,0)</f>
        <v>5360</v>
      </c>
      <c r="I91" s="10">
        <f>IFERROR('Cashflow Data '!K24,0)</f>
        <v>7335</v>
      </c>
      <c r="J91" s="10">
        <f>IFERROR('Cashflow Data '!L24,0)</f>
        <v>-2659</v>
      </c>
      <c r="K91" s="10">
        <f>IFERROR('Cashflow Data '!M24,0)</f>
        <v>1051</v>
      </c>
      <c r="L91" s="10">
        <f>IFERROR('Cashflow Data '!N24,0)</f>
        <v>12813</v>
      </c>
    </row>
    <row r="92" spans="1:12" x14ac:dyDescent="0.3">
      <c r="A92" s="69" t="s">
        <v>56</v>
      </c>
      <c r="B92" s="119" t="s">
        <v>124</v>
      </c>
      <c r="C92" s="70">
        <f>SUM(C80:C91)</f>
        <v>-22969</v>
      </c>
      <c r="D92" s="70">
        <f t="shared" ref="D92:L92" si="23">SUM(D80:D91)</f>
        <v>-27991</v>
      </c>
      <c r="E92" s="70">
        <f t="shared" si="23"/>
        <v>-36233</v>
      </c>
      <c r="F92" s="70">
        <f t="shared" si="23"/>
        <v>-36694</v>
      </c>
      <c r="G92" s="70">
        <f t="shared" si="23"/>
        <v>-39572</v>
      </c>
      <c r="H92" s="70">
        <f t="shared" si="23"/>
        <v>-25140</v>
      </c>
      <c r="I92" s="70">
        <f t="shared" si="23"/>
        <v>-20879</v>
      </c>
      <c r="J92" s="70">
        <f t="shared" si="23"/>
        <v>-33116</v>
      </c>
      <c r="K92" s="70">
        <f t="shared" si="23"/>
        <v>-25671</v>
      </c>
      <c r="L92" s="70">
        <f t="shared" si="23"/>
        <v>-4442</v>
      </c>
    </row>
    <row r="94" spans="1:12" x14ac:dyDescent="0.3">
      <c r="B94" s="120" t="s">
        <v>125</v>
      </c>
    </row>
    <row r="95" spans="1:12" x14ac:dyDescent="0.3">
      <c r="B95" s="108" t="s">
        <v>108</v>
      </c>
      <c r="C95" s="10">
        <f>IFERROR('Cashflow Data '!E26,0)</f>
        <v>1</v>
      </c>
      <c r="D95" s="10">
        <f>IFERROR('Cashflow Data '!F26,0)</f>
        <v>0</v>
      </c>
      <c r="E95" s="10">
        <f>IFERROR('Cashflow Data '!G26,0)</f>
        <v>0</v>
      </c>
      <c r="F95" s="10">
        <f>IFERROR('Cashflow Data '!H26,0)</f>
        <v>7433</v>
      </c>
      <c r="G95" s="10">
        <f>IFERROR('Cashflow Data '!I26,0)</f>
        <v>5</v>
      </c>
      <c r="H95" s="10">
        <f>IFERROR('Cashflow Data '!J26,0)</f>
        <v>0</v>
      </c>
      <c r="I95" s="10">
        <f>IFERROR('Cashflow Data '!K26,0)</f>
        <v>0</v>
      </c>
      <c r="J95" s="10">
        <f>IFERROR('Cashflow Data '!L26,0)</f>
        <v>3889</v>
      </c>
      <c r="K95" s="10">
        <f>IFERROR('Cashflow Data '!M26,0)</f>
        <v>2603</v>
      </c>
      <c r="L95" s="10">
        <f>IFERROR('Cashflow Data '!N26,0)</f>
        <v>19</v>
      </c>
    </row>
    <row r="96" spans="1:12" x14ac:dyDescent="0.3">
      <c r="B96" s="108" t="s">
        <v>109</v>
      </c>
      <c r="C96" s="10">
        <f>IFERROR('Cashflow Data '!E27,0)</f>
        <v>-97</v>
      </c>
      <c r="D96" s="10">
        <f>IFERROR('Cashflow Data '!F27,0)</f>
        <v>-658</v>
      </c>
      <c r="E96" s="10">
        <f>IFERROR('Cashflow Data '!G27,0)</f>
        <v>-744</v>
      </c>
      <c r="F96" s="10">
        <f>IFERROR('Cashflow Data '!H27,0)</f>
        <v>0</v>
      </c>
      <c r="G96" s="10">
        <f>IFERROR('Cashflow Data '!I27,0)</f>
        <v>0</v>
      </c>
      <c r="H96" s="10">
        <f>IFERROR('Cashflow Data '!J27,0)</f>
        <v>0</v>
      </c>
      <c r="I96" s="10">
        <f>IFERROR('Cashflow Data '!K27,0)</f>
        <v>0</v>
      </c>
      <c r="J96" s="10">
        <f>IFERROR('Cashflow Data '!L27,0)</f>
        <v>0</v>
      </c>
      <c r="K96" s="10">
        <f>IFERROR('Cashflow Data '!M27,0)</f>
        <v>0</v>
      </c>
      <c r="L96" s="10">
        <f>IFERROR('Cashflow Data '!N27,0)</f>
        <v>0</v>
      </c>
    </row>
    <row r="97" spans="1:12" x14ac:dyDescent="0.3">
      <c r="B97" s="108" t="s">
        <v>110</v>
      </c>
      <c r="C97" s="10">
        <f>IFERROR('Cashflow Data '!E28,0)</f>
        <v>27863</v>
      </c>
      <c r="D97" s="10">
        <f>IFERROR('Cashflow Data '!F28,0)</f>
        <v>33258</v>
      </c>
      <c r="E97" s="10">
        <f>IFERROR('Cashflow Data '!G28,0)</f>
        <v>36363</v>
      </c>
      <c r="F97" s="10">
        <f>IFERROR('Cashflow Data '!H28,0)</f>
        <v>19519</v>
      </c>
      <c r="G97" s="10">
        <f>IFERROR('Cashflow Data '!I28,0)</f>
        <v>33390</v>
      </c>
      <c r="H97" s="10">
        <f>IFERROR('Cashflow Data '!J28,0)</f>
        <v>37482</v>
      </c>
      <c r="I97" s="10">
        <f>IFERROR('Cashflow Data '!K28,0)</f>
        <v>51128</v>
      </c>
      <c r="J97" s="10">
        <f>IFERROR('Cashflow Data '!L28,0)</f>
        <v>38297</v>
      </c>
      <c r="K97" s="10">
        <f>IFERROR('Cashflow Data '!M28,0)</f>
        <v>46641</v>
      </c>
      <c r="L97" s="10">
        <f>IFERROR('Cashflow Data '!N28,0)</f>
        <v>46578</v>
      </c>
    </row>
    <row r="98" spans="1:12" x14ac:dyDescent="0.3">
      <c r="B98" s="108" t="s">
        <v>111</v>
      </c>
      <c r="C98" s="10">
        <f>IFERROR('Cashflow Data '!E29,0)</f>
        <v>-20395</v>
      </c>
      <c r="D98" s="10">
        <f>IFERROR('Cashflow Data '!F29,0)</f>
        <v>-29141</v>
      </c>
      <c r="E98" s="10">
        <f>IFERROR('Cashflow Data '!G29,0)</f>
        <v>-23332</v>
      </c>
      <c r="F98" s="10">
        <f>IFERROR('Cashflow Data '!H29,0)</f>
        <v>-24924</v>
      </c>
      <c r="G98" s="10">
        <f>IFERROR('Cashflow Data '!I29,0)</f>
        <v>-21732</v>
      </c>
      <c r="H98" s="10">
        <f>IFERROR('Cashflow Data '!J29,0)</f>
        <v>-29964</v>
      </c>
      <c r="I98" s="10">
        <f>IFERROR('Cashflow Data '!K29,0)</f>
        <v>-35198</v>
      </c>
      <c r="J98" s="10">
        <f>IFERROR('Cashflow Data '!L29,0)</f>
        <v>-29847</v>
      </c>
      <c r="K98" s="10">
        <f>IFERROR('Cashflow Data '!M29,0)</f>
        <v>-29709</v>
      </c>
      <c r="L98" s="10">
        <f>IFERROR('Cashflow Data '!N29,0)</f>
        <v>-42816</v>
      </c>
    </row>
    <row r="99" spans="1:12" x14ac:dyDescent="0.3">
      <c r="B99" s="108" t="s">
        <v>112</v>
      </c>
      <c r="C99" s="10">
        <f>IFERROR('Cashflow Data '!E30,0)</f>
        <v>0</v>
      </c>
      <c r="D99" s="10">
        <f>IFERROR('Cashflow Data '!F30,0)</f>
        <v>0</v>
      </c>
      <c r="E99" s="10">
        <f>IFERROR('Cashflow Data '!G30,0)</f>
        <v>0</v>
      </c>
      <c r="F99" s="10">
        <f>IFERROR('Cashflow Data '!H30,0)</f>
        <v>0</v>
      </c>
      <c r="G99" s="10">
        <f>IFERROR('Cashflow Data '!I30,0)</f>
        <v>0</v>
      </c>
      <c r="H99" s="10">
        <f>IFERROR('Cashflow Data '!J30,0)</f>
        <v>0</v>
      </c>
      <c r="I99" s="10">
        <f>IFERROR('Cashflow Data '!K30,0)</f>
        <v>0</v>
      </c>
      <c r="J99" s="10">
        <f>IFERROR('Cashflow Data '!L30,0)</f>
        <v>0</v>
      </c>
      <c r="K99" s="10">
        <f>IFERROR('Cashflow Data '!M30,0)</f>
        <v>0</v>
      </c>
      <c r="L99" s="10">
        <f>IFERROR('Cashflow Data '!N30,0)</f>
        <v>0</v>
      </c>
    </row>
    <row r="100" spans="1:12" x14ac:dyDescent="0.3">
      <c r="B100" s="108" t="s">
        <v>113</v>
      </c>
      <c r="C100" s="10">
        <f>IFERROR('Cashflow Data '!E31,0)</f>
        <v>-4666</v>
      </c>
      <c r="D100" s="10">
        <f>IFERROR('Cashflow Data '!F31,0)</f>
        <v>-6171</v>
      </c>
      <c r="E100" s="10">
        <f>IFERROR('Cashflow Data '!G31,0)</f>
        <v>-6307</v>
      </c>
      <c r="F100" s="10">
        <f>IFERROR('Cashflow Data '!H31,0)</f>
        <v>-5716</v>
      </c>
      <c r="G100" s="10">
        <f>IFERROR('Cashflow Data '!I31,0)</f>
        <v>-5336</v>
      </c>
      <c r="H100" s="10">
        <f>IFERROR('Cashflow Data '!J31,0)</f>
        <v>-5411</v>
      </c>
      <c r="I100" s="10">
        <f>IFERROR('Cashflow Data '!K31,0)</f>
        <v>-7005</v>
      </c>
      <c r="J100" s="10">
        <f>IFERROR('Cashflow Data '!L31,0)</f>
        <v>-7518</v>
      </c>
      <c r="K100" s="10">
        <f>IFERROR('Cashflow Data '!M31,0)</f>
        <v>-8123</v>
      </c>
      <c r="L100" s="10">
        <f>IFERROR('Cashflow Data '!N31,0)</f>
        <v>-9251</v>
      </c>
    </row>
    <row r="101" spans="1:12" x14ac:dyDescent="0.3">
      <c r="B101" s="108" t="s">
        <v>114</v>
      </c>
      <c r="C101" s="10">
        <f>IFERROR('Cashflow Data '!E32,0)</f>
        <v>-1551</v>
      </c>
      <c r="D101" s="10">
        <f>IFERROR('Cashflow Data '!F32,0)</f>
        <v>-722</v>
      </c>
      <c r="E101" s="10">
        <f>IFERROR('Cashflow Data '!G32,0)</f>
        <v>-720</v>
      </c>
      <c r="F101" s="10">
        <f>IFERROR('Cashflow Data '!H32,0)</f>
        <v>-108</v>
      </c>
      <c r="G101" s="10">
        <f>IFERROR('Cashflow Data '!I32,0)</f>
        <v>-121</v>
      </c>
      <c r="H101" s="10">
        <f>IFERROR('Cashflow Data '!J32,0)</f>
        <v>-96</v>
      </c>
      <c r="I101" s="10">
        <f>IFERROR('Cashflow Data '!K32,0)</f>
        <v>-95</v>
      </c>
      <c r="J101" s="10">
        <f>IFERROR('Cashflow Data '!L32,0)</f>
        <v>-57</v>
      </c>
      <c r="K101" s="10">
        <f>IFERROR('Cashflow Data '!M32,0)</f>
        <v>-30</v>
      </c>
      <c r="L101" s="10">
        <f>IFERROR('Cashflow Data '!N32,0)</f>
        <v>-100</v>
      </c>
    </row>
    <row r="102" spans="1:12" x14ac:dyDescent="0.3">
      <c r="B102" s="108" t="s">
        <v>115</v>
      </c>
      <c r="C102" s="10">
        <f>IFERROR('Cashflow Data '!E33,0)</f>
        <v>0</v>
      </c>
      <c r="D102" s="10">
        <f>IFERROR('Cashflow Data '!F33,0)</f>
        <v>0</v>
      </c>
      <c r="E102" s="10">
        <f>IFERROR('Cashflow Data '!G33,0)</f>
        <v>0</v>
      </c>
      <c r="F102" s="10">
        <f>IFERROR('Cashflow Data '!H33,0)</f>
        <v>0</v>
      </c>
      <c r="G102" s="10">
        <f>IFERROR('Cashflow Data '!I33,0)</f>
        <v>0</v>
      </c>
      <c r="H102" s="10">
        <f>IFERROR('Cashflow Data '!J33,0)</f>
        <v>0</v>
      </c>
      <c r="I102" s="10">
        <f>IFERROR('Cashflow Data '!K33,0)</f>
        <v>0</v>
      </c>
      <c r="J102" s="10">
        <f>IFERROR('Cashflow Data '!L33,0)</f>
        <v>-1346</v>
      </c>
      <c r="K102" s="10">
        <f>IFERROR('Cashflow Data '!M33,0)</f>
        <v>-1477</v>
      </c>
      <c r="L102" s="10">
        <f>IFERROR('Cashflow Data '!N33,0)</f>
        <v>-1559</v>
      </c>
    </row>
    <row r="103" spans="1:12" x14ac:dyDescent="0.3">
      <c r="B103" s="108" t="s">
        <v>116</v>
      </c>
      <c r="C103" s="10">
        <f>IFERROR('Cashflow Data '!E34,0)</f>
        <v>-2849</v>
      </c>
      <c r="D103" s="10">
        <f>IFERROR('Cashflow Data '!F34,0)</f>
        <v>-450</v>
      </c>
      <c r="E103" s="10">
        <f>IFERROR('Cashflow Data '!G34,0)</f>
        <v>-57</v>
      </c>
      <c r="F103" s="10">
        <f>IFERROR('Cashflow Data '!H34,0)</f>
        <v>0</v>
      </c>
      <c r="G103" s="10">
        <f>IFERROR('Cashflow Data '!I34,0)</f>
        <v>0</v>
      </c>
      <c r="H103" s="10">
        <f>IFERROR('Cashflow Data '!J34,0)</f>
        <v>0</v>
      </c>
      <c r="I103" s="10">
        <f>IFERROR('Cashflow Data '!K34,0)</f>
        <v>0</v>
      </c>
      <c r="J103" s="10">
        <f>IFERROR('Cashflow Data '!L34,0)</f>
        <v>-29</v>
      </c>
      <c r="K103" s="10">
        <f>IFERROR('Cashflow Data '!M34,0)</f>
        <v>0</v>
      </c>
      <c r="L103" s="10">
        <f>IFERROR('Cashflow Data '!N34,0)</f>
        <v>3750</v>
      </c>
    </row>
    <row r="104" spans="1:12" x14ac:dyDescent="0.3">
      <c r="B104" s="117" t="s">
        <v>126</v>
      </c>
      <c r="C104" s="70">
        <f>SUM(C95:C103)</f>
        <v>-1694</v>
      </c>
      <c r="D104" s="70">
        <f t="shared" ref="D104:L104" si="24">SUM(D95:D103)</f>
        <v>-3884</v>
      </c>
      <c r="E104" s="70">
        <f t="shared" si="24"/>
        <v>5203</v>
      </c>
      <c r="F104" s="70">
        <f t="shared" si="24"/>
        <v>-3796</v>
      </c>
      <c r="G104" s="70">
        <f t="shared" si="24"/>
        <v>6206</v>
      </c>
      <c r="H104" s="70">
        <f t="shared" si="24"/>
        <v>2011</v>
      </c>
      <c r="I104" s="70">
        <f t="shared" si="24"/>
        <v>8830</v>
      </c>
      <c r="J104" s="70">
        <f t="shared" si="24"/>
        <v>3389</v>
      </c>
      <c r="K104" s="70">
        <f t="shared" si="24"/>
        <v>9905</v>
      </c>
      <c r="L104" s="70">
        <f t="shared" si="24"/>
        <v>-3379</v>
      </c>
    </row>
    <row r="106" spans="1:12" x14ac:dyDescent="0.3">
      <c r="A106" s="69" t="s">
        <v>56</v>
      </c>
      <c r="B106" s="121" t="s">
        <v>127</v>
      </c>
      <c r="C106" s="71">
        <f>IFERROR(C77+C92+C104,0)</f>
        <v>-2504</v>
      </c>
      <c r="D106" s="71">
        <f t="shared" ref="D106:L106" si="25">IFERROR(D77+D92+D104,0)</f>
        <v>8433</v>
      </c>
      <c r="E106" s="71">
        <f t="shared" si="25"/>
        <v>830</v>
      </c>
      <c r="F106" s="71">
        <f t="shared" si="25"/>
        <v>-1278</v>
      </c>
      <c r="G106" s="71">
        <f t="shared" si="25"/>
        <v>88</v>
      </c>
      <c r="H106" s="71">
        <f t="shared" si="25"/>
        <v>-5706</v>
      </c>
      <c r="I106" s="71">
        <f t="shared" si="25"/>
        <v>-378</v>
      </c>
      <c r="J106" s="71">
        <f t="shared" si="25"/>
        <v>1971</v>
      </c>
      <c r="K106" s="71">
        <f t="shared" si="25"/>
        <v>13141</v>
      </c>
      <c r="L106" s="71">
        <f t="shared" si="25"/>
        <v>-4013</v>
      </c>
    </row>
    <row r="110" spans="1:12" x14ac:dyDescent="0.3">
      <c r="B110" s="17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5 M8 C13 D13:L13 M16 M28 M19 M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A23D-A0D8-47AA-867F-2FB34F62AC93}">
  <sheetPr>
    <tabColor rgb="FF92D050"/>
  </sheetPr>
  <dimension ref="B2:AB43"/>
  <sheetViews>
    <sheetView showGridLines="0" zoomScale="82" workbookViewId="0">
      <pane ySplit="3" topLeftCell="A4" activePane="bottomLeft" state="frozen"/>
      <selection pane="bottomLeft" activeCell="P15" sqref="P15"/>
    </sheetView>
  </sheetViews>
  <sheetFormatPr defaultRowHeight="14.4" x14ac:dyDescent="0.3"/>
  <cols>
    <col min="1" max="1" width="3.6640625" customWidth="1"/>
    <col min="2" max="2" width="34.109375" customWidth="1"/>
    <col min="3" max="3" width="14.88671875" customWidth="1"/>
    <col min="5" max="5" width="10.44140625" customWidth="1"/>
    <col min="7" max="7" width="10.6640625" customWidth="1"/>
    <col min="8" max="8" width="11.33203125" customWidth="1"/>
    <col min="9" max="9" width="10.109375" customWidth="1"/>
    <col min="10" max="11" width="10.6640625" customWidth="1"/>
    <col min="12" max="12" width="10.5546875" customWidth="1"/>
    <col min="13" max="13" width="19.44140625" customWidth="1"/>
    <col min="14" max="14" width="16.44140625" customWidth="1"/>
    <col min="15" max="15" width="12" bestFit="1" customWidth="1"/>
    <col min="17" max="17" width="12.6640625" customWidth="1"/>
    <col min="18" max="18" width="8.88671875" customWidth="1"/>
  </cols>
  <sheetData>
    <row r="2" spans="2:28" x14ac:dyDescent="0.3">
      <c r="B2" s="144" t="str">
        <f>"Ratio Analysis of - "&amp; "Tata Motors ltd"</f>
        <v>Ratio Analysis of - Tata Motors ltd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32"/>
      <c r="O2" s="32"/>
    </row>
    <row r="3" spans="2:28" x14ac:dyDescent="0.3">
      <c r="B3" s="31" t="s">
        <v>53</v>
      </c>
      <c r="C3" s="32">
        <f>'[1]Data Sheet'!B16</f>
        <v>41364</v>
      </c>
      <c r="D3" s="32">
        <f>'[1]Data Sheet'!C16</f>
        <v>41729</v>
      </c>
      <c r="E3" s="32">
        <f>'[1]Data Sheet'!D16</f>
        <v>42094</v>
      </c>
      <c r="F3" s="32">
        <f>'[1]Data Sheet'!E16</f>
        <v>42460</v>
      </c>
      <c r="G3" s="32">
        <f>'[1]Data Sheet'!F16</f>
        <v>42825</v>
      </c>
      <c r="H3" s="32">
        <f>'[1]Data Sheet'!G16</f>
        <v>43190</v>
      </c>
      <c r="I3" s="32">
        <f>'[1]Data Sheet'!H16</f>
        <v>43555</v>
      </c>
      <c r="J3" s="32">
        <f>'[1]Data Sheet'!I16</f>
        <v>43921</v>
      </c>
      <c r="K3" s="32">
        <f>'[1]Data Sheet'!J16</f>
        <v>44286</v>
      </c>
      <c r="L3" s="32">
        <f>'[1]Data Sheet'!K16</f>
        <v>44651</v>
      </c>
      <c r="M3" s="40" t="s">
        <v>159</v>
      </c>
      <c r="N3" s="61" t="s">
        <v>157</v>
      </c>
      <c r="O3" s="40" t="s">
        <v>158</v>
      </c>
    </row>
    <row r="5" spans="2:28" x14ac:dyDescent="0.3">
      <c r="B5" s="52" t="s">
        <v>128</v>
      </c>
      <c r="C5" s="35"/>
      <c r="D5" s="36">
        <f>IFERROR('Historical FS'!D6,0)</f>
        <v>0.23327688164197458</v>
      </c>
      <c r="E5" s="36">
        <f>IFERROR('Historical FS'!E6,0)</f>
        <v>0.13024457030826198</v>
      </c>
      <c r="F5" s="36">
        <f>IFERROR('Historical FS'!F6,0)</f>
        <v>3.75690010654397E-2</v>
      </c>
      <c r="G5" s="36">
        <f>IFERROR('Historical FS'!G6,0)</f>
        <v>-1.2280329732469508E-2</v>
      </c>
      <c r="H5" s="36">
        <f>IFERROR('Historical FS'!H6,0)</f>
        <v>8.104774581985974E-2</v>
      </c>
      <c r="I5" s="36">
        <f>IFERROR('Historical FS'!I6,0)</f>
        <v>3.5629919045237157E-2</v>
      </c>
      <c r="J5" s="36">
        <f>IFERROR('Historical FS'!J6,0)</f>
        <v>-0.135360159555724</v>
      </c>
      <c r="K5" s="36">
        <f>IFERROR('Historical FS'!K6,0)</f>
        <v>-4.3181168490336042E-2</v>
      </c>
      <c r="L5" s="36">
        <f>IFERROR('Historical FS'!L6,0)</f>
        <v>0.11472967306158344</v>
      </c>
      <c r="M5" s="65"/>
      <c r="N5" s="73">
        <f>IFERROR(AVERAGE(D5:L5),0)</f>
        <v>4.9075125907091892E-2</v>
      </c>
      <c r="O5" s="74">
        <f>IFERROR(MEDIAN(C5:L5),0)</f>
        <v>3.75690010654397E-2</v>
      </c>
    </row>
    <row r="6" spans="2:28" x14ac:dyDescent="0.3">
      <c r="B6" s="53" t="s">
        <v>129</v>
      </c>
      <c r="D6" s="37">
        <f>IFERROR('Historical FS'!D16/'Historical FS'!C16-1,0)</f>
        <v>0.41703481625859018</v>
      </c>
      <c r="E6" s="37">
        <f>IFERROR('Historical FS'!E16/'Historical FS'!D16-1,0)</f>
        <v>0.12582115468924693</v>
      </c>
      <c r="F6" s="37">
        <f>IFERROR('Historical FS'!F16/'Historical FS'!E16-1,0)</f>
        <v>-2.1494113584437979E-2</v>
      </c>
      <c r="G6" s="37">
        <f>IFERROR('Historical FS'!G16/'Historical FS'!F16-1,0)</f>
        <v>-0.22936587208052905</v>
      </c>
      <c r="H6" s="37">
        <f>IFERROR('Historical FS'!H16/'Historical FS'!G16-1,0)</f>
        <v>6.3165689322506102E-2</v>
      </c>
      <c r="I6" s="37">
        <f>IFERROR('Historical FS'!I16/'Historical FS'!H16-1,0)</f>
        <v>-0.21595203460649259</v>
      </c>
      <c r="J6" s="37">
        <f>IFERROR('Historical FS'!J16/'Historical FS'!I16-1,0)</f>
        <v>-0.27072537547138131</v>
      </c>
      <c r="K6" s="37">
        <f>IFERROR('Historical FS'!K16/'Historical FS'!J16-1,0)</f>
        <v>0.79503554497758966</v>
      </c>
      <c r="L6" s="37">
        <f>IFERROR('Historical FS'!L16/'Historical FS'!K16-1,0)</f>
        <v>-0.234374182150762</v>
      </c>
      <c r="M6" s="62"/>
      <c r="N6" s="75">
        <f t="shared" ref="N6:N9" si="0">IFERROR(AVERAGE(D6:L6),0)</f>
        <v>4.7682847483814433E-2</v>
      </c>
      <c r="O6" s="76">
        <f>IFERROR(MEDIAN(C6:L6),0)</f>
        <v>-2.1494113584437979E-2</v>
      </c>
    </row>
    <row r="7" spans="2:28" x14ac:dyDescent="0.3">
      <c r="B7" s="53" t="s">
        <v>173</v>
      </c>
      <c r="D7" s="37">
        <f>IFERROR('Historical FS'!D25/'Historical FS'!C25-1,0)</f>
        <v>0.41619195426682576</v>
      </c>
      <c r="E7" s="37">
        <f>IFERROR('Historical FS'!E25/'Historical FS'!D25-1,0)</f>
        <v>0.103163815795007</v>
      </c>
      <c r="F7" s="37">
        <f>IFERROR('Historical FS'!F25/'Historical FS'!E25-1,0)</f>
        <v>-0.19978245260625749</v>
      </c>
      <c r="G7" s="37">
        <f>IFERROR('Historical FS'!G25/'Historical FS'!F25-1,0)</f>
        <v>-0.55668251823863213</v>
      </c>
      <c r="H7" s="37">
        <f>IFERROR('Historical FS'!H25/'Historical FS'!G25-1,0)</f>
        <v>-0.29861436616351744</v>
      </c>
      <c r="I7" s="37">
        <f>IFERROR('Historical FS'!I25/'Historical FS'!H25-1,0)</f>
        <v>-1.897095149646705</v>
      </c>
      <c r="J7" s="37">
        <f>IFERROR('Historical FS'!J25/'Historical FS'!I25-1,0)</f>
        <v>1.2800251873039095</v>
      </c>
      <c r="K7" s="37">
        <f>IFERROR('Historical FS'!K25/'Historical FS'!J25-1,0)</f>
        <v>-1.0602479570180365</v>
      </c>
      <c r="L7" s="37">
        <f>IFERROR('Historical FS'!L25/'Historical FS'!K25-1,0)</f>
        <v>-15.64914925025267</v>
      </c>
      <c r="M7" s="62"/>
      <c r="N7" s="75">
        <f t="shared" si="0"/>
        <v>-1.9846878596177864</v>
      </c>
      <c r="O7" s="76">
        <f t="shared" ref="O7:O9" si="1">IFERROR(MEDIAN(C7:L7),0)</f>
        <v>-0.29861436616351744</v>
      </c>
    </row>
    <row r="8" spans="2:28" x14ac:dyDescent="0.3">
      <c r="B8" s="53" t="s">
        <v>130</v>
      </c>
      <c r="D8" s="37">
        <f>IFERROR('Historical FS'!D31/'Historical FS'!C31-1,0)</f>
        <v>0.47662871112334759</v>
      </c>
      <c r="E8" s="37">
        <f>IFERROR('Historical FS'!E31/'Historical FS'!D31-1,0)</f>
        <v>-6.4185676009415382E-2</v>
      </c>
      <c r="F8" s="37">
        <f>IFERROR('Historical FS'!F31/'Historical FS'!E31-1,0)</f>
        <v>3.1824673563310757E-2</v>
      </c>
      <c r="G8" s="37">
        <f>IFERROR('Historical FS'!G31/'Historical FS'!F31-1,0)</f>
        <v>-0.69539895165986787</v>
      </c>
      <c r="H8" s="37">
        <f>IFERROR('Historical FS'!H31/'Historical FS'!G31-1,0)</f>
        <v>-0.79011124197155724</v>
      </c>
      <c r="I8" s="37">
        <f>IFERROR('Historical FS'!I31/'Historical FS'!H31-1,0)</f>
        <v>-3.5528470983790919</v>
      </c>
      <c r="J8" s="37">
        <f>IFERROR('Historical FS'!J31/'Historical FS'!I31-1,0)</f>
        <v>3.9286702707513577</v>
      </c>
      <c r="K8" s="37">
        <f>IFERROR('Historical FS'!K31/'Historical FS'!J31-1,0)</f>
        <v>-0.82862505348950144</v>
      </c>
      <c r="L8" s="37">
        <f>IFERROR('Historical FS'!L31/'Historical FS'!K31-1,0)</f>
        <v>6.1952157445306248</v>
      </c>
      <c r="M8" s="62"/>
      <c r="N8" s="75">
        <f t="shared" si="0"/>
        <v>0.52235237538435642</v>
      </c>
      <c r="O8" s="76">
        <f t="shared" si="1"/>
        <v>-6.4185676009415382E-2</v>
      </c>
    </row>
    <row r="9" spans="2:28" x14ac:dyDescent="0.3">
      <c r="B9" s="54" t="s">
        <v>131</v>
      </c>
      <c r="C9" s="38"/>
      <c r="D9" s="39">
        <f>IFERROR('Historical FS'!D39/'Historical FS'!C39-1,0)</f>
        <v>-1.6039735328686744E-3</v>
      </c>
      <c r="E9" s="39">
        <f>IFERROR('Historical FS'!E39/'Historical FS'!D39-1,0)</f>
        <v>-1</v>
      </c>
      <c r="F9" s="39">
        <f>IFERROR('Historical FS'!F39/'Historical FS'!E39-1,0)</f>
        <v>0</v>
      </c>
      <c r="G9" s="39">
        <f>IFERROR('Historical FS'!G39/'Historical FS'!F39-1,0)</f>
        <v>-1</v>
      </c>
      <c r="H9" s="39">
        <f>IFERROR('Historical FS'!H39/'Historical FS'!G39-1,0)</f>
        <v>0</v>
      </c>
      <c r="I9" s="39">
        <f>IFERROR('Historical FS'!I39/'Historical FS'!H39-1,0)</f>
        <v>0</v>
      </c>
      <c r="J9" s="39">
        <f>IFERROR('Historical FS'!J39/'Historical FS'!I39-1,0)</f>
        <v>0</v>
      </c>
      <c r="K9" s="39">
        <f>IFERROR('Historical FS'!K39/'Historical FS'!J39-1,0)</f>
        <v>0</v>
      </c>
      <c r="L9" s="39">
        <f>IFERROR('Historical FS'!L39/'Historical FS'!K39-1,0)</f>
        <v>0</v>
      </c>
      <c r="M9" s="66"/>
      <c r="N9" s="77">
        <f t="shared" si="0"/>
        <v>-0.2224004415036521</v>
      </c>
      <c r="O9" s="78">
        <f t="shared" si="1"/>
        <v>0</v>
      </c>
    </row>
    <row r="10" spans="2:28" x14ac:dyDescent="0.3">
      <c r="N10" s="16"/>
    </row>
    <row r="11" spans="2:28" x14ac:dyDescent="0.3">
      <c r="N11" s="16"/>
    </row>
    <row r="12" spans="2:28" x14ac:dyDescent="0.3">
      <c r="B12" s="52" t="s">
        <v>132</v>
      </c>
      <c r="C12" s="36">
        <f>IFERROR('Historical FS'!C12,0)</f>
        <v>0.24658767243583429</v>
      </c>
      <c r="D12" s="36">
        <f>IFERROR('Historical FS'!D12,0)</f>
        <v>0.22635301098646982</v>
      </c>
      <c r="E12" s="36">
        <f>IFERROR('Historical FS'!E12,0)</f>
        <v>0.22914703499762759</v>
      </c>
      <c r="F12" s="36">
        <f>IFERROR('Historical FS'!F12,0)</f>
        <v>0.24734524196690946</v>
      </c>
      <c r="G12" s="36">
        <f>IFERROR('Historical FS'!G12,0)</f>
        <v>0.23819078253229964</v>
      </c>
      <c r="H12" s="36">
        <f>IFERROR('Historical FS'!H12,0)</f>
        <v>0.21649990080619999</v>
      </c>
      <c r="I12" s="36">
        <f>IFERROR('Historical FS'!I12,0)</f>
        <v>0.19571167496416494</v>
      </c>
      <c r="J12" s="36">
        <f>IFERROR('Historical FS'!J12,0)</f>
        <v>0.19417127271491774</v>
      </c>
      <c r="K12" s="36">
        <f>IFERROR('Historical FS'!K12,0)</f>
        <v>0.2180538622208833</v>
      </c>
      <c r="L12" s="36">
        <f>IFERROR('Historical FS'!L12,0)</f>
        <v>0.19807108271747378</v>
      </c>
      <c r="M12" s="65"/>
      <c r="N12" s="73">
        <f>IFERROR(AVERAGE(C12:L12),0)</f>
        <v>0.22101315363427809</v>
      </c>
      <c r="O12" s="74">
        <f>IFERROR(MEDIAN(C12:L12),0)</f>
        <v>0.22220343660367656</v>
      </c>
    </row>
    <row r="13" spans="2:28" x14ac:dyDescent="0.3">
      <c r="B13" s="53" t="s">
        <v>133</v>
      </c>
      <c r="C13" s="37">
        <f>IFERROR('Historical FS'!C17,0)</f>
        <v>0.13028036202037277</v>
      </c>
      <c r="D13" s="37">
        <f>IFERROR('Historical FS'!D17,0)</f>
        <v>0.14969210207836775</v>
      </c>
      <c r="E13" s="37">
        <f>IFERROR('Historical FS'!E17,0)</f>
        <v>0.14910625508580397</v>
      </c>
      <c r="F13" s="37">
        <f>IFERROR('Historical FS'!F17,0)</f>
        <v>0.14061845347443788</v>
      </c>
      <c r="G13" s="37">
        <f>IFERROR('Historical FS'!G17,0)</f>
        <v>0.10971268723777329</v>
      </c>
      <c r="H13" s="37">
        <f>IFERROR('Historical FS'!H17,0)</f>
        <v>0.10789788444182975</v>
      </c>
      <c r="I13" s="37">
        <f>IFERROR('Historical FS'!I17,0)</f>
        <v>8.1686628795807431E-2</v>
      </c>
      <c r="J13" s="37">
        <f>IFERROR('Historical FS'!J17,0)</f>
        <v>6.8898034485042198E-2</v>
      </c>
      <c r="K13" s="37">
        <f>IFERROR('Historical FS'!K17,0)</f>
        <v>0.12925583904385496</v>
      </c>
      <c r="L13" s="37">
        <f>IFERROR('Historical FS'!L17,0)</f>
        <v>8.877632835227646E-2</v>
      </c>
      <c r="M13" s="62"/>
      <c r="N13" s="75">
        <f t="shared" ref="N13:N43" si="2">IFERROR(AVERAGE(C13:L13),0)</f>
        <v>0.11559245750155667</v>
      </c>
      <c r="O13" s="76">
        <f t="shared" ref="O13:O16" si="3">IFERROR(MEDIAN(C13:L13),0)</f>
        <v>0.11948426314081412</v>
      </c>
    </row>
    <row r="14" spans="2:28" x14ac:dyDescent="0.3">
      <c r="B14" s="53" t="s">
        <v>134</v>
      </c>
      <c r="C14" s="37">
        <f>IFERROR(('Historical FS'!C16-'Historical FS'!C22)/'Historical FS'!C5,0)</f>
        <v>9.0017786175937281E-2</v>
      </c>
      <c r="D14" s="37">
        <f>IFERROR(('Historical FS'!D16-'Historical FS'!D22)/'Historical FS'!D5,0)</f>
        <v>0.10211238357890337</v>
      </c>
      <c r="E14" s="37">
        <f>IFERROR(('Historical FS'!E16-'Historical FS'!E22)/'Historical FS'!E5,0)</f>
        <v>9.8229670900837146E-2</v>
      </c>
      <c r="F14" s="37">
        <f>IFERROR(('Historical FS'!F16-'Historical FS'!F22)/'Historical FS'!F5,0)</f>
        <v>7.941702777851016E-2</v>
      </c>
      <c r="G14" s="37">
        <f>IFERROR(('Historical FS'!G16-'Historical FS'!G22)/'Historical FS'!G5,0)</f>
        <v>4.3322300645279484E-2</v>
      </c>
      <c r="H14" s="37">
        <f>IFERROR(('Historical FS'!H16-'Historical FS'!H22)/'Historical FS'!H5,0)</f>
        <v>3.3970412259310953E-2</v>
      </c>
      <c r="I14" s="37">
        <f>IFERROR(('Historical FS'!I16-'Historical FS'!I22)/'Historical FS'!I5,0)</f>
        <v>3.5560233478087663E-3</v>
      </c>
      <c r="J14" s="37">
        <f>IFERROR(('Historical FS'!J16-'Historical FS'!J22)/'Historical FS'!J5,0)</f>
        <v>-1.3170363258273456E-2</v>
      </c>
      <c r="K14" s="37">
        <f>IFERROR(('Historical FS'!K16-'Historical FS'!K22)/'Historical FS'!K5,0)</f>
        <v>3.4991608110258483E-2</v>
      </c>
      <c r="L14" s="37">
        <f>IFERROR(('Historical FS'!L16-'Historical FS'!L22)/'Historical FS'!L5,0)</f>
        <v>-4.1514992694289269E-4</v>
      </c>
      <c r="M14" s="62"/>
      <c r="N14" s="75">
        <f t="shared" si="2"/>
        <v>4.7203169961162923E-2</v>
      </c>
      <c r="O14" s="76">
        <f t="shared" si="3"/>
        <v>3.9156954377768984E-2</v>
      </c>
      <c r="Q14" s="146" t="s">
        <v>171</v>
      </c>
      <c r="R14" s="146"/>
      <c r="S14" s="146"/>
      <c r="T14" s="147"/>
      <c r="U14" s="147"/>
      <c r="V14" s="147"/>
      <c r="W14" s="147"/>
      <c r="X14" s="147"/>
      <c r="Y14" s="147"/>
      <c r="Z14" s="147"/>
      <c r="AA14" s="147"/>
      <c r="AB14" s="147"/>
    </row>
    <row r="15" spans="2:28" x14ac:dyDescent="0.3">
      <c r="B15" s="53" t="s">
        <v>135</v>
      </c>
      <c r="C15" s="37">
        <f>IFERROR('Historical FS'!C26,0)</f>
        <v>7.115979967232848E-2</v>
      </c>
      <c r="D15" s="37">
        <f>IFERROR('Historical FS'!D26,0)</f>
        <v>8.1713958368390432E-2</v>
      </c>
      <c r="E15" s="37">
        <f>IFERROR('Historical FS'!E26,0)</f>
        <v>7.9756085085905037E-2</v>
      </c>
      <c r="F15" s="37">
        <f>IFERROR('Historical FS'!F26,0)</f>
        <v>6.1511300676516931E-2</v>
      </c>
      <c r="G15" s="37">
        <f>IFERROR('Historical FS'!G26,0)</f>
        <v>2.7608071132565179E-2</v>
      </c>
      <c r="H15" s="37">
        <f>IFERROR('Historical FS'!H26,0)</f>
        <v>1.7912163958707913E-2</v>
      </c>
      <c r="I15" s="37">
        <f>IFERROR('Historical FS'!I26,0)</f>
        <v>-1.5516078776333117E-2</v>
      </c>
      <c r="J15" s="37">
        <f>IFERROR('Historical FS'!J26,0)</f>
        <v>-4.0915360088026265E-2</v>
      </c>
      <c r="K15" s="37">
        <f>IFERROR('Historical FS'!K26,0)</f>
        <v>2.5763151547420113E-3</v>
      </c>
      <c r="L15" s="37">
        <f>IFERROR('Historical FS'!L26,0)</f>
        <v>-3.3856482095653805E-2</v>
      </c>
      <c r="M15" s="62"/>
      <c r="N15" s="75">
        <f t="shared" si="2"/>
        <v>2.5194977308914283E-2</v>
      </c>
      <c r="O15" s="76">
        <f t="shared" si="3"/>
        <v>2.2760117545636546E-2</v>
      </c>
    </row>
    <row r="16" spans="2:28" x14ac:dyDescent="0.3">
      <c r="B16" s="54" t="s">
        <v>136</v>
      </c>
      <c r="C16" s="39">
        <f>IFERROR('Historical FS'!C32,0)</f>
        <v>5.1155529379871709E-2</v>
      </c>
      <c r="D16" s="39">
        <f>IFERROR('Historical FS'!D32,0)</f>
        <v>6.124960626397391E-2</v>
      </c>
      <c r="E16" s="39">
        <f>IFERROR('Historical FS'!E32,0)</f>
        <v>5.0713146858982282E-2</v>
      </c>
      <c r="F16" s="39">
        <f>IFERROR('Historical FS'!F32,0)</f>
        <v>5.0432381990407359E-2</v>
      </c>
      <c r="G16" s="39">
        <f>IFERROR('Historical FS'!G32,0)</f>
        <v>1.5552749314395296E-2</v>
      </c>
      <c r="H16" s="39">
        <f>IFERROR('Historical FS'!H32,0)</f>
        <v>3.01961430487095E-3</v>
      </c>
      <c r="I16" s="39">
        <f>IFERROR('Historical FS'!I32,0)</f>
        <v>-7.4434056747998256E-3</v>
      </c>
      <c r="J16" s="39">
        <f>IFERROR('Historical FS'!J32,0)</f>
        <v>-4.2429333632923408E-2</v>
      </c>
      <c r="K16" s="39">
        <f>IFERROR('Historical FS'!K32,0)</f>
        <v>-7.5994791724005731E-3</v>
      </c>
      <c r="L16" s="39">
        <f>IFERROR('Historical FS'!L32,0)</f>
        <v>-4.9052154538339235E-2</v>
      </c>
      <c r="M16" s="66"/>
      <c r="N16" s="77">
        <f t="shared" si="2"/>
        <v>1.2559865509403845E-2</v>
      </c>
      <c r="O16" s="79">
        <f t="shared" si="3"/>
        <v>9.286181809633122E-3</v>
      </c>
      <c r="Q16" s="137"/>
    </row>
    <row r="17" spans="2:25" x14ac:dyDescent="0.3">
      <c r="N17" s="16"/>
    </row>
    <row r="18" spans="2:25" x14ac:dyDescent="0.3">
      <c r="N18" s="16"/>
    </row>
    <row r="19" spans="2:25" x14ac:dyDescent="0.3">
      <c r="B19" s="55" t="s">
        <v>137</v>
      </c>
      <c r="C19" s="41">
        <f>IFERROR('Historical FS'!C14,0)</f>
        <v>0.11630731041546154</v>
      </c>
      <c r="D19" s="41">
        <f>IFERROR('Historical FS'!D14,0)</f>
        <v>7.6660908908102038E-2</v>
      </c>
      <c r="E19" s="41">
        <f>IFERROR('Historical FS'!E14,0)</f>
        <v>8.0040779911823637E-2</v>
      </c>
      <c r="F19" s="41">
        <f>IFERROR('Historical FS'!F14,0)</f>
        <v>0.10672678849247161</v>
      </c>
      <c r="G19" s="41">
        <f>IFERROR('Historical FS'!G14,0)</f>
        <v>0.12847809529452636</v>
      </c>
      <c r="H19" s="41">
        <f>IFERROR('Historical FS'!H14,0)</f>
        <v>0.10860201636437025</v>
      </c>
      <c r="I19" s="41">
        <f>IFERROR('Historical FS'!I14,0)</f>
        <v>0.11402504616835751</v>
      </c>
      <c r="J19" s="41">
        <f>IFERROR('Historical FS'!J14,0)</f>
        <v>0.12527323822987554</v>
      </c>
      <c r="K19" s="41">
        <f>IFERROR('Historical FS'!K14,0)</f>
        <v>8.8798023177028354E-2</v>
      </c>
      <c r="L19" s="41">
        <f>IFERROR('Historical FS'!L14,0)</f>
        <v>0.10929475436519734</v>
      </c>
      <c r="M19" s="67"/>
      <c r="N19" s="80">
        <f t="shared" si="2"/>
        <v>0.10542069613272143</v>
      </c>
      <c r="O19" s="81">
        <f>IFERROR(MEDIAN(C19:L19),0)</f>
        <v>0.1089483853647838</v>
      </c>
    </row>
    <row r="20" spans="2:25" x14ac:dyDescent="0.3">
      <c r="B20" s="56" t="s">
        <v>138</v>
      </c>
      <c r="C20" s="37">
        <f>IFERROR('Historical FS'!C23,0)</f>
        <v>4.0262575844435503E-2</v>
      </c>
      <c r="D20" s="37">
        <f>IFERROR('Historical FS'!D23,0)</f>
        <v>4.757971849946438E-2</v>
      </c>
      <c r="E20" s="37">
        <f>IFERROR('Historical FS'!E23,0)</f>
        <v>5.0876584184966822E-2</v>
      </c>
      <c r="F20" s="37">
        <f>IFERROR('Historical FS'!F23,0)</f>
        <v>6.1201425695927715E-2</v>
      </c>
      <c r="G20" s="37">
        <f>IFERROR('Historical FS'!G23,0)</f>
        <v>6.63903865924938E-2</v>
      </c>
      <c r="H20" s="37">
        <f>IFERROR('Historical FS'!H23,0)</f>
        <v>7.3927472182518786E-2</v>
      </c>
      <c r="I20" s="37">
        <f>IFERROR('Historical FS'!I23,0)</f>
        <v>7.8130605447998658E-2</v>
      </c>
      <c r="J20" s="37">
        <f>IFERROR('Historical FS'!J23,0)</f>
        <v>8.206839774331566E-2</v>
      </c>
      <c r="K20" s="37">
        <f>IFERROR('Historical FS'!K23,0)</f>
        <v>9.4264230933596482E-2</v>
      </c>
      <c r="L20" s="37">
        <f>IFERROR('Historical FS'!L23,0)</f>
        <v>8.9191478279219347E-2</v>
      </c>
      <c r="M20" s="62"/>
      <c r="N20" s="75">
        <f t="shared" si="2"/>
        <v>6.8389287540393723E-2</v>
      </c>
      <c r="O20" s="82">
        <f t="shared" ref="O20:O21" si="4">IFERROR(MEDIAN(C20:L20),0)</f>
        <v>7.0158929387506286E-2</v>
      </c>
    </row>
    <row r="21" spans="2:25" x14ac:dyDescent="0.3">
      <c r="B21" s="57" t="s">
        <v>139</v>
      </c>
      <c r="C21" s="42">
        <f>C14</f>
        <v>9.0017786175937281E-2</v>
      </c>
      <c r="D21" s="42">
        <f t="shared" ref="D21:L21" si="5">D14</f>
        <v>0.10211238357890337</v>
      </c>
      <c r="E21" s="42">
        <f t="shared" si="5"/>
        <v>9.8229670900837146E-2</v>
      </c>
      <c r="F21" s="42">
        <f t="shared" si="5"/>
        <v>7.941702777851016E-2</v>
      </c>
      <c r="G21" s="42">
        <f t="shared" si="5"/>
        <v>4.3322300645279484E-2</v>
      </c>
      <c r="H21" s="42">
        <f t="shared" si="5"/>
        <v>3.3970412259310953E-2</v>
      </c>
      <c r="I21" s="42">
        <f t="shared" si="5"/>
        <v>3.5560233478087663E-3</v>
      </c>
      <c r="J21" s="42">
        <f t="shared" si="5"/>
        <v>-1.3170363258273456E-2</v>
      </c>
      <c r="K21" s="42">
        <f t="shared" si="5"/>
        <v>3.4991608110258483E-2</v>
      </c>
      <c r="L21" s="42">
        <f t="shared" si="5"/>
        <v>-4.1514992694289269E-4</v>
      </c>
      <c r="M21" s="68"/>
      <c r="N21" s="83">
        <f t="shared" si="2"/>
        <v>4.7203169961162923E-2</v>
      </c>
      <c r="O21" s="84">
        <f t="shared" si="4"/>
        <v>3.9156954377768984E-2</v>
      </c>
    </row>
    <row r="22" spans="2:25" x14ac:dyDescent="0.3">
      <c r="N22" s="16"/>
    </row>
    <row r="23" spans="2:25" x14ac:dyDescent="0.3">
      <c r="B23" s="58" t="s">
        <v>168</v>
      </c>
      <c r="C23" s="43">
        <f>IFERROR(('Historical FS'!C16-'Historical FS'!C22)/(SUM('Historical FS'!C46:C48)),0)</f>
        <v>0.18603327903481243</v>
      </c>
      <c r="D23" s="43">
        <f>IFERROR(('Historical FS'!D16-'Historical FS'!D22)/(SUM('Historical FS'!D46:D48)),0)</f>
        <v>0.18832478532145183</v>
      </c>
      <c r="E23" s="43">
        <f>IFERROR(('Historical FS'!E16-'Historical FS'!E22)/(SUM('Historical FS'!E46:E48)),0)</f>
        <v>0.19904181268509033</v>
      </c>
      <c r="F23" s="43">
        <f>IFERROR(('Historical FS'!F16-'Historical FS'!F22)/(SUM('Historical FS'!F46:F48)),0)</f>
        <v>0.1462081011853561</v>
      </c>
      <c r="G23" s="43">
        <f>IFERROR(('Historical FS'!G16-'Historical FS'!G22)/(SUM('Historical FS'!G46:G48)),0)</f>
        <v>8.5490986154773282E-2</v>
      </c>
      <c r="H23" s="43">
        <f>IFERROR(('Historical FS'!H16-'Historical FS'!H22)/(SUM('Historical FS'!H46:H48)),0)</f>
        <v>5.3716113570365424E-2</v>
      </c>
      <c r="I23" s="43">
        <f>IFERROR(('Historical FS'!I16-'Historical FS'!I22)/(SUM('Historical FS'!I46:I48)),0)</f>
        <v>6.4542733637543747E-3</v>
      </c>
      <c r="J23" s="43">
        <f>IFERROR(('Historical FS'!J16-'Historical FS'!J22)/(SUM('Historical FS'!J46:J48)),0)</f>
        <v>-1.8387082646096023E-2</v>
      </c>
      <c r="K23" s="43">
        <f>IFERROR(('Historical FS'!K16-'Historical FS'!K22)/(SUM('Historical FS'!K46:K48)),0)</f>
        <v>4.4284324706251613E-2</v>
      </c>
      <c r="L23" s="43">
        <f>IFERROR(('Historical FS'!L16-'Historical FS'!L22)/(SUM('Historical FS'!L46:L48)),0)</f>
        <v>-6.0520306054739361E-4</v>
      </c>
      <c r="M23" s="63"/>
      <c r="N23" s="85">
        <f t="shared" si="2"/>
        <v>8.9056139031521209E-2</v>
      </c>
      <c r="O23" s="86">
        <f>IFERROR(MEDIAN(C23:L23),0)</f>
        <v>6.960354986256935E-2</v>
      </c>
      <c r="Q23" s="146" t="s">
        <v>169</v>
      </c>
      <c r="R23" s="146"/>
      <c r="S23" s="146"/>
      <c r="T23" s="146"/>
      <c r="U23" s="146"/>
      <c r="V23" s="147"/>
      <c r="W23" s="146" t="s">
        <v>170</v>
      </c>
      <c r="X23" s="146"/>
      <c r="Y23" s="146"/>
    </row>
    <row r="24" spans="2:25" x14ac:dyDescent="0.3">
      <c r="B24" s="59" t="s">
        <v>140</v>
      </c>
      <c r="C24" s="44">
        <f>IFERROR('Historical FS'!C42,0)</f>
        <v>0.93393209005372868</v>
      </c>
      <c r="D24" s="44">
        <f>IFERROR('Historical FS'!D42,0)</f>
        <v>0.95485720817027164</v>
      </c>
      <c r="E24" s="44">
        <f>IFERROR('Historical FS'!E42,0)</f>
        <v>1</v>
      </c>
      <c r="F24" s="44">
        <f>IFERROR('Historical FS'!F42,0)</f>
        <v>0.99506765991253665</v>
      </c>
      <c r="G24" s="44">
        <f>IFERROR('Historical FS'!G42,0)</f>
        <v>1</v>
      </c>
      <c r="H24" s="44">
        <f>IFERROR('Historical FS'!H42,0)</f>
        <v>1</v>
      </c>
      <c r="I24" s="44">
        <f>IFERROR('Historical FS'!I42,0)</f>
        <v>0</v>
      </c>
      <c r="J24" s="44">
        <f>IFERROR('Historical FS'!J42,0)</f>
        <v>0</v>
      </c>
      <c r="K24" s="44">
        <f>IFERROR('Historical FS'!K42,0)</f>
        <v>0</v>
      </c>
      <c r="L24" s="44">
        <f>IFERROR('Historical FS'!L42,0)</f>
        <v>0</v>
      </c>
      <c r="M24" s="62"/>
      <c r="N24" s="75">
        <f t="shared" si="2"/>
        <v>0.58838569581365374</v>
      </c>
      <c r="O24" s="87">
        <f t="shared" ref="O24:O27" si="6">IFERROR(MEDIAN(C24:L24),0)</f>
        <v>0.94439464911200011</v>
      </c>
      <c r="Q24" s="147"/>
      <c r="R24" s="147"/>
      <c r="S24" s="147"/>
      <c r="T24" s="147"/>
      <c r="U24" s="147"/>
      <c r="V24" s="147"/>
      <c r="W24" s="147"/>
      <c r="X24" s="147"/>
      <c r="Y24" s="147"/>
    </row>
    <row r="25" spans="2:25" x14ac:dyDescent="0.3">
      <c r="B25" s="59" t="s">
        <v>141</v>
      </c>
      <c r="C25" s="37">
        <f>IFERROR('Historical FS'!C31/SUM('Historical FS'!C46:C47),0)</f>
        <v>0.25660156281136032</v>
      </c>
      <c r="D25" s="37">
        <f>IFERROR('Historical FS'!D31/SUM('Historical FS'!D46:D47),0)</f>
        <v>0.21738140295975247</v>
      </c>
      <c r="E25" s="37">
        <f>IFERROR('Historical FS'!E31/SUM('Historical FS'!E46:E47),0)</f>
        <v>0.2372052002491202</v>
      </c>
      <c r="F25" s="37">
        <f>IFERROR('Historical FS'!F31/SUM('Historical FS'!F46:F47),0)</f>
        <v>0.17441316864171685</v>
      </c>
      <c r="G25" s="37">
        <f>IFERROR('Historical FS'!G31/SUM('Historical FS'!G46:G47),0)</f>
        <v>7.2241189530689517E-2</v>
      </c>
      <c r="H25" s="37">
        <f>IFERROR('Historical FS'!H31/SUM('Historical FS'!H46:H47),0)</f>
        <v>9.2254980749341738E-3</v>
      </c>
      <c r="I25" s="37">
        <f>IFERROR('Historical FS'!I31/SUM('Historical FS'!I46:I47),0)</f>
        <v>-3.7345736658758885E-2</v>
      </c>
      <c r="J25" s="37">
        <f>IFERROR('Historical FS'!J31/SUM('Historical FS'!J46:J47),0)</f>
        <v>-0.1780542775131683</v>
      </c>
      <c r="K25" s="37">
        <f>IFERROR('Historical FS'!K31/SUM('Historical FS'!K46:K47),0)</f>
        <v>-3.4360591904822733E-2</v>
      </c>
      <c r="L25" s="37">
        <f>IFERROR('Historical FS'!L31/SUM('Historical FS'!L46:L47),0)</f>
        <v>-0.30651638060341208</v>
      </c>
      <c r="M25" s="62"/>
      <c r="N25" s="75">
        <f t="shared" si="2"/>
        <v>4.1079103558741156E-2</v>
      </c>
      <c r="O25" s="87">
        <f t="shared" si="6"/>
        <v>4.073334380281185E-2</v>
      </c>
      <c r="Q25" s="146" t="s">
        <v>172</v>
      </c>
      <c r="R25" s="146"/>
      <c r="S25" s="146"/>
      <c r="T25" s="146"/>
      <c r="U25" s="146"/>
      <c r="V25" s="147"/>
      <c r="W25" s="147"/>
      <c r="X25" s="147"/>
      <c r="Y25" s="147"/>
    </row>
    <row r="26" spans="2:25" x14ac:dyDescent="0.3">
      <c r="B26" s="59" t="s">
        <v>142</v>
      </c>
      <c r="C26" s="37">
        <f>IFERROR(C25*C24,0)</f>
        <v>0.23964843386746687</v>
      </c>
      <c r="D26" s="37">
        <f t="shared" ref="D26:L26" si="7">IFERROR(D25*D24,0)</f>
        <v>0.20756819953828606</v>
      </c>
      <c r="E26" s="37">
        <f t="shared" si="7"/>
        <v>0.2372052002491202</v>
      </c>
      <c r="F26" s="37">
        <f t="shared" si="7"/>
        <v>0.17355290357824379</v>
      </c>
      <c r="G26" s="37">
        <f t="shared" si="7"/>
        <v>7.2241189530689517E-2</v>
      </c>
      <c r="H26" s="37">
        <f t="shared" si="7"/>
        <v>9.2254980749341738E-3</v>
      </c>
      <c r="I26" s="37">
        <f t="shared" si="7"/>
        <v>0</v>
      </c>
      <c r="J26" s="37">
        <f t="shared" si="7"/>
        <v>0</v>
      </c>
      <c r="K26" s="37">
        <f t="shared" si="7"/>
        <v>0</v>
      </c>
      <c r="L26" s="37">
        <f t="shared" si="7"/>
        <v>0</v>
      </c>
      <c r="M26" s="62"/>
      <c r="N26" s="75">
        <f t="shared" si="2"/>
        <v>9.394414248387406E-2</v>
      </c>
      <c r="O26" s="87">
        <f t="shared" si="6"/>
        <v>4.073334380281185E-2</v>
      </c>
      <c r="Q26" s="147"/>
      <c r="R26" s="147"/>
      <c r="S26" s="147"/>
      <c r="T26" s="147"/>
      <c r="U26" s="147"/>
      <c r="V26" s="147"/>
      <c r="W26" s="147"/>
      <c r="X26" s="147"/>
      <c r="Y26" s="147"/>
    </row>
    <row r="27" spans="2:25" x14ac:dyDescent="0.3">
      <c r="B27" s="60" t="s">
        <v>156</v>
      </c>
      <c r="C27" s="45">
        <f>('Historical FS'!C16-'Historical FS'!C22)/'Historical FS'!C19</f>
        <v>4.773456920160104</v>
      </c>
      <c r="D27" s="45">
        <f>('Historical FS'!D16-'Historical FS'!D22)/'Historical FS'!D19</f>
        <v>5.0058954318824904</v>
      </c>
      <c r="E27" s="45">
        <f>('Historical FS'!E16-'Historical FS'!E22)/'Historical FS'!E19</f>
        <v>5.3173039541375138</v>
      </c>
      <c r="F27" s="45">
        <f>('Historical FS'!F16-'Historical FS'!F22)/'Historical FS'!F19</f>
        <v>4.4352863933500721</v>
      </c>
      <c r="G27" s="45">
        <f>('Historical FS'!G16-'Historical FS'!G22)/'Historical FS'!G19</f>
        <v>2.7568835373205922</v>
      </c>
      <c r="H27" s="45">
        <f>('Historical FS'!H16-'Historical FS'!H22)/'Historical FS'!H19</f>
        <v>2.1154494328024094</v>
      </c>
      <c r="I27" s="45">
        <f>('Historical FS'!I16-'Historical FS'!I22)/'Historical FS'!I19</f>
        <v>0.18645156808947008</v>
      </c>
      <c r="J27" s="45">
        <f>('Historical FS'!J16-'Historical FS'!J22)/'Historical FS'!J19</f>
        <v>-0.47469326953211261</v>
      </c>
      <c r="K27" s="45">
        <f>('Historical FS'!K16-'Historical FS'!K22)/'Historical FS'!K19</f>
        <v>1.079478385658198</v>
      </c>
      <c r="L27" s="45">
        <f>('Historical FS'!L16-'Historical FS'!L22)/'Historical FS'!L19</f>
        <v>-1.2414275987824557E-2</v>
      </c>
      <c r="M27" s="64"/>
      <c r="N27" s="88">
        <f t="shared" si="2"/>
        <v>2.5183098077880914</v>
      </c>
      <c r="O27" s="89">
        <f t="shared" si="6"/>
        <v>2.4361664850615008</v>
      </c>
      <c r="Q27" s="148" t="s">
        <v>174</v>
      </c>
      <c r="R27" s="146"/>
      <c r="S27" s="146"/>
      <c r="T27" s="146"/>
      <c r="U27" s="146"/>
      <c r="V27" s="146"/>
      <c r="W27" s="146"/>
      <c r="X27" s="147"/>
      <c r="Y27" s="147"/>
    </row>
    <row r="28" spans="2:25" x14ac:dyDescent="0.3">
      <c r="N28" s="16"/>
    </row>
    <row r="29" spans="2:25" x14ac:dyDescent="0.3">
      <c r="B29" s="58" t="s">
        <v>143</v>
      </c>
      <c r="C29" s="46">
        <f>'Historical FS'!C5/'Historical FS'!C58</f>
        <v>17.226239096317382</v>
      </c>
      <c r="D29" s="46">
        <f>'Historical FS'!D5/'Historical FS'!D58</f>
        <v>22.018970648453838</v>
      </c>
      <c r="E29" s="46">
        <f>'Historical FS'!E5/'Historical FS'!E58</f>
        <v>20.92016821419486</v>
      </c>
      <c r="F29" s="46">
        <f>'Historical FS'!F5/'Historical FS'!F58</f>
        <v>20.119918266350599</v>
      </c>
      <c r="G29" s="46">
        <f>'Historical FS'!G5/'Historical FS'!G58</f>
        <v>19.160353236640844</v>
      </c>
      <c r="H29" s="46">
        <f>'Historical FS'!H5/'Historical FS'!H58</f>
        <v>14.655712224718874</v>
      </c>
      <c r="I29" s="46">
        <f>'Historical FS'!I5/'Historical FS'!I58</f>
        <v>15.894698773489607</v>
      </c>
      <c r="J29" s="46">
        <f>'Historical FS'!J5/'Historical FS'!J58</f>
        <v>23.366617170976728</v>
      </c>
      <c r="K29" s="46">
        <f>'Historical FS'!K5/'Historical FS'!K58</f>
        <v>19.701330853658153</v>
      </c>
      <c r="L29" s="46">
        <f>'Historical FS'!L5/'Historical FS'!L58</f>
        <v>22.379917570317598</v>
      </c>
      <c r="M29" s="63"/>
      <c r="N29" s="90">
        <f t="shared" si="2"/>
        <v>19.544392605511845</v>
      </c>
      <c r="O29" s="91">
        <f>IFERROR(MEDIAN(C29:L29),0)</f>
        <v>19.910624560004376</v>
      </c>
      <c r="R29" s="44"/>
    </row>
    <row r="30" spans="2:25" x14ac:dyDescent="0.3">
      <c r="B30" s="59" t="s">
        <v>144</v>
      </c>
      <c r="C30" s="47">
        <f>IFERROR('Historical FS'!C5/'Historical FS'!C49,0)</f>
        <v>2.4525850701936758</v>
      </c>
      <c r="D30" s="47">
        <f>IFERROR('Historical FS'!D5/'Historical FS'!D49,0)</f>
        <v>2.5258516302731193</v>
      </c>
      <c r="E30" s="47">
        <f>IFERROR('Historical FS'!E5/'Historical FS'!E49,0)</f>
        <v>2.4493010585757142</v>
      </c>
      <c r="F30" s="47">
        <f>IFERROR('Historical FS'!F5/'Historical FS'!F49,0)</f>
        <v>2.3769603927858673</v>
      </c>
      <c r="G30" s="47">
        <f>IFERROR('Historical FS'!G5/'Historical FS'!G49,0)</f>
        <v>1.9842807783040648</v>
      </c>
      <c r="H30" s="47">
        <f>IFERROR('Historical FS'!H5/'Historical FS'!H49,0)</f>
        <v>2.0414780318629697</v>
      </c>
      <c r="I30" s="47">
        <f>IFERROR('Historical FS'!I5/'Historical FS'!I49,0)</f>
        <v>2.1667847518227492</v>
      </c>
      <c r="J30" s="47">
        <f>IFERROR('Historical FS'!J5/'Historical FS'!J49,0)</f>
        <v>1.9602534811345065</v>
      </c>
      <c r="K30" s="47">
        <f>IFERROR('Historical FS'!K5/'Historical FS'!K49,0)</f>
        <v>1.7323684804395676</v>
      </c>
      <c r="L30" s="47">
        <f>IFERROR('Historical FS'!L5/'Historical FS'!L49,0)</f>
        <v>2.0170312149360217</v>
      </c>
      <c r="M30" s="62"/>
      <c r="N30" s="92">
        <f t="shared" si="2"/>
        <v>2.1706894890328257</v>
      </c>
      <c r="O30" s="93">
        <f t="shared" ref="O30:O33" si="8">IFERROR(MEDIAN(C30:L30),0)</f>
        <v>2.1041313918428592</v>
      </c>
    </row>
    <row r="31" spans="2:25" x14ac:dyDescent="0.3">
      <c r="B31" s="59" t="s">
        <v>145</v>
      </c>
      <c r="C31" s="47">
        <f>IFERROR('Historical FS'!C5/'Historical FS'!C59,0)</f>
        <v>8.9743929928572861</v>
      </c>
      <c r="D31" s="47">
        <f>IFERROR('Historical FS'!D5/'Historical FS'!D59,0)</f>
        <v>8.5378093637574715</v>
      </c>
      <c r="E31" s="47">
        <f>IFERROR('Historical FS'!E5/'Historical FS'!E59,0)</f>
        <v>8.9900219797938927</v>
      </c>
      <c r="F31" s="47">
        <f>IFERROR('Historical FS'!F5/'Historical FS'!F59,0)</f>
        <v>8.3613381173839922</v>
      </c>
      <c r="G31" s="47">
        <f>IFERROR('Historical FS'!G5/'Historical FS'!G59,0)</f>
        <v>7.6867643466738649</v>
      </c>
      <c r="H31" s="47">
        <f>IFERROR('Historical FS'!H5/'Historical FS'!H59,0)</f>
        <v>6.9190051742350009</v>
      </c>
      <c r="I31" s="47">
        <f>IFERROR('Historical FS'!I5/'Historical FS'!I59,0)</f>
        <v>7.7392856309817084</v>
      </c>
      <c r="J31" s="47">
        <f>IFERROR('Historical FS'!J5/'Historical FS'!J59,0)</f>
        <v>6.9698269049637886</v>
      </c>
      <c r="K31" s="47">
        <f>IFERROR('Historical FS'!K5/'Historical FS'!K59,0)</f>
        <v>6.9217098811563442</v>
      </c>
      <c r="L31" s="47">
        <f>IFERROR('Historical FS'!L5/'Historical FS'!L59,0)</f>
        <v>7.9015588385356104</v>
      </c>
      <c r="M31" s="62"/>
      <c r="N31" s="92">
        <f t="shared" si="2"/>
        <v>7.9001713230338968</v>
      </c>
      <c r="O31" s="93">
        <f t="shared" si="8"/>
        <v>7.8204222347586594</v>
      </c>
    </row>
    <row r="32" spans="2:25" x14ac:dyDescent="0.3">
      <c r="B32" s="59" t="s">
        <v>146</v>
      </c>
      <c r="C32" s="47">
        <f>IFERROR('Historical FS'!C5/'Historical FS'!C52,0)</f>
        <v>3.4009512944381304</v>
      </c>
      <c r="D32" s="47">
        <f>IFERROR('Historical FS'!D5/'Historical FS'!D52,0)</f>
        <v>3.3699237549186467</v>
      </c>
      <c r="E32" s="47">
        <f>IFERROR('Historical FS'!E5/'Historical FS'!E52,0)</f>
        <v>2.9742370802544178</v>
      </c>
      <c r="F32" s="47">
        <f>IFERROR('Historical FS'!F5/'Historical FS'!F52,0)</f>
        <v>2.546312771514708</v>
      </c>
      <c r="G32" s="47">
        <f>IFERROR('Historical FS'!G5/'Historical FS'!G52,0)</f>
        <v>2.8109343484246239</v>
      </c>
      <c r="H32" s="47">
        <f>IFERROR('Historical FS'!H5/'Historical FS'!H52,0)</f>
        <v>2.4012948768781421</v>
      </c>
      <c r="I32" s="47">
        <f>IFERROR('Historical FS'!I5/'Historical FS'!I52,0)</f>
        <v>2.7144319562092578</v>
      </c>
      <c r="J32" s="47">
        <f>IFERROR('Historical FS'!J5/'Historical FS'!J52,0)</f>
        <v>2.0539205744067566</v>
      </c>
      <c r="K32" s="47">
        <f>IFERROR('Historical FS'!K5/'Historical FS'!K52,0)</f>
        <v>1.8008727134726064</v>
      </c>
      <c r="L32" s="47">
        <f>IFERROR('Historical FS'!L5/'Historical FS'!L52,0)</f>
        <v>2.0053488717943728</v>
      </c>
      <c r="M32" s="62"/>
      <c r="N32" s="92">
        <f t="shared" si="2"/>
        <v>2.6078228242311661</v>
      </c>
      <c r="O32" s="93">
        <f t="shared" si="8"/>
        <v>2.6303723638619827</v>
      </c>
    </row>
    <row r="33" spans="2:15" x14ac:dyDescent="0.3">
      <c r="B33" s="60" t="s">
        <v>147</v>
      </c>
      <c r="C33" s="45">
        <f>IFERROR('Historical FS'!C5/SUM('Historical FS'!C46:C47),0)</f>
        <v>5.0161060968772997</v>
      </c>
      <c r="D33" s="45">
        <f>IFERROR('Historical FS'!D5/SUM('Historical FS'!D46:D47),0)</f>
        <v>3.549106944832932</v>
      </c>
      <c r="E33" s="45">
        <f>IFERROR('Historical FS'!E5/SUM('Historical FS'!E46:E47),0)</f>
        <v>4.6773906756114965</v>
      </c>
      <c r="F33" s="45">
        <f>IFERROR('Historical FS'!F5/SUM('Historical FS'!F46:F47),0)</f>
        <v>3.4583567493379874</v>
      </c>
      <c r="G33" s="45">
        <f>IFERROR('Historical FS'!G5/SUM('Historical FS'!G46:G47),0)</f>
        <v>4.6449144180459854</v>
      </c>
      <c r="H33" s="45">
        <f>IFERROR('Historical FS'!H5/SUM('Historical FS'!H46:H47),0)</f>
        <v>3.0551908765475422</v>
      </c>
      <c r="I33" s="45">
        <f>IFERROR('Historical FS'!I5/SUM('Historical FS'!I46:I47),0)</f>
        <v>5.0172915853821474</v>
      </c>
      <c r="J33" s="45">
        <f>IFERROR('Historical FS'!J5/SUM('Historical FS'!J46:J47),0)</f>
        <v>4.196490075795241</v>
      </c>
      <c r="K33" s="45">
        <f>IFERROR('Historical FS'!K5/SUM('Historical FS'!K46:K47),0)</f>
        <v>4.5214403678625628</v>
      </c>
      <c r="L33" s="45">
        <f>IFERROR('Historical FS'!L5/SUM('Historical FS'!L46:L47),0)</f>
        <v>6.2487852671963351</v>
      </c>
      <c r="M33" s="64"/>
      <c r="N33" s="88">
        <f t="shared" si="2"/>
        <v>4.4385073057489519</v>
      </c>
      <c r="O33" s="89">
        <f t="shared" si="8"/>
        <v>4.5831773929542745</v>
      </c>
    </row>
    <row r="34" spans="2:15" x14ac:dyDescent="0.3">
      <c r="N34" s="16"/>
    </row>
    <row r="35" spans="2:15" x14ac:dyDescent="0.3">
      <c r="N35" s="16"/>
    </row>
    <row r="36" spans="2:15" x14ac:dyDescent="0.3">
      <c r="B36" s="58" t="s">
        <v>148</v>
      </c>
      <c r="C36" s="48">
        <f>IFERROR(365/C29,0)</f>
        <v>21.188606402080506</v>
      </c>
      <c r="D36" s="48">
        <f t="shared" ref="D36:L36" si="9">IFERROR(365/D29,0)</f>
        <v>16.576615039251624</v>
      </c>
      <c r="E36" s="48">
        <f t="shared" si="9"/>
        <v>17.447278447423685</v>
      </c>
      <c r="F36" s="48">
        <f t="shared" si="9"/>
        <v>18.141226776772818</v>
      </c>
      <c r="G36" s="48">
        <f t="shared" si="9"/>
        <v>19.049753180019717</v>
      </c>
      <c r="H36" s="48">
        <f t="shared" si="9"/>
        <v>24.904964999543136</v>
      </c>
      <c r="I36" s="48">
        <f t="shared" si="9"/>
        <v>22.963631157878556</v>
      </c>
      <c r="J36" s="48">
        <f t="shared" si="9"/>
        <v>15.620575170519771</v>
      </c>
      <c r="K36" s="48">
        <f t="shared" si="9"/>
        <v>18.52666719376608</v>
      </c>
      <c r="L36" s="48">
        <f t="shared" si="9"/>
        <v>16.309264717046954</v>
      </c>
      <c r="M36" s="63"/>
      <c r="N36" s="94">
        <f t="shared" si="2"/>
        <v>19.072858308430284</v>
      </c>
      <c r="O36" s="95">
        <f>IFERROR(MEDIAN(C36:L36),0)</f>
        <v>18.333946985269449</v>
      </c>
    </row>
    <row r="37" spans="2:15" x14ac:dyDescent="0.3">
      <c r="B37" s="59" t="s">
        <v>149</v>
      </c>
      <c r="C37" s="49">
        <f>IFERROR(365/C30,0)</f>
        <v>148.82256458128757</v>
      </c>
      <c r="D37" s="49">
        <f t="shared" ref="D37:L37" si="10">IFERROR(365/D30,0)</f>
        <v>144.50571665626009</v>
      </c>
      <c r="E37" s="49">
        <f t="shared" si="10"/>
        <v>149.02210519283818</v>
      </c>
      <c r="F37" s="49">
        <f t="shared" si="10"/>
        <v>153.55745981623585</v>
      </c>
      <c r="G37" s="49">
        <f t="shared" si="10"/>
        <v>183.94574194885871</v>
      </c>
      <c r="H37" s="49">
        <f t="shared" si="10"/>
        <v>178.79202925682029</v>
      </c>
      <c r="I37" s="49">
        <f t="shared" si="10"/>
        <v>168.45235766633192</v>
      </c>
      <c r="J37" s="49">
        <f t="shared" si="10"/>
        <v>186.20040903524091</v>
      </c>
      <c r="K37" s="49">
        <f t="shared" si="10"/>
        <v>210.69420514242194</v>
      </c>
      <c r="L37" s="49">
        <f t="shared" si="10"/>
        <v>180.95902398395825</v>
      </c>
      <c r="M37" s="62"/>
      <c r="N37" s="96">
        <f t="shared" si="2"/>
        <v>170.49516132802538</v>
      </c>
      <c r="O37" s="97">
        <f t="shared" ref="O37:O39" si="11">IFERROR(MEDIAN(C37:L37),0)</f>
        <v>173.6221934615761</v>
      </c>
    </row>
    <row r="38" spans="2:15" x14ac:dyDescent="0.3">
      <c r="B38" s="59" t="s">
        <v>150</v>
      </c>
      <c r="C38" s="49">
        <f>IFERROR(365/C31,0)</f>
        <v>40.671274401567132</v>
      </c>
      <c r="D38" s="49">
        <f t="shared" ref="D38:L38" si="12">IFERROR(365/D31,0)</f>
        <v>42.751013105235728</v>
      </c>
      <c r="E38" s="49">
        <f t="shared" si="12"/>
        <v>40.600568143256986</v>
      </c>
      <c r="F38" s="49">
        <f t="shared" si="12"/>
        <v>43.653299851746382</v>
      </c>
      <c r="G38" s="49">
        <f t="shared" si="12"/>
        <v>47.484218786795374</v>
      </c>
      <c r="H38" s="49">
        <f t="shared" si="12"/>
        <v>52.753248596949661</v>
      </c>
      <c r="I38" s="49">
        <f t="shared" si="12"/>
        <v>47.161975588398164</v>
      </c>
      <c r="J38" s="49">
        <f t="shared" si="12"/>
        <v>52.368588915752468</v>
      </c>
      <c r="K38" s="49">
        <f t="shared" si="12"/>
        <v>52.732634893247351</v>
      </c>
      <c r="L38" s="49">
        <f t="shared" si="12"/>
        <v>46.193416698982041</v>
      </c>
      <c r="M38" s="62"/>
      <c r="N38" s="96">
        <f t="shared" si="2"/>
        <v>46.637023898193128</v>
      </c>
      <c r="O38" s="97">
        <f t="shared" si="11"/>
        <v>46.677696143690099</v>
      </c>
    </row>
    <row r="39" spans="2:15" x14ac:dyDescent="0.3">
      <c r="B39" s="60" t="s">
        <v>151</v>
      </c>
      <c r="C39" s="50">
        <f>SUM(C36,C38)-C37</f>
        <v>-86.962683777639924</v>
      </c>
      <c r="D39" s="50">
        <f t="shared" ref="D39:L39" si="13">SUM(D36,D38)-D37</f>
        <v>-85.178088511772742</v>
      </c>
      <c r="E39" s="50">
        <f t="shared" si="13"/>
        <v>-90.974258602157505</v>
      </c>
      <c r="F39" s="50">
        <f t="shared" si="13"/>
        <v>-91.762933187716641</v>
      </c>
      <c r="G39" s="50">
        <f t="shared" si="13"/>
        <v>-117.41176998204362</v>
      </c>
      <c r="H39" s="50">
        <f t="shared" si="13"/>
        <v>-101.13381566032749</v>
      </c>
      <c r="I39" s="50">
        <f t="shared" si="13"/>
        <v>-98.326750920055204</v>
      </c>
      <c r="J39" s="50">
        <f t="shared" si="13"/>
        <v>-118.21124494896867</v>
      </c>
      <c r="K39" s="50">
        <f t="shared" si="13"/>
        <v>-139.43490305540851</v>
      </c>
      <c r="L39" s="50">
        <f t="shared" si="13"/>
        <v>-118.45634256792925</v>
      </c>
      <c r="M39" s="64"/>
      <c r="N39" s="98">
        <f t="shared" si="2"/>
        <v>-104.78527912140196</v>
      </c>
      <c r="O39" s="99">
        <f t="shared" si="11"/>
        <v>-99.730283290191352</v>
      </c>
    </row>
    <row r="40" spans="2:15" x14ac:dyDescent="0.3">
      <c r="N40" s="16"/>
    </row>
    <row r="41" spans="2:15" x14ac:dyDescent="0.3">
      <c r="B41" s="58" t="s">
        <v>152</v>
      </c>
      <c r="C41" s="43">
        <f>IFERROR('Historical FS'!C77/'Historical FS'!C5,0)</f>
        <v>0.11737212918572218</v>
      </c>
      <c r="D41" s="43">
        <f>IFERROR('Historical FS'!D77/'Historical FS'!D5,0)</f>
        <v>0.17311929898795561</v>
      </c>
      <c r="E41" s="43">
        <f>IFERROR('Historical FS'!E77/'Historical FS'!E5,0)</f>
        <v>0.12106750071762705</v>
      </c>
      <c r="F41" s="43">
        <f>IFERROR('Historical FS'!F77/'Historical FS'!F5,0)</f>
        <v>0.14360971207739662</v>
      </c>
      <c r="G41" s="43">
        <f>IFERROR('Historical FS'!G77/'Historical FS'!G5,0)</f>
        <v>0.12404497255040564</v>
      </c>
      <c r="H41" s="43">
        <f>IFERROR('Historical FS'!H77/'Historical FS'!H5,0)</f>
        <v>5.9759805574664121E-2</v>
      </c>
      <c r="I41" s="43">
        <f>IFERROR('Historical FS'!I77/'Historical FS'!I5,0)</f>
        <v>3.8653579670555313E-2</v>
      </c>
      <c r="J41" s="43">
        <f>IFERROR('Historical FS'!J77/'Historical FS'!J5,0)</f>
        <v>0.12141665635964458</v>
      </c>
      <c r="K41" s="43">
        <f>IFERROR('Historical FS'!K77/'Historical FS'!K5,0)</f>
        <v>0.11572300859005244</v>
      </c>
      <c r="L41" s="43">
        <f>IFERROR('Historical FS'!L77/'Historical FS'!L5,0)</f>
        <v>1.3675527005179534E-2</v>
      </c>
      <c r="M41" s="63"/>
      <c r="N41" s="85">
        <f t="shared" si="2"/>
        <v>0.10284421907192032</v>
      </c>
      <c r="O41" s="86">
        <f>IFERROR(MEDIAN(C41:L41),0)</f>
        <v>0.11921981495167461</v>
      </c>
    </row>
    <row r="42" spans="2:15" x14ac:dyDescent="0.3">
      <c r="B42" s="59" t="s">
        <v>153</v>
      </c>
      <c r="C42" s="37">
        <f>IFERROR('Historical FS'!C77/'Historical FS'!C63,0)</f>
        <v>0.13164020703851831</v>
      </c>
      <c r="D42" s="37">
        <f>IFERROR('Historical FS'!D77/'Historical FS'!D63,0)</f>
        <v>0.18453847914343893</v>
      </c>
      <c r="E42" s="37">
        <f>IFERROR('Historical FS'!E77/'Historical FS'!E63,0)</f>
        <v>0.1342520624188657</v>
      </c>
      <c r="F42" s="37">
        <f>IFERROR('Historical FS'!F77/'Historical FS'!F63,0)</f>
        <v>0.14899075217760099</v>
      </c>
      <c r="G42" s="37">
        <f>IFERROR('Historical FS'!G77/'Historical FS'!G63,0)</f>
        <v>0.12273077928285075</v>
      </c>
      <c r="H42" s="37">
        <f>IFERROR('Historical FS'!H77/'Historical FS'!H63,0)</f>
        <v>5.3250110386320486E-2</v>
      </c>
      <c r="I42" s="37">
        <f>IFERROR('Historical FS'!I77/'Historical FS'!I63,0)</f>
        <v>3.8177516390146542E-2</v>
      </c>
      <c r="J42" s="37">
        <f>IFERROR('Historical FS'!J77/'Historical FS'!J63,0)</f>
        <v>9.9000750797857404E-2</v>
      </c>
      <c r="K42" s="37">
        <f>IFERROR('Historical FS'!K77/'Historical FS'!K63,0)</f>
        <v>8.4629819997903213E-2</v>
      </c>
      <c r="L42" s="37">
        <f>IFERROR('Historical FS'!L77/'Historical FS'!L63,0)</f>
        <v>1.157230522477729E-2</v>
      </c>
      <c r="M42" s="62"/>
      <c r="N42" s="75">
        <f t="shared" si="2"/>
        <v>0.10087827828582793</v>
      </c>
      <c r="O42" s="87">
        <f t="shared" ref="O42:O43" si="14">IFERROR(MEDIAN(C42:L42),0)</f>
        <v>0.11086576504035409</v>
      </c>
    </row>
    <row r="43" spans="2:15" x14ac:dyDescent="0.3">
      <c r="B43" s="60" t="s">
        <v>154</v>
      </c>
      <c r="C43" s="51">
        <f>IFERROR('Historical FS'!C77/'Historical FS'!C48,0)</f>
        <v>0.4125236360089069</v>
      </c>
      <c r="D43" s="51">
        <f>IFERROR('Historical FS'!D77/'Historical FS'!D48,0)</f>
        <v>0.66468477108710289</v>
      </c>
      <c r="E43" s="51">
        <f>IFERROR('Historical FS'!E77/'Historical FS'!E48,0)</f>
        <v>0.43281933433581865</v>
      </c>
      <c r="F43" s="51">
        <f>IFERROR('Historical FS'!F77/'Historical FS'!F48,0)</f>
        <v>0.56534057978118779</v>
      </c>
      <c r="G43" s="51">
        <f>IFERROR('Historical FS'!G77/'Historical FS'!G48,0)</f>
        <v>0.42560185883717339</v>
      </c>
      <c r="H43" s="51">
        <f>IFERROR('Historical FS'!H77/'Historical FS'!H48,0)</f>
        <v>0.19587305159826587</v>
      </c>
      <c r="I43" s="51">
        <f>IFERROR('Historical FS'!I77/'Historical FS'!I48,0)</f>
        <v>0.1099219460940742</v>
      </c>
      <c r="J43" s="51">
        <f>IFERROR('Historical FS'!J77/'Historical FS'!J48,0)</f>
        <v>0.25401554192386361</v>
      </c>
      <c r="K43" s="51">
        <f>IFERROR('Historical FS'!K77/'Historical FS'!K48,0)</f>
        <v>0.20338341005738594</v>
      </c>
      <c r="L43" s="51">
        <f>IFERROR('Historical FS'!L77/'Historical FS'!L48,0)</f>
        <v>2.6002220704363834E-2</v>
      </c>
      <c r="M43" s="64"/>
      <c r="N43" s="100">
        <f t="shared" si="2"/>
        <v>0.32901663504281425</v>
      </c>
      <c r="O43" s="101">
        <f t="shared" si="14"/>
        <v>0.33326958896638526</v>
      </c>
    </row>
  </sheetData>
  <mergeCells count="1">
    <mergeCell ref="B2:M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low="1" first="1" xr2:uid="{9EB3B20A-C299-407D-AACD-E29E4FA114F1}">
          <x14:colorSeries rgb="FF376092"/>
          <x14:colorNegative rgb="FFD00000"/>
          <x14:colorAxis rgb="FF000000"/>
          <x14:colorMarkers rgb="FFFF0000"/>
          <x14:colorFirst rgb="FFFF0000"/>
          <x14:colorLast rgb="FFD00000"/>
          <x14:colorHigh rgb="FFD00000"/>
          <x14:colorLow rgb="FFFF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</x14:sparklines>
        </x14:sparklineGroup>
        <x14:sparklineGroup displayEmptyCellsAs="gap" markers="1" high="1" xr2:uid="{DD5F3C5F-9C4A-4521-9818-740AF969742E}">
          <x14:colorSeries rgb="FF0070C0"/>
          <x14:colorNegative rgb="FF000000"/>
          <x14:colorAxis rgb="FF000000"/>
          <x14:colorMarkers theme="5" tint="-0.249977111117893"/>
          <x14:colorFirst rgb="FF000000"/>
          <x14:colorLast rgb="FF000000"/>
          <x14:colorHigh rgb="FFFF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05DB-276F-4D4D-978F-BBA365FEFEF1}">
  <sheetPr>
    <tabColor rgb="FF92D050"/>
  </sheetPr>
  <dimension ref="B2:O40"/>
  <sheetViews>
    <sheetView workbookViewId="0">
      <selection activeCell="O38" sqref="O38"/>
    </sheetView>
  </sheetViews>
  <sheetFormatPr defaultRowHeight="14.4" x14ac:dyDescent="0.3"/>
  <cols>
    <col min="1" max="1" width="2.5546875" customWidth="1"/>
    <col min="2" max="2" width="21.44140625" customWidth="1"/>
    <col min="3" max="3" width="10" bestFit="1" customWidth="1"/>
    <col min="4" max="12" width="9.77734375" bestFit="1" customWidth="1"/>
  </cols>
  <sheetData>
    <row r="2" spans="2:15" x14ac:dyDescent="0.3">
      <c r="B2" s="132" t="str">
        <f>"Common size Statement"&amp;" "&amp;" - "&amp;'Data sheet Tata Motors'!$B$1</f>
        <v>Common size Statement  - TATA MOTORS LTD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4" spans="2:15" x14ac:dyDescent="0.3">
      <c r="B4" s="133" t="s">
        <v>163</v>
      </c>
      <c r="C4" s="134">
        <f>'Data sheet Tata Motors'!B16</f>
        <v>41364</v>
      </c>
      <c r="D4" s="134">
        <f>'Data sheet Tata Motors'!C16</f>
        <v>41729</v>
      </c>
      <c r="E4" s="134">
        <f>'Data sheet Tata Motors'!D16</f>
        <v>42094</v>
      </c>
      <c r="F4" s="134">
        <f>'Data sheet Tata Motors'!E16</f>
        <v>42460</v>
      </c>
      <c r="G4" s="134">
        <f>'Data sheet Tata Motors'!F16</f>
        <v>42825</v>
      </c>
      <c r="H4" s="134">
        <f>'Data sheet Tata Motors'!G16</f>
        <v>43190</v>
      </c>
      <c r="I4" s="134">
        <f>'Data sheet Tata Motors'!H16</f>
        <v>43555</v>
      </c>
      <c r="J4" s="134">
        <f>'Data sheet Tata Motors'!I16</f>
        <v>43921</v>
      </c>
      <c r="K4" s="134">
        <f>'Data sheet Tata Motors'!J16</f>
        <v>44286</v>
      </c>
      <c r="L4" s="134">
        <f>'Data sheet Tata Motors'!K16</f>
        <v>44651</v>
      </c>
    </row>
    <row r="6" spans="2:15" x14ac:dyDescent="0.3">
      <c r="B6" s="136" t="str">
        <f>'Data sheet Tata Motors'!A17</f>
        <v>Sales</v>
      </c>
      <c r="C6" s="138">
        <f>'Data sheet Tata Motors'!B17/'Data sheet Tata Motors'!B$17</f>
        <v>1</v>
      </c>
      <c r="D6" s="138">
        <f>'Data sheet Tata Motors'!C17/'Data sheet Tata Motors'!C$17</f>
        <v>1</v>
      </c>
      <c r="E6" s="138">
        <f>'Data sheet Tata Motors'!D17/'Data sheet Tata Motors'!D$17</f>
        <v>1</v>
      </c>
      <c r="F6" s="138">
        <f>'Data sheet Tata Motors'!E17/'Data sheet Tata Motors'!E$17</f>
        <v>1</v>
      </c>
      <c r="G6" s="138">
        <f>'Data sheet Tata Motors'!F17/'Data sheet Tata Motors'!F$17</f>
        <v>1</v>
      </c>
      <c r="H6" s="138">
        <f>'Data sheet Tata Motors'!G17/'Data sheet Tata Motors'!G$17</f>
        <v>1</v>
      </c>
      <c r="I6" s="138">
        <f>'Data sheet Tata Motors'!H17/'Data sheet Tata Motors'!H$17</f>
        <v>1</v>
      </c>
      <c r="J6" s="138">
        <f>'Data sheet Tata Motors'!I17/'Data sheet Tata Motors'!I$17</f>
        <v>1</v>
      </c>
      <c r="K6" s="138">
        <f>'Data sheet Tata Motors'!J17/'Data sheet Tata Motors'!J$17</f>
        <v>1</v>
      </c>
      <c r="L6" s="138">
        <f>'Data sheet Tata Motors'!K17/'Data sheet Tata Motors'!K$17</f>
        <v>1</v>
      </c>
      <c r="O6" s="137">
        <f>'Data sheet Tata Motors'!B17/'Data sheet Tata Motors'!B17</f>
        <v>1</v>
      </c>
    </row>
    <row r="7" spans="2:15" x14ac:dyDescent="0.3">
      <c r="B7" s="135" t="str">
        <f>'Data sheet Tata Motors'!A18</f>
        <v>Raw Material Cost</v>
      </c>
      <c r="C7" s="16">
        <f>'Data sheet Tata Motors'!B18/'Data sheet Tata Motors'!B$17</f>
        <v>0.65212980439020174</v>
      </c>
      <c r="D7" s="16">
        <f>'Data sheet Tata Motors'!C18/'Data sheet Tata Motors'!C$17</f>
        <v>0.62889098595108628</v>
      </c>
      <c r="E7" s="16">
        <f>'Data sheet Tata Motors'!D18/'Data sheet Tata Motors'!D$17</f>
        <v>0.62034880968150885</v>
      </c>
      <c r="F7" s="16">
        <f>'Data sheet Tata Motors'!E18/'Data sheet Tata Motors'!E$17</f>
        <v>0.60844785632875986</v>
      </c>
      <c r="G7" s="16">
        <f>'Data sheet Tata Motors'!F18/'Data sheet Tata Motors'!F$17</f>
        <v>0.64256170851760019</v>
      </c>
      <c r="H7" s="16">
        <f>'Data sheet Tata Motors'!G18/'Data sheet Tata Motors'!G$17</f>
        <v>0.6444735745247272</v>
      </c>
      <c r="I7" s="16">
        <f>'Data sheet Tata Motors'!H18/'Data sheet Tata Motors'!H$17</f>
        <v>0.64340246222408271</v>
      </c>
      <c r="J7" s="16">
        <f>'Data sheet Tata Motors'!I18/'Data sheet Tata Motors'!I$17</f>
        <v>0.63163558516963991</v>
      </c>
      <c r="K7" s="16">
        <f>'Data sheet Tata Motors'!J18/'Data sheet Tata Motors'!J$17</f>
        <v>0.6149343010611712</v>
      </c>
      <c r="L7" s="16">
        <f>'Data sheet Tata Motors'!K18/'Data sheet Tata Motors'!K$17</f>
        <v>0.64389656704768283</v>
      </c>
      <c r="O7" s="137">
        <f>'Data sheet Tata Motors'!B18/'Data sheet Tata Motors'!B17</f>
        <v>0.65212980439020174</v>
      </c>
    </row>
    <row r="8" spans="2:15" x14ac:dyDescent="0.3">
      <c r="B8" s="135" t="str">
        <f>'Data sheet Tata Motors'!A19</f>
        <v>Change in Inventory</v>
      </c>
      <c r="C8" s="16">
        <f>'Data sheet Tata Motors'!B19/'Data sheet Tata Motors'!B$17</f>
        <v>1.6045589477007821E-2</v>
      </c>
      <c r="D8" s="16">
        <f>'Data sheet Tata Motors'!C19/'Data sheet Tata Motors'!C$17</f>
        <v>1.220004014883415E-2</v>
      </c>
      <c r="E8" s="16">
        <f>'Data sheet Tata Motors'!D19/'Data sheet Tata Motors'!D$17</f>
        <v>1.2655277809634314E-2</v>
      </c>
      <c r="F8" s="16">
        <f>'Data sheet Tata Motors'!E19/'Data sheet Tata Motors'!E$17</f>
        <v>1.0075203555743071E-2</v>
      </c>
      <c r="G8" s="16">
        <f>'Data sheet Tata Motors'!F19/'Data sheet Tata Motors'!F$17</f>
        <v>2.7438359337454348E-2</v>
      </c>
      <c r="H8" s="16">
        <f>'Data sheet Tata Motors'!G19/'Data sheet Tata Motors'!G$17</f>
        <v>7.0196420187680708E-3</v>
      </c>
      <c r="I8" s="16">
        <f>'Data sheet Tata Motors'!H19/'Data sheet Tata Motors'!H$17</f>
        <v>-6.8003274840166073E-3</v>
      </c>
      <c r="J8" s="16">
        <f>'Data sheet Tata Motors'!I19/'Data sheet Tata Motors'!I$17</f>
        <v>-8.5463950250197294E-3</v>
      </c>
      <c r="K8" s="16">
        <f>'Data sheet Tata Motors'!J19/'Data sheet Tata Motors'!J$17</f>
        <v>-1.8752035421080705E-2</v>
      </c>
      <c r="L8" s="16">
        <f>'Data sheet Tata Motors'!K19/'Data sheet Tata Motors'!K$17</f>
        <v>-5.7118668451859233E-3</v>
      </c>
    </row>
    <row r="9" spans="2:15" x14ac:dyDescent="0.3">
      <c r="B9" s="135" t="str">
        <f>'Data sheet Tata Motors'!A20</f>
        <v>Power and Fuel</v>
      </c>
      <c r="C9" s="16">
        <f>'Data sheet Tata Motors'!B20/'Data sheet Tata Motors'!B$17</f>
        <v>5.708748574958066E-3</v>
      </c>
      <c r="D9" s="16">
        <f>'Data sheet Tata Motors'!C20/'Data sheet Tata Motors'!C$17</f>
        <v>4.847623835831984E-3</v>
      </c>
      <c r="E9" s="16">
        <f>'Data sheet Tata Motors'!D20/'Data sheet Tata Motors'!D$17</f>
        <v>4.2626324209038965E-3</v>
      </c>
      <c r="F9" s="16">
        <f>'Data sheet Tata Motors'!E20/'Data sheet Tata Motors'!E$17</f>
        <v>4.1884212746881849E-3</v>
      </c>
      <c r="G9" s="16">
        <f>'Data sheet Tata Motors'!F20/'Data sheet Tata Motors'!F$17</f>
        <v>4.3005272931013168E-3</v>
      </c>
      <c r="H9" s="16">
        <f>'Data sheet Tata Motors'!G20/'Data sheet Tata Motors'!G$17</f>
        <v>4.4866329837632236E-3</v>
      </c>
      <c r="I9" s="16">
        <f>'Data sheet Tata Motors'!H20/'Data sheet Tata Motors'!H$17</f>
        <v>5.252495210943689E-3</v>
      </c>
      <c r="J9" s="16">
        <f>'Data sheet Tata Motors'!I20/'Data sheet Tata Motors'!I$17</f>
        <v>4.8452899066859867E-3</v>
      </c>
      <c r="K9" s="16">
        <f>'Data sheet Tata Motors'!J20/'Data sheet Tata Motors'!J$17</f>
        <v>4.4551376680254488E-3</v>
      </c>
      <c r="L9" s="16">
        <f>'Data sheet Tata Motors'!K20/'Data sheet Tata Motors'!K$17</f>
        <v>7.8228108508698862E-3</v>
      </c>
    </row>
    <row r="10" spans="2:15" x14ac:dyDescent="0.3">
      <c r="B10" s="135" t="str">
        <f>'Data sheet Tata Motors'!A21</f>
        <v>Other Mfr. Exp</v>
      </c>
      <c r="C10" s="16">
        <f>'Data sheet Tata Motors'!B21/'Data sheet Tata Motors'!B$17</f>
        <v>2.3521726397351506E-2</v>
      </c>
      <c r="D10" s="16">
        <f>'Data sheet Tata Motors'!C21/'Data sheet Tata Motors'!C$17</f>
        <v>5.9295722104785023E-2</v>
      </c>
      <c r="E10" s="16">
        <f>'Data sheet Tata Motors'!D21/'Data sheet Tata Motors'!D$17</f>
        <v>6.1457792548063536E-2</v>
      </c>
      <c r="F10" s="16">
        <f>'Data sheet Tata Motors'!E21/'Data sheet Tata Motors'!E$17</f>
        <v>4.4320545725695638E-2</v>
      </c>
      <c r="G10" s="16">
        <f>'Data sheet Tata Motors'!F21/'Data sheet Tata Motors'!F$17</f>
        <v>3.7329067833585743E-2</v>
      </c>
      <c r="H10" s="16">
        <f>'Data sheet Tata Motors'!G21/'Data sheet Tata Motors'!G$17</f>
        <v>3.7632110912662539E-2</v>
      </c>
      <c r="I10" s="16">
        <f>'Data sheet Tata Motors'!H21/'Data sheet Tata Motors'!H$17</f>
        <v>3.8731542592793759E-2</v>
      </c>
      <c r="J10" s="16">
        <f>'Data sheet Tata Motors'!I21/'Data sheet Tata Motors'!I$17</f>
        <v>4.4208831899217663E-2</v>
      </c>
      <c r="K10" s="16">
        <f>'Data sheet Tata Motors'!J21/'Data sheet Tata Motors'!J$17</f>
        <v>3.3119871414431248E-2</v>
      </c>
      <c r="L10" s="16">
        <f>'Data sheet Tata Motors'!K21/'Data sheet Tata Motors'!K$17</f>
        <v>3.3856194794666339E-2</v>
      </c>
    </row>
    <row r="11" spans="2:15" x14ac:dyDescent="0.3">
      <c r="B11" s="135" t="str">
        <f>'Data sheet Tata Motors'!A22</f>
        <v>Employee Cost</v>
      </c>
      <c r="C11" s="16">
        <f>'Data sheet Tata Motors'!B22/'Data sheet Tata Motors'!B$17</f>
        <v>8.809763767866223E-2</v>
      </c>
      <c r="D11" s="16">
        <f>'Data sheet Tata Motors'!C22/'Data sheet Tata Motors'!C$17</f>
        <v>9.2812697270660938E-2</v>
      </c>
      <c r="E11" s="16">
        <f>'Data sheet Tata Motors'!D22/'Data sheet Tata Motors'!D$17</f>
        <v>9.7439008161530352E-2</v>
      </c>
      <c r="F11" s="16">
        <f>'Data sheet Tata Motors'!E22/'Data sheet Tata Motors'!E$17</f>
        <v>0.10577313825968997</v>
      </c>
      <c r="G11" s="16">
        <f>'Data sheet Tata Motors'!F22/'Data sheet Tata Motors'!F$17</f>
        <v>0.10505627316086753</v>
      </c>
      <c r="H11" s="16">
        <f>'Data sheet Tata Motors'!G22/'Data sheet Tata Motors'!G$17</f>
        <v>0.10392742279141506</v>
      </c>
      <c r="I11" s="16">
        <f>'Data sheet Tata Motors'!H22/'Data sheet Tata Motors'!H$17</f>
        <v>0.11010149752399827</v>
      </c>
      <c r="J11" s="16">
        <f>'Data sheet Tata Motors'!I22/'Data sheet Tata Motors'!I$17</f>
        <v>0.11659262528451882</v>
      </c>
      <c r="K11" s="16">
        <f>'Data sheet Tata Motors'!J22/'Data sheet Tata Motors'!J$17</f>
        <v>0.11068479221440802</v>
      </c>
      <c r="L11" s="16">
        <f>'Data sheet Tata Motors'!K22/'Data sheet Tata Motors'!K$17</f>
        <v>0.11064147774412127</v>
      </c>
    </row>
    <row r="12" spans="2:15" x14ac:dyDescent="0.3">
      <c r="B12" s="135" t="str">
        <f>'Data sheet Tata Motors'!A23</f>
        <v>Selling and admin</v>
      </c>
      <c r="C12" s="16">
        <f>'Data sheet Tata Motors'!B23/'Data sheet Tata Motors'!B$17</f>
        <v>8.8101451385644222E-2</v>
      </c>
      <c r="D12" s="16">
        <f>'Data sheet Tata Motors'!C23/'Data sheet Tata Motors'!C$17</f>
        <v>9.6024732850052696E-2</v>
      </c>
      <c r="E12" s="16">
        <f>'Data sheet Tata Motors'!D23/'Data sheet Tata Motors'!D$17</f>
        <v>8.96910681140351E-2</v>
      </c>
      <c r="F12" s="16">
        <f>'Data sheet Tata Motors'!E23/'Data sheet Tata Motors'!E$17</f>
        <v>8.0542956927341092E-2</v>
      </c>
      <c r="G12" s="16">
        <f>'Data sheet Tata Motors'!F23/'Data sheet Tata Motors'!F$17</f>
        <v>0.1113838126242364</v>
      </c>
      <c r="H12" s="16">
        <f>'Data sheet Tata Motors'!G23/'Data sheet Tata Motors'!G$17</f>
        <v>0.10634377964323709</v>
      </c>
      <c r="I12" s="16">
        <f>'Data sheet Tata Motors'!H23/'Data sheet Tata Motors'!H$17</f>
        <v>0.1083658123643763</v>
      </c>
      <c r="J12" s="16">
        <f>'Data sheet Tata Motors'!I23/'Data sheet Tata Motors'!I$17</f>
        <v>0.11203335284677013</v>
      </c>
      <c r="K12" s="16">
        <f>'Data sheet Tata Motors'!J23/'Data sheet Tata Motors'!J$17</f>
        <v>9.2138805959692913E-2</v>
      </c>
      <c r="L12" s="16">
        <f>'Data sheet Tata Motors'!K23/'Data sheet Tata Motors'!K$17</f>
        <v>0.10488425325553319</v>
      </c>
    </row>
    <row r="13" spans="2:15" x14ac:dyDescent="0.3">
      <c r="B13" s="135" t="str">
        <f>'Data sheet Tata Motors'!A24</f>
        <v>Other Expenses</v>
      </c>
      <c r="C13" s="16">
        <f>'Data sheet Tata Motors'!B24/'Data sheet Tata Motors'!B$17</f>
        <v>2.8205859029817312E-2</v>
      </c>
      <c r="D13" s="16">
        <f>'Data sheet Tata Motors'!C24/'Data sheet Tata Motors'!C$17</f>
        <v>-1.9363823941950662E-2</v>
      </c>
      <c r="E13" s="16">
        <f>'Data sheet Tata Motors'!D24/'Data sheet Tata Motors'!D$17</f>
        <v>-9.6502882022114541E-3</v>
      </c>
      <c r="F13" s="16">
        <f>'Data sheet Tata Motors'!E24/'Data sheet Tata Motors'!E$17</f>
        <v>2.6183831565130516E-2</v>
      </c>
      <c r="G13" s="16">
        <f>'Data sheet Tata Motors'!F24/'Data sheet Tata Motors'!F$17</f>
        <v>1.7094282670289951E-2</v>
      </c>
      <c r="H13" s="16">
        <f>'Data sheet Tata Motors'!G24/'Data sheet Tata Motors'!G$17</f>
        <v>2.2582367211331639E-3</v>
      </c>
      <c r="I13" s="16">
        <f>'Data sheet Tata Motors'!H24/'Data sheet Tata Motors'!H$17</f>
        <v>5.6592338039812094E-3</v>
      </c>
      <c r="J13" s="16">
        <f>'Data sheet Tata Motors'!I24/'Data sheet Tata Motors'!I$17</f>
        <v>1.3239885383105405E-2</v>
      </c>
      <c r="K13" s="16">
        <f>'Data sheet Tata Motors'!J24/'Data sheet Tata Motors'!J$17</f>
        <v>-3.3407827826645677E-3</v>
      </c>
      <c r="L13" s="16">
        <f>'Data sheet Tata Motors'!K24/'Data sheet Tata Motors'!K$17</f>
        <v>4.4105011096641517E-3</v>
      </c>
    </row>
    <row r="14" spans="2:15" x14ac:dyDescent="0.3">
      <c r="B14" s="135" t="str">
        <f>'Data sheet Tata Motors'!A25</f>
        <v>Other Income</v>
      </c>
      <c r="C14" s="16">
        <f>'Data sheet Tata Motors'!B25/'Data sheet Tata Motors'!B$17</f>
        <v>1.1275860310057556E-3</v>
      </c>
      <c r="D14" s="16">
        <f>'Data sheet Tata Motors'!C25/'Data sheet Tata Motors'!C$17</f>
        <v>-6.7339919838050905E-4</v>
      </c>
      <c r="E14" s="16">
        <f>'Data sheet Tata Motors'!D25/'Data sheet Tata Motors'!D$17</f>
        <v>2.7133028103392101E-3</v>
      </c>
      <c r="F14" s="16">
        <f>'Data sheet Tata Motors'!E25/'Data sheet Tata Motors'!E$17</f>
        <v>-9.7771947249836663E-3</v>
      </c>
      <c r="G14" s="16">
        <f>'Data sheet Tata Motors'!F25/'Data sheet Tata Motors'!F$17</f>
        <v>6.9304853887117582E-3</v>
      </c>
      <c r="H14" s="16">
        <f>'Data sheet Tata Motors'!G25/'Data sheet Tata Motors'!G$17</f>
        <v>2.034889464081829E-2</v>
      </c>
      <c r="I14" s="16">
        <f>'Data sheet Tata Motors'!H25/'Data sheet Tata Motors'!H$17</f>
        <v>-8.8383094035074702E-2</v>
      </c>
      <c r="J14" s="16">
        <f>'Data sheet Tata Motors'!I25/'Data sheet Tata Motors'!I$17</f>
        <v>3.8959202846676288E-4</v>
      </c>
      <c r="K14" s="16">
        <f>'Data sheet Tata Motors'!J25/'Data sheet Tata Motors'!J$17</f>
        <v>-4.4507860953843105E-2</v>
      </c>
      <c r="L14" s="16">
        <f>'Data sheet Tata Motors'!K25/'Data sheet Tata Motors'!K$17</f>
        <v>8.7053994844814731E-3</v>
      </c>
    </row>
    <row r="15" spans="2:15" x14ac:dyDescent="0.3">
      <c r="B15" s="135" t="str">
        <f>'Data sheet Tata Motors'!A26</f>
        <v>Depreciation</v>
      </c>
      <c r="C15" s="16">
        <f>'Data sheet Tata Motors'!B26/'Data sheet Tata Motors'!B$17</f>
        <v>4.0262575844435503E-2</v>
      </c>
      <c r="D15" s="16">
        <f>'Data sheet Tata Motors'!C26/'Data sheet Tata Motors'!C$17</f>
        <v>4.757971849946438E-2</v>
      </c>
      <c r="E15" s="16">
        <f>'Data sheet Tata Motors'!D26/'Data sheet Tata Motors'!D$17</f>
        <v>5.0876584184966822E-2</v>
      </c>
      <c r="F15" s="16">
        <f>'Data sheet Tata Motors'!E26/'Data sheet Tata Motors'!E$17</f>
        <v>6.1201425695927715E-2</v>
      </c>
      <c r="G15" s="16">
        <f>'Data sheet Tata Motors'!F26/'Data sheet Tata Motors'!F$17</f>
        <v>6.63903865924938E-2</v>
      </c>
      <c r="H15" s="16">
        <f>'Data sheet Tata Motors'!G26/'Data sheet Tata Motors'!G$17</f>
        <v>7.3927472182518786E-2</v>
      </c>
      <c r="I15" s="16">
        <f>'Data sheet Tata Motors'!H26/'Data sheet Tata Motors'!H$17</f>
        <v>7.8130605447998658E-2</v>
      </c>
      <c r="J15" s="16">
        <f>'Data sheet Tata Motors'!I26/'Data sheet Tata Motors'!I$17</f>
        <v>8.206839774331566E-2</v>
      </c>
      <c r="K15" s="16">
        <f>'Data sheet Tata Motors'!J26/'Data sheet Tata Motors'!J$17</f>
        <v>9.4264230933596482E-2</v>
      </c>
      <c r="L15" s="16">
        <f>'Data sheet Tata Motors'!K26/'Data sheet Tata Motors'!K$17</f>
        <v>8.9191478279219347E-2</v>
      </c>
    </row>
    <row r="16" spans="2:15" x14ac:dyDescent="0.3">
      <c r="B16" s="135" t="str">
        <f>'Data sheet Tata Motors'!A27</f>
        <v>Interest</v>
      </c>
      <c r="C16" s="16">
        <f>'Data sheet Tata Motors'!B27/'Data sheet Tata Motors'!B$17</f>
        <v>1.8857986503608801E-2</v>
      </c>
      <c r="D16" s="16">
        <f>'Data sheet Tata Motors'!C27/'Data sheet Tata Motors'!C$17</f>
        <v>2.0398425210512945E-2</v>
      </c>
      <c r="E16" s="16">
        <f>'Data sheet Tata Motors'!D27/'Data sheet Tata Motors'!D$17</f>
        <v>1.8473585814932098E-2</v>
      </c>
      <c r="F16" s="16">
        <f>'Data sheet Tata Motors'!E27/'Data sheet Tata Motors'!E$17</f>
        <v>1.7905727101993223E-2</v>
      </c>
      <c r="G16" s="16">
        <f>'Data sheet Tata Motors'!F27/'Data sheet Tata Motors'!F$17</f>
        <v>1.5714229512714312E-2</v>
      </c>
      <c r="H16" s="16">
        <f>'Data sheet Tata Motors'!G27/'Data sheet Tata Motors'!G$17</f>
        <v>1.605824830060304E-2</v>
      </c>
      <c r="I16" s="16">
        <f>'Data sheet Tata Motors'!H27/'Data sheet Tata Motors'!H$17</f>
        <v>1.9072102124141878E-2</v>
      </c>
      <c r="J16" s="16">
        <f>'Data sheet Tata Motors'!I27/'Data sheet Tata Motors'!I$17</f>
        <v>2.7744996829752802E-2</v>
      </c>
      <c r="K16" s="16">
        <f>'Data sheet Tata Motors'!J27/'Data sheet Tata Motors'!J$17</f>
        <v>3.2415292955516477E-2</v>
      </c>
      <c r="L16" s="16">
        <f>'Data sheet Tata Motors'!K27/'Data sheet Tata Motors'!K$17</f>
        <v>3.3441332168710897E-2</v>
      </c>
    </row>
    <row r="17" spans="2:13" x14ac:dyDescent="0.3">
      <c r="B17" s="135" t="str">
        <f>'Data sheet Tata Motors'!A28</f>
        <v>Profit before tax</v>
      </c>
      <c r="C17" s="16">
        <f>'Data sheet Tata Motors'!B28/'Data sheet Tata Motors'!B$17</f>
        <v>7.2287385703334164E-2</v>
      </c>
      <c r="D17" s="16">
        <f>'Data sheet Tata Motors'!C28/'Data sheet Tata Motors'!C$17</f>
        <v>8.1040559170010046E-2</v>
      </c>
      <c r="E17" s="16">
        <f>'Data sheet Tata Motors'!D28/'Data sheet Tata Motors'!D$17</f>
        <v>8.246938789624432E-2</v>
      </c>
      <c r="F17" s="16">
        <f>'Data sheet Tata Motors'!E28/'Data sheet Tata Motors'!E$17</f>
        <v>5.1734105951533375E-2</v>
      </c>
      <c r="G17" s="16">
        <f>'Data sheet Tata Motors'!F28/'Data sheet Tata Motors'!F$17</f>
        <v>3.453855652127677E-2</v>
      </c>
      <c r="H17" s="16">
        <f>'Data sheet Tata Motors'!G28/'Data sheet Tata Motors'!G$17</f>
        <v>3.8261058599526235E-2</v>
      </c>
      <c r="I17" s="16">
        <f>'Data sheet Tata Motors'!H28/'Data sheet Tata Motors'!H$17</f>
        <v>-0.10389917281140788</v>
      </c>
      <c r="J17" s="16">
        <f>'Data sheet Tata Motors'!I28/'Data sheet Tata Motors'!I$17</f>
        <v>-4.0525768059559354E-2</v>
      </c>
      <c r="K17" s="16">
        <f>'Data sheet Tata Motors'!J28/'Data sheet Tata Motors'!J$17</f>
        <v>-4.1931545799101064E-2</v>
      </c>
      <c r="L17" s="16">
        <f>'Data sheet Tata Motors'!K28/'Data sheet Tata Motors'!K$17</f>
        <v>-2.5151082611172375E-2</v>
      </c>
    </row>
    <row r="18" spans="2:13" x14ac:dyDescent="0.3">
      <c r="B18" s="135" t="str">
        <f>'Data sheet Tata Motors'!A29</f>
        <v>Tax</v>
      </c>
      <c r="C18" s="16">
        <f>'Data sheet Tata Motors'!B29/'Data sheet Tata Motors'!B$17</f>
        <v>2.0004270292456768E-2</v>
      </c>
      <c r="D18" s="16">
        <f>'Data sheet Tata Motors'!C29/'Data sheet Tata Motors'!C$17</f>
        <v>2.0464352104416519E-2</v>
      </c>
      <c r="E18" s="16">
        <f>'Data sheet Tata Motors'!D29/'Data sheet Tata Motors'!D$17</f>
        <v>2.9042938226922752E-2</v>
      </c>
      <c r="F18" s="16">
        <f>'Data sheet Tata Motors'!E29/'Data sheet Tata Motors'!E$17</f>
        <v>1.1078918686109574E-2</v>
      </c>
      <c r="G18" s="16">
        <f>'Data sheet Tata Motors'!F29/'Data sheet Tata Motors'!F$17</f>
        <v>1.2055321818169885E-2</v>
      </c>
      <c r="H18" s="16">
        <f>'Data sheet Tata Motors'!G29/'Data sheet Tata Motors'!G$17</f>
        <v>1.4892549653836963E-2</v>
      </c>
      <c r="I18" s="16">
        <f>'Data sheet Tata Motors'!H29/'Data sheet Tata Motors'!H$17</f>
        <v>-8.0726731015332912E-3</v>
      </c>
      <c r="J18" s="16">
        <f>'Data sheet Tata Motors'!I29/'Data sheet Tata Motors'!I$17</f>
        <v>1.5139735448971392E-3</v>
      </c>
      <c r="K18" s="16">
        <f>'Data sheet Tata Motors'!J29/'Data sheet Tata Motors'!J$17</f>
        <v>1.0175794327142584E-2</v>
      </c>
      <c r="L18" s="16">
        <f>'Data sheet Tata Motors'!K29/'Data sheet Tata Motors'!K$17</f>
        <v>1.5195672442685429E-2</v>
      </c>
    </row>
    <row r="19" spans="2:13" x14ac:dyDescent="0.3">
      <c r="B19" s="135" t="str">
        <f>'Data sheet Tata Motors'!A30</f>
        <v>Net profit</v>
      </c>
      <c r="C19" s="16">
        <f>'Data sheet Tata Motors'!B30/'Data sheet Tata Motors'!B$17</f>
        <v>5.2399327537522772E-2</v>
      </c>
      <c r="D19" s="16">
        <f>'Data sheet Tata Motors'!C30/'Data sheet Tata Motors'!C$17</f>
        <v>6.0090194862718736E-2</v>
      </c>
      <c r="E19" s="16">
        <f>'Data sheet Tata Motors'!D30/'Data sheet Tata Motors'!D$17</f>
        <v>5.3147682818956064E-2</v>
      </c>
      <c r="F19" s="16">
        <f>'Data sheet Tata Motors'!E30/'Data sheet Tata Motors'!E$17</f>
        <v>4.2407971415763523E-2</v>
      </c>
      <c r="G19" s="16">
        <f>'Data sheet Tata Motors'!F30/'Data sheet Tata Motors'!F$17</f>
        <v>2.764021885516954E-2</v>
      </c>
      <c r="H19" s="16">
        <f>'Data sheet Tata Motors'!G30/'Data sheet Tata Motors'!G$17</f>
        <v>3.0831401821049997E-2</v>
      </c>
      <c r="I19" s="16">
        <f>'Data sheet Tata Motors'!H30/'Data sheet Tata Motors'!H$17</f>
        <v>-9.5470566181711222E-2</v>
      </c>
      <c r="J19" s="16">
        <f>'Data sheet Tata Motors'!I30/'Data sheet Tata Motors'!I$17</f>
        <v>-4.6236426475450051E-2</v>
      </c>
      <c r="K19" s="16">
        <f>'Data sheet Tata Motors'!J30/'Data sheet Tata Motors'!J$17</f>
        <v>-5.3849770661713266E-2</v>
      </c>
      <c r="L19" s="16">
        <f>'Data sheet Tata Motors'!K30/'Data sheet Tata Motors'!K$17</f>
        <v>-4.1089320368684734E-2</v>
      </c>
    </row>
    <row r="20" spans="2:13" x14ac:dyDescent="0.3">
      <c r="B20" s="135" t="str">
        <f>'Data sheet Tata Motors'!A31</f>
        <v>Dividend Amount</v>
      </c>
      <c r="C20" s="16">
        <f>'Data sheet Tata Motors'!B31/'Data sheet Tata Motors'!B$17</f>
        <v>3.3797389083231985E-3</v>
      </c>
      <c r="D20" s="16">
        <f>'Data sheet Tata Motors'!C31/'Data sheet Tata Motors'!C$17</f>
        <v>2.7649782252274005E-3</v>
      </c>
      <c r="E20" s="16">
        <f>'Data sheet Tata Motors'!D31/'Data sheet Tata Motors'!D$17</f>
        <v>0</v>
      </c>
      <c r="F20" s="16">
        <f>'Data sheet Tata Motors'!E31/'Data sheet Tata Motors'!E$17</f>
        <v>2.487496593975512E-4</v>
      </c>
      <c r="G20" s="16">
        <f>'Data sheet Tata Motors'!F31/'Data sheet Tata Motors'!F$17</f>
        <v>0</v>
      </c>
      <c r="H20" s="16">
        <f>'Data sheet Tata Motors'!G31/'Data sheet Tata Motors'!G$17</f>
        <v>0</v>
      </c>
      <c r="I20" s="16">
        <f>'Data sheet Tata Motors'!H31/'Data sheet Tata Motors'!H$17</f>
        <v>0</v>
      </c>
      <c r="J20" s="16">
        <f>'Data sheet Tata Motors'!I31/'Data sheet Tata Motors'!I$17</f>
        <v>0</v>
      </c>
      <c r="K20" s="16">
        <f>'Data sheet Tata Motors'!J31/'Data sheet Tata Motors'!J$17</f>
        <v>0</v>
      </c>
      <c r="L20" s="16">
        <f>'Data sheet Tata Motors'!K31/'Data sheet Tata Motors'!K$17</f>
        <v>0</v>
      </c>
    </row>
    <row r="21" spans="2:13" x14ac:dyDescent="0.3">
      <c r="B21" s="135" t="str">
        <f>'Data sheet Tata Motors'!A34</f>
        <v>EBITDA</v>
      </c>
      <c r="C21" s="16">
        <f>'Data sheet Tata Motors'!B34/'Data sheet Tata Motors'!B$17</f>
        <v>0.13152416017802385</v>
      </c>
      <c r="D21" s="16">
        <f>'Data sheet Tata Motors'!C34/'Data sheet Tata Motors'!C$17</f>
        <v>0.14853269067711258</v>
      </c>
      <c r="E21" s="16">
        <f>'Data sheet Tata Motors'!D34/'Data sheet Tata Motors'!D$17</f>
        <v>0.15154079104577772</v>
      </c>
      <c r="F21" s="16">
        <f>'Data sheet Tata Motors'!E34/'Data sheet Tata Motors'!E$17</f>
        <v>0.13259404289979404</v>
      </c>
      <c r="G21" s="16">
        <f>'Data sheet Tata Motors'!F34/'Data sheet Tata Motors'!F$17</f>
        <v>0.12180015677854752</v>
      </c>
      <c r="H21" s="16">
        <f>'Data sheet Tata Motors'!G34/'Data sheet Tata Motors'!G$17</f>
        <v>0.13570967195800879</v>
      </c>
      <c r="I21" s="16">
        <f>'Data sheet Tata Motors'!H34/'Data sheet Tata Motors'!H$17</f>
        <v>-6.3405317111039769E-3</v>
      </c>
      <c r="J21" s="16">
        <f>'Data sheet Tata Motors'!I34/'Data sheet Tata Motors'!I$17</f>
        <v>6.5090941642515568E-2</v>
      </c>
      <c r="K21" s="16">
        <f>'Data sheet Tata Motors'!J34/'Data sheet Tata Motors'!J$17</f>
        <v>8.3005547554542272E-2</v>
      </c>
      <c r="L21" s="16">
        <f>'Data sheet Tata Motors'!K34/'Data sheet Tata Motors'!K$17</f>
        <v>9.6739162521930946E-2</v>
      </c>
    </row>
    <row r="22" spans="2:13" x14ac:dyDescent="0.3">
      <c r="B22" s="135"/>
    </row>
    <row r="23" spans="2:13" x14ac:dyDescent="0.3">
      <c r="B23" s="132" t="str">
        <f>"Common size Balance sheet "&amp;" "&amp;" - "&amp;'Data sheet Tata Motors'!$B$1</f>
        <v>Common size Balance sheet   - TATA MOTORS LTD</v>
      </c>
      <c r="C23" s="132"/>
      <c r="D23" s="132"/>
      <c r="E23" s="132"/>
      <c r="F23" s="132"/>
      <c r="G23" s="132"/>
      <c r="H23" s="132"/>
      <c r="I23" s="132"/>
      <c r="J23" s="132"/>
      <c r="K23" s="132"/>
      <c r="L23" s="132"/>
    </row>
    <row r="24" spans="2:13" x14ac:dyDescent="0.3">
      <c r="B24" s="135"/>
    </row>
    <row r="25" spans="2:13" x14ac:dyDescent="0.3">
      <c r="B25" s="133" t="s">
        <v>163</v>
      </c>
      <c r="C25" s="134">
        <f>'Data sheet Tata Motors'!B56</f>
        <v>41364</v>
      </c>
      <c r="D25" s="134">
        <f>'Data sheet Tata Motors'!C56</f>
        <v>41729</v>
      </c>
      <c r="E25" s="134">
        <f>'Data sheet Tata Motors'!D56</f>
        <v>42094</v>
      </c>
      <c r="F25" s="134">
        <f>'Data sheet Tata Motors'!E56</f>
        <v>42460</v>
      </c>
      <c r="G25" s="134">
        <f>'Data sheet Tata Motors'!F56</f>
        <v>42825</v>
      </c>
      <c r="H25" s="134">
        <f>'Data sheet Tata Motors'!G56</f>
        <v>43190</v>
      </c>
      <c r="I25" s="134">
        <f>'Data sheet Tata Motors'!H56</f>
        <v>43555</v>
      </c>
      <c r="J25" s="134">
        <f>'Data sheet Tata Motors'!I56</f>
        <v>43921</v>
      </c>
      <c r="K25" s="134">
        <f>'Data sheet Tata Motors'!J56</f>
        <v>44286</v>
      </c>
      <c r="L25" s="134">
        <f>'Data sheet Tata Motors'!K56</f>
        <v>44651</v>
      </c>
    </row>
    <row r="27" spans="2:13" x14ac:dyDescent="0.3">
      <c r="B27" s="136" t="str">
        <f>'Financials &gt;'!C5</f>
        <v>Total Liabilities</v>
      </c>
      <c r="C27" s="16">
        <f>'Data sheet Tata Motors'!B61/'Data sheet Tata Motors'!B$61</f>
        <v>1</v>
      </c>
      <c r="D27" s="16">
        <f>'Data sheet Tata Motors'!C61/'Data sheet Tata Motors'!C$61</f>
        <v>1</v>
      </c>
      <c r="E27" s="16">
        <f>'Data sheet Tata Motors'!D61/'Data sheet Tata Motors'!D$61</f>
        <v>1</v>
      </c>
      <c r="F27" s="16">
        <f>'Data sheet Tata Motors'!E61/'Data sheet Tata Motors'!E$61</f>
        <v>1</v>
      </c>
      <c r="G27" s="16">
        <f>'Data sheet Tata Motors'!F61/'Data sheet Tata Motors'!F$61</f>
        <v>1</v>
      </c>
      <c r="H27" s="16">
        <f>'Data sheet Tata Motors'!G61/'Data sheet Tata Motors'!G$61</f>
        <v>1</v>
      </c>
      <c r="I27" s="16">
        <f>'Data sheet Tata Motors'!H61/'Data sheet Tata Motors'!H$61</f>
        <v>1</v>
      </c>
      <c r="J27" s="16">
        <f>'Data sheet Tata Motors'!I61/'Data sheet Tata Motors'!I$61</f>
        <v>1</v>
      </c>
      <c r="K27" s="16">
        <f>'Data sheet Tata Motors'!J61/'Data sheet Tata Motors'!J$61</f>
        <v>1</v>
      </c>
      <c r="L27" s="16">
        <f>'Data sheet Tata Motors'!K61/'Data sheet Tata Motors'!K$61</f>
        <v>1</v>
      </c>
      <c r="M27" s="137"/>
    </row>
    <row r="28" spans="2:13" x14ac:dyDescent="0.3">
      <c r="B28" s="135" t="str">
        <f>'Data sheet Tata Motors'!A57</f>
        <v>Equity Share Capital</v>
      </c>
      <c r="C28" s="16">
        <f>'Data sheet Tata Motors'!B57/'Data sheet Tata Motors'!B$61</f>
        <v>3.790589237107604E-3</v>
      </c>
      <c r="D28" s="16">
        <f>'Data sheet Tata Motors'!C57/'Data sheet Tata Motors'!C$61</f>
        <v>2.9473598814866307E-3</v>
      </c>
      <c r="E28" s="16">
        <f>'Data sheet Tata Motors'!D57/'Data sheet Tata Motors'!D$61</f>
        <v>2.7127681338360746E-3</v>
      </c>
      <c r="F28" s="16">
        <f>'Data sheet Tata Motors'!E57/'Data sheet Tata Motors'!E$61</f>
        <v>2.5806268250531225E-3</v>
      </c>
      <c r="G28" s="16">
        <f>'Data sheet Tata Motors'!F57/'Data sheet Tata Motors'!F$61</f>
        <v>2.491815624573979E-3</v>
      </c>
      <c r="H28" s="16">
        <f>'Data sheet Tata Motors'!G57/'Data sheet Tata Motors'!G$61</f>
        <v>2.0759077068585549E-3</v>
      </c>
      <c r="I28" s="16">
        <f>'Data sheet Tata Motors'!H57/'Data sheet Tata Motors'!H$61</f>
        <v>2.2218261230841693E-3</v>
      </c>
      <c r="J28" s="16">
        <f>'Data sheet Tata Motors'!I57/'Data sheet Tata Motors'!I$61</f>
        <v>2.2473026761653833E-3</v>
      </c>
      <c r="K28" s="16">
        <f>'Data sheet Tata Motors'!J57/'Data sheet Tata Motors'!J$61</f>
        <v>2.2420300429859294E-3</v>
      </c>
      <c r="L28" s="16">
        <f>'Data sheet Tata Motors'!K57/'Data sheet Tata Motors'!K$61</f>
        <v>2.3274677325505334E-3</v>
      </c>
    </row>
    <row r="29" spans="2:13" x14ac:dyDescent="0.3">
      <c r="B29" s="135" t="str">
        <f>'Data sheet Tata Motors'!A58</f>
        <v>Reserves</v>
      </c>
      <c r="C29" s="16">
        <f>'Data sheet Tata Motors'!B58/'Data sheet Tata Motors'!B$61</f>
        <v>0.21980171927730308</v>
      </c>
      <c r="D29" s="16">
        <f>'Data sheet Tata Motors'!C58/'Data sheet Tata Motors'!C$61</f>
        <v>0.29739899542174447</v>
      </c>
      <c r="E29" s="16">
        <f>'Data sheet Tata Motors'!D58/'Data sheet Tata Motors'!D$61</f>
        <v>0.23436440687072221</v>
      </c>
      <c r="F29" s="16">
        <f>'Data sheet Tata Motors'!E58/'Data sheet Tata Motors'!E$61</f>
        <v>0.2974086354450261</v>
      </c>
      <c r="G29" s="16">
        <f>'Data sheet Tata Motors'!F58/'Data sheet Tata Motors'!F$61</f>
        <v>0.21051652437468349</v>
      </c>
      <c r="H29" s="16">
        <f>'Data sheet Tata Motors'!G58/'Data sheet Tata Motors'!G$61</f>
        <v>0.28958148432871839</v>
      </c>
      <c r="I29" s="16">
        <f>'Data sheet Tata Motors'!H58/'Data sheet Tata Motors'!H$61</f>
        <v>0.19463415350606564</v>
      </c>
      <c r="J29" s="16">
        <f>'Data sheet Tata Motors'!I58/'Data sheet Tata Motors'!I$61</f>
        <v>0.19205324240264182</v>
      </c>
      <c r="K29" s="16">
        <f>'Data sheet Tata Motors'!J58/'Data sheet Tata Motors'!J$61</f>
        <v>0.15950149121742019</v>
      </c>
      <c r="L29" s="16">
        <f>'Data sheet Tata Motors'!K58/'Data sheet Tata Motors'!K$61</f>
        <v>0.13309172094249011</v>
      </c>
    </row>
    <row r="30" spans="2:13" x14ac:dyDescent="0.3">
      <c r="B30" s="135" t="str">
        <f>'Data sheet Tata Motors'!A59</f>
        <v>Borrowings</v>
      </c>
      <c r="C30" s="16">
        <f>'Data sheet Tata Motors'!B59/'Data sheet Tata Motors'!B$61</f>
        <v>0.31910948985157311</v>
      </c>
      <c r="D30" s="16">
        <f>'Data sheet Tata Motors'!C59/'Data sheet Tata Motors'!C$61</f>
        <v>0.27763307837130552</v>
      </c>
      <c r="E30" s="16">
        <f>'Data sheet Tata Motors'!D59/'Data sheet Tata Motors'!D$61</f>
        <v>0.31018037266029647</v>
      </c>
      <c r="F30" s="16">
        <f>'Data sheet Tata Motors'!E59/'Data sheet Tata Motors'!E$61</f>
        <v>0.2635415844998551</v>
      </c>
      <c r="G30" s="16">
        <f>'Data sheet Tata Motors'!F59/'Data sheet Tata Motors'!F$61</f>
        <v>0.2883699324485447</v>
      </c>
      <c r="H30" s="16">
        <f>'Data sheet Tata Motors'!G59/'Data sheet Tata Motors'!G$61</f>
        <v>0.27186031948660327</v>
      </c>
      <c r="I30" s="16">
        <f>'Data sheet Tata Motors'!H59/'Data sheet Tata Motors'!H$61</f>
        <v>0.34731477877468786</v>
      </c>
      <c r="J30" s="16">
        <f>'Data sheet Tata Motors'!I59/'Data sheet Tata Motors'!I$61</f>
        <v>0.38974288757311953</v>
      </c>
      <c r="K30" s="16">
        <f>'Data sheet Tata Motors'!J59/'Data sheet Tata Motors'!J$61</f>
        <v>0.41610975041683274</v>
      </c>
      <c r="L30" s="16">
        <f>'Data sheet Tata Motors'!K59/'Data sheet Tata Motors'!K$61</f>
        <v>0.445050649956031</v>
      </c>
    </row>
    <row r="31" spans="2:13" x14ac:dyDescent="0.3">
      <c r="B31" s="135" t="str">
        <f>'Data sheet Tata Motors'!A60</f>
        <v>Other Liabilities</v>
      </c>
      <c r="C31" s="16">
        <f>'Data sheet Tata Motors'!B60/'Data sheet Tata Motors'!B$61</f>
        <v>0.45729820163401624</v>
      </c>
      <c r="D31" s="16">
        <f>'Data sheet Tata Motors'!C60/'Data sheet Tata Motors'!C$61</f>
        <v>0.42202056632546336</v>
      </c>
      <c r="E31" s="16">
        <f>'Data sheet Tata Motors'!D60/'Data sheet Tata Motors'!D$61</f>
        <v>0.45274245233514521</v>
      </c>
      <c r="F31" s="16">
        <f>'Data sheet Tata Motors'!E60/'Data sheet Tata Motors'!E$61</f>
        <v>0.43646915323006569</v>
      </c>
      <c r="G31" s="16">
        <f>'Data sheet Tata Motors'!F60/'Data sheet Tata Motors'!F$61</f>
        <v>0.4986217275521978</v>
      </c>
      <c r="H31" s="16">
        <f>'Data sheet Tata Motors'!G60/'Data sheet Tata Motors'!G$61</f>
        <v>0.43648228847781978</v>
      </c>
      <c r="I31" s="16">
        <f>'Data sheet Tata Motors'!H60/'Data sheet Tata Motors'!H$61</f>
        <v>0.45582924159616234</v>
      </c>
      <c r="J31" s="16">
        <f>'Data sheet Tata Motors'!I60/'Data sheet Tata Motors'!I$61</f>
        <v>0.41595656734807318</v>
      </c>
      <c r="K31" s="16">
        <f>'Data sheet Tata Motors'!J60/'Data sheet Tata Motors'!J$61</f>
        <v>0.42214672832276123</v>
      </c>
      <c r="L31" s="16">
        <f>'Data sheet Tata Motors'!K60/'Data sheet Tata Motors'!K$61</f>
        <v>0.41953016136892834</v>
      </c>
    </row>
    <row r="33" spans="2:12" x14ac:dyDescent="0.3">
      <c r="B33" s="136" t="str">
        <f>'Financials &gt;'!C7</f>
        <v>Total Assets</v>
      </c>
      <c r="C33" s="16">
        <f>'Data sheet Tata Motors'!B76/'Data sheet Tata Motors'!B$76</f>
        <v>1</v>
      </c>
      <c r="D33" s="16">
        <f>'Data sheet Tata Motors'!C76/'Data sheet Tata Motors'!C$76</f>
        <v>1</v>
      </c>
      <c r="E33" s="16">
        <f>'Data sheet Tata Motors'!D76/'Data sheet Tata Motors'!D$76</f>
        <v>1</v>
      </c>
      <c r="F33" s="16">
        <f>'Data sheet Tata Motors'!E76/'Data sheet Tata Motors'!E$76</f>
        <v>1</v>
      </c>
      <c r="G33" s="16">
        <f>'Data sheet Tata Motors'!F76/'Data sheet Tata Motors'!F$76</f>
        <v>1</v>
      </c>
      <c r="H33" s="16">
        <f>'Data sheet Tata Motors'!G76/'Data sheet Tata Motors'!G$76</f>
        <v>1</v>
      </c>
      <c r="I33" s="16">
        <f>'Data sheet Tata Motors'!H76/'Data sheet Tata Motors'!H$76</f>
        <v>1</v>
      </c>
      <c r="J33" s="16">
        <f>'Data sheet Tata Motors'!I76/'Data sheet Tata Motors'!I$76</f>
        <v>1</v>
      </c>
      <c r="K33" s="16">
        <f>'Data sheet Tata Motors'!J76/'Data sheet Tata Motors'!J$76</f>
        <v>1</v>
      </c>
      <c r="L33" s="16">
        <f>'Data sheet Tata Motors'!K76/'Data sheet Tata Motors'!K$76</f>
        <v>1</v>
      </c>
    </row>
    <row r="34" spans="2:12" x14ac:dyDescent="0.3">
      <c r="B34" s="135" t="str">
        <f>'Data sheet Tata Motors'!A62</f>
        <v>Net Block</v>
      </c>
      <c r="C34" s="16">
        <f>'Data sheet Tata Motors'!B62/'Data sheet Tata Motors'!B$76</f>
        <v>0.32977912497253165</v>
      </c>
      <c r="D34" s="16">
        <f>'Data sheet Tata Motors'!C62/'Data sheet Tata Motors'!C$76</f>
        <v>0.31631615816414521</v>
      </c>
      <c r="E34" s="16">
        <f>'Data sheet Tata Motors'!D62/'Data sheet Tata Motors'!D$76</f>
        <v>0.37283597031605153</v>
      </c>
      <c r="F34" s="16">
        <f>'Data sheet Tata Motors'!E62/'Data sheet Tata Motors'!E$76</f>
        <v>0.40744008415097382</v>
      </c>
      <c r="G34" s="16">
        <f>'Data sheet Tata Motors'!F62/'Data sheet Tata Motors'!F$76</f>
        <v>0.35198456704657666</v>
      </c>
      <c r="H34" s="16">
        <f>'Data sheet Tata Motors'!G62/'Data sheet Tata Motors'!G$76</f>
        <v>0.37107854258332446</v>
      </c>
      <c r="I34" s="16">
        <f>'Data sheet Tata Motors'!H62/'Data sheet Tata Motors'!H$76</f>
        <v>0.36386391925064382</v>
      </c>
      <c r="J34" s="16">
        <f>'Data sheet Tata Motors'!I62/'Data sheet Tata Motors'!I$76</f>
        <v>0.39698726392101624</v>
      </c>
      <c r="K34" s="16">
        <f>'Data sheet Tata Motors'!J62/'Data sheet Tata Motors'!J$76</f>
        <v>0.40608849298230043</v>
      </c>
      <c r="L34" s="16">
        <f>'Data sheet Tata Motors'!K62/'Data sheet Tata Motors'!K$76</f>
        <v>0.42197417266906562</v>
      </c>
    </row>
    <row r="35" spans="2:12" x14ac:dyDescent="0.3">
      <c r="B35" s="135" t="str">
        <f>'Data sheet Tata Motors'!A63</f>
        <v>Capital Work in Progress</v>
      </c>
      <c r="C35" s="16">
        <f>'Data sheet Tata Motors'!B63/'Data sheet Tata Motors'!B$76</f>
        <v>0.10962720080308902</v>
      </c>
      <c r="D35" s="16">
        <f>'Data sheet Tata Motors'!C63/'Data sheet Tata Motors'!C$76</f>
        <v>0.15228297694793555</v>
      </c>
      <c r="E35" s="16">
        <f>'Data sheet Tata Motors'!D63/'Data sheet Tata Motors'!D$76</f>
        <v>0.12068396579918175</v>
      </c>
      <c r="F35" s="16">
        <f>'Data sheet Tata Motors'!E63/'Data sheet Tata Motors'!E$76</f>
        <v>9.8482157662096018E-2</v>
      </c>
      <c r="G35" s="16">
        <f>'Data sheet Tata Motors'!F63/'Data sheet Tata Motors'!F$76</f>
        <v>0.12362900980833688</v>
      </c>
      <c r="H35" s="16">
        <f>'Data sheet Tata Motors'!G63/'Data sheet Tata Motors'!G$76</f>
        <v>0.12235483522646853</v>
      </c>
      <c r="I35" s="16">
        <f>'Data sheet Tata Motors'!H63/'Data sheet Tata Motors'!H$76</f>
        <v>0.1042966176146697</v>
      </c>
      <c r="J35" s="16">
        <f>'Data sheet Tata Motors'!I63/'Data sheet Tata Motors'!I$76</f>
        <v>0.11125728611076434</v>
      </c>
      <c r="K35" s="16">
        <f>'Data sheet Tata Motors'!J63/'Data sheet Tata Motors'!J$76</f>
        <v>6.137522476731045E-2</v>
      </c>
      <c r="L35" s="16">
        <f>'Data sheet Tata Motors'!K63/'Data sheet Tata Motors'!K$76</f>
        <v>3.1152505873598278E-2</v>
      </c>
    </row>
    <row r="36" spans="2:12" x14ac:dyDescent="0.3">
      <c r="B36" s="135" t="str">
        <f>'Data sheet Tata Motors'!A64</f>
        <v>Investments</v>
      </c>
      <c r="C36" s="16">
        <f>'Data sheet Tata Motors'!B64/'Data sheet Tata Motors'!B$76</f>
        <v>5.2068724754578848E-2</v>
      </c>
      <c r="D36" s="16">
        <f>'Data sheet Tata Motors'!C64/'Data sheet Tata Motors'!C$76</f>
        <v>4.8925816932316527E-2</v>
      </c>
      <c r="E36" s="16">
        <f>'Data sheet Tata Motors'!D64/'Data sheet Tata Motors'!D$76</f>
        <v>6.4626144877021785E-2</v>
      </c>
      <c r="F36" s="16">
        <f>'Data sheet Tata Motors'!E64/'Data sheet Tata Motors'!E$76</f>
        <v>9.0305676497502971E-2</v>
      </c>
      <c r="G36" s="16">
        <f>'Data sheet Tata Motors'!F64/'Data sheet Tata Motors'!F$76</f>
        <v>7.4612565630187005E-2</v>
      </c>
      <c r="H36" s="16">
        <f>'Data sheet Tata Motors'!G64/'Data sheet Tata Motors'!G$76</f>
        <v>6.3610241344366172E-2</v>
      </c>
      <c r="I36" s="16">
        <f>'Data sheet Tata Motors'!H64/'Data sheet Tata Motors'!H$76</f>
        <v>5.1588289031309388E-2</v>
      </c>
      <c r="J36" s="16">
        <f>'Data sheet Tata Motors'!I64/'Data sheet Tata Motors'!I$76</f>
        <v>5.0935445907370862E-2</v>
      </c>
      <c r="K36" s="16">
        <f>'Data sheet Tata Motors'!J64/'Data sheet Tata Motors'!J$76</f>
        <v>7.207976838475029E-2</v>
      </c>
      <c r="L36" s="16">
        <f>'Data sheet Tata Motors'!K64/'Data sheet Tata Motors'!K$76</f>
        <v>8.928279635517361E-2</v>
      </c>
    </row>
    <row r="37" spans="2:12" x14ac:dyDescent="0.3">
      <c r="B37" s="135" t="str">
        <f>'Data sheet Tata Motors'!A65</f>
        <v>Other Assets</v>
      </c>
      <c r="C37" s="16">
        <f>'Data sheet Tata Motors'!B74/'Data sheet Tata Motors'!B$76</f>
        <v>0.19300644097788142</v>
      </c>
      <c r="D37" s="16">
        <f>'Data sheet Tata Motors'!C74/'Data sheet Tata Motors'!C$76</f>
        <v>0.17318534300794514</v>
      </c>
      <c r="E37" s="16">
        <f>'Data sheet Tata Motors'!D74/'Data sheet Tata Motors'!D$76</f>
        <v>0.13016959457099153</v>
      </c>
      <c r="F37" s="16">
        <f>'Data sheet Tata Motors'!E74/'Data sheet Tata Motors'!E$76</f>
        <v>0.11239036762552386</v>
      </c>
      <c r="G37" s="16">
        <f>'Data sheet Tata Motors'!F74/'Data sheet Tata Motors'!F$76</f>
        <v>0.13706335995740859</v>
      </c>
      <c r="H37" s="16">
        <f>'Data sheet Tata Motors'!G74/'Data sheet Tata Motors'!G$76</f>
        <v>0.14757967199729119</v>
      </c>
      <c r="I37" s="16">
        <f>'Data sheet Tata Motors'!H74/'Data sheet Tata Motors'!H$76</f>
        <v>0.1836934867835496</v>
      </c>
      <c r="J37" s="16">
        <f>'Data sheet Tata Motors'!I74/'Data sheet Tata Motors'!I$76</f>
        <v>0.1836000124805035</v>
      </c>
      <c r="K37" s="16">
        <f>'Data sheet Tata Motors'!J74/'Data sheet Tata Motors'!J$76</f>
        <v>0.18068910109792749</v>
      </c>
      <c r="L37" s="16">
        <f>'Data sheet Tata Motors'!K74/'Data sheet Tata Motors'!K$76</f>
        <v>0.18909465826584576</v>
      </c>
    </row>
    <row r="38" spans="2:12" x14ac:dyDescent="0.3">
      <c r="B38" s="135" t="str">
        <f>'Data sheet Tata Motors'!A67</f>
        <v>Receivables</v>
      </c>
      <c r="C38" s="16">
        <f>'Data sheet Tata Motors'!B67/'Data sheet Tata Motors'!B$76</f>
        <v>6.5107812313703037E-2</v>
      </c>
      <c r="D38" s="16">
        <f>'Data sheet Tata Motors'!C67/'Data sheet Tata Motors'!C$76</f>
        <v>4.8411043026518961E-2</v>
      </c>
      <c r="E38" s="16">
        <f>'Data sheet Tata Motors'!D67/'Data sheet Tata Motors'!D$76</f>
        <v>5.3006388687363314E-2</v>
      </c>
      <c r="F38" s="16">
        <f>'Data sheet Tata Motors'!E67/'Data sheet Tata Motors'!E$76</f>
        <v>5.1564319306195219E-2</v>
      </c>
      <c r="G38" s="16">
        <f>'Data sheet Tata Motors'!F67/'Data sheet Tata Motors'!F$76</f>
        <v>5.1638166447501938E-2</v>
      </c>
      <c r="H38" s="16">
        <f>'Data sheet Tata Motors'!G67/'Data sheet Tata Motors'!G$76</f>
        <v>6.0800115993123419E-2</v>
      </c>
      <c r="I38" s="16">
        <f>'Data sheet Tata Motors'!H67/'Data sheet Tata Motors'!H$76</f>
        <v>6.2139198999658127E-2</v>
      </c>
      <c r="J38" s="16">
        <f>'Data sheet Tata Motors'!I67/'Data sheet Tata Motors'!I$76</f>
        <v>3.4895094278241959E-2</v>
      </c>
      <c r="K38" s="16">
        <f>'Data sheet Tata Motors'!J67/'Data sheet Tata Motors'!J$76</f>
        <v>3.7120014464974392E-2</v>
      </c>
      <c r="L38" s="16">
        <f>'Data sheet Tata Motors'!K67/'Data sheet Tata Motors'!K$76</f>
        <v>3.7810927070195913E-2</v>
      </c>
    </row>
    <row r="39" spans="2:12" x14ac:dyDescent="0.3">
      <c r="B39" s="135" t="str">
        <f>'Data sheet Tata Motors'!A68</f>
        <v>Inventory</v>
      </c>
      <c r="C39" s="16">
        <f>'Data sheet Tata Motors'!B68/'Data sheet Tata Motors'!B$76</f>
        <v>0.12497366037420655</v>
      </c>
      <c r="D39" s="16">
        <f>'Data sheet Tata Motors'!C68/'Data sheet Tata Motors'!C$76</f>
        <v>0.12485185485481834</v>
      </c>
      <c r="E39" s="16">
        <f>'Data sheet Tata Motors'!D68/'Data sheet Tata Motors'!D$76</f>
        <v>0.1233481486762793</v>
      </c>
      <c r="F39" s="16">
        <f>'Data sheet Tata Motors'!E68/'Data sheet Tata Motors'!E$76</f>
        <v>0.12407940874244236</v>
      </c>
      <c r="G39" s="16">
        <f>'Data sheet Tata Motors'!F68/'Data sheet Tata Motors'!F$76</f>
        <v>0.12871547311772571</v>
      </c>
      <c r="H39" s="16">
        <f>'Data sheet Tata Motors'!G68/'Data sheet Tata Motors'!G$76</f>
        <v>0.12878571135383859</v>
      </c>
      <c r="I39" s="16">
        <f>'Data sheet Tata Motors'!H68/'Data sheet Tata Motors'!H$76</f>
        <v>0.12761951131143451</v>
      </c>
      <c r="J39" s="16">
        <f>'Data sheet Tata Motors'!I68/'Data sheet Tata Motors'!I$76</f>
        <v>0.11698716772494318</v>
      </c>
      <c r="K39" s="16">
        <f>'Data sheet Tata Motors'!J68/'Data sheet Tata Motors'!J$76</f>
        <v>0.1056550619461767</v>
      </c>
      <c r="L39" s="16">
        <f>'Data sheet Tata Motors'!K68/'Data sheet Tata Motors'!K$76</f>
        <v>0.1070934797019244</v>
      </c>
    </row>
    <row r="40" spans="2:12" x14ac:dyDescent="0.3">
      <c r="B40" s="135" t="str">
        <f>'Data sheet Tata Motors'!A69</f>
        <v>Cash &amp; Bank</v>
      </c>
      <c r="C40" s="16">
        <f>'Data sheet Tata Motors'!B69/'Data sheet Tata Motors'!B$76</f>
        <v>0.12543703580400953</v>
      </c>
      <c r="D40" s="16">
        <f>'Data sheet Tata Motors'!C69/'Data sheet Tata Motors'!C$76</f>
        <v>0.13602680706632028</v>
      </c>
      <c r="E40" s="16">
        <f>'Data sheet Tata Motors'!D69/'Data sheet Tata Motors'!D$76</f>
        <v>0.13532978707311077</v>
      </c>
      <c r="F40" s="16">
        <f>'Data sheet Tata Motors'!E69/'Data sheet Tata Motors'!E$76</f>
        <v>0.11573798601526566</v>
      </c>
      <c r="G40" s="16">
        <f>'Data sheet Tata Motors'!F69/'Data sheet Tata Motors'!F$76</f>
        <v>0.13235685799226327</v>
      </c>
      <c r="H40" s="16">
        <f>'Data sheet Tata Motors'!G69/'Data sheet Tata Motors'!G$76</f>
        <v>0.10579088150158772</v>
      </c>
      <c r="I40" s="16">
        <f>'Data sheet Tata Motors'!H69/'Data sheet Tata Motors'!H$76</f>
        <v>0.10679897700873484</v>
      </c>
      <c r="J40" s="16">
        <f>'Data sheet Tata Motors'!I69/'Data sheet Tata Motors'!I$76</f>
        <v>0.10533772957715985</v>
      </c>
      <c r="K40" s="16">
        <f>'Data sheet Tata Motors'!J69/'Data sheet Tata Motors'!J$76</f>
        <v>0.13699233635656022</v>
      </c>
      <c r="L40" s="16">
        <f>'Data sheet Tata Motors'!K69/'Data sheet Tata Motors'!K$76</f>
        <v>0.12359146006419652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41F0-856D-4B3E-B549-5FDBCCC48527}">
  <sheetPr>
    <tabColor rgb="FF92D050"/>
  </sheetPr>
  <dimension ref="B2:U20"/>
  <sheetViews>
    <sheetView showGridLines="0" topLeftCell="C1" workbookViewId="0">
      <selection activeCell="Q9" sqref="Q9"/>
    </sheetView>
  </sheetViews>
  <sheetFormatPr defaultRowHeight="14.4" x14ac:dyDescent="0.3"/>
  <cols>
    <col min="1" max="1" width="2.109375" customWidth="1"/>
    <col min="2" max="2" width="11.6640625" customWidth="1"/>
    <col min="3" max="3" width="9.6640625" bestFit="1" customWidth="1"/>
    <col min="4" max="4" width="10.44140625" customWidth="1"/>
    <col min="5" max="5" width="14.33203125" customWidth="1"/>
    <col min="8" max="8" width="13.77734375" customWidth="1"/>
    <col min="9" max="9" width="16.33203125" customWidth="1"/>
    <col min="10" max="10" width="12.6640625" customWidth="1"/>
    <col min="13" max="13" width="11.33203125" customWidth="1"/>
    <col min="14" max="14" width="12.44140625" customWidth="1"/>
    <col min="15" max="15" width="11.77734375" customWidth="1"/>
  </cols>
  <sheetData>
    <row r="2" spans="2:21" x14ac:dyDescent="0.3">
      <c r="B2" s="145" t="str">
        <f>'Data sheet Tata Motors'!B1&amp;" - "&amp;'Data sheet Tata Motors'!A17&amp;" Forcasting "</f>
        <v xml:space="preserve">TATA MOTORS LTD - Sales Forcasting </v>
      </c>
      <c r="C2" s="145"/>
      <c r="D2" s="145"/>
      <c r="E2" s="145"/>
      <c r="G2" s="145" t="str">
        <f>'Data sheet Tata Motors'!$B$1&amp;" - "&amp;'Historical FS'!B16&amp;" Forecasting"</f>
        <v>TATA MOTORS LTD - EBITDA Forecasting</v>
      </c>
      <c r="H2" s="145"/>
      <c r="I2" s="145"/>
      <c r="J2" s="145"/>
      <c r="L2" s="145" t="str">
        <f>'Data sheet Tata Motors'!$B$1&amp;" - "&amp;'Historical FS'!B36&amp;" Forecasting"</f>
        <v>TATA MOTORS LTD - Earning per share Forecasting</v>
      </c>
      <c r="M2" s="145"/>
      <c r="N2" s="145"/>
      <c r="O2" s="145"/>
    </row>
    <row r="3" spans="2:21" x14ac:dyDescent="0.3">
      <c r="B3" s="104" t="s">
        <v>160</v>
      </c>
      <c r="C3" s="106" t="s">
        <v>161</v>
      </c>
      <c r="D3" s="106" t="s">
        <v>12</v>
      </c>
      <c r="E3" s="107" t="s">
        <v>57</v>
      </c>
      <c r="G3" s="104" t="s">
        <v>160</v>
      </c>
      <c r="H3" s="106" t="s">
        <v>161</v>
      </c>
      <c r="I3" s="106" t="s">
        <v>12</v>
      </c>
      <c r="J3" s="107" t="s">
        <v>57</v>
      </c>
      <c r="L3" s="104" t="s">
        <v>160</v>
      </c>
      <c r="M3" s="106" t="s">
        <v>161</v>
      </c>
      <c r="N3" s="106" t="s">
        <v>12</v>
      </c>
      <c r="O3" s="107" t="s">
        <v>57</v>
      </c>
    </row>
    <row r="4" spans="2:21" x14ac:dyDescent="0.3">
      <c r="B4" s="105">
        <v>1</v>
      </c>
      <c r="C4" s="129">
        <f>'Data sheet Tata Motors'!$B$16</f>
        <v>41364</v>
      </c>
      <c r="D4" s="103">
        <f t="array" ref="D4:D13">TRANSPOSE('Data sheet Tata Motors'!B17:K17)</f>
        <v>188792.69</v>
      </c>
      <c r="G4" s="105">
        <v>1</v>
      </c>
      <c r="H4" s="129">
        <f>'Data sheet Tata Motors'!$B$16</f>
        <v>41364</v>
      </c>
      <c r="I4" s="103">
        <f t="array" ref="I4:I13">TRANSPOSE('Data sheet Tata Motors'!B34:K34)</f>
        <v>24830.799999999999</v>
      </c>
      <c r="L4" s="105">
        <v>1</v>
      </c>
      <c r="M4" s="129">
        <f>'Data sheet Tata Motors'!$B$16</f>
        <v>41364</v>
      </c>
      <c r="N4" s="103">
        <f t="array" ref="N4:N13">TRANSPOSE('Historical FS'!C36:M36)</f>
        <v>33.80158896822067</v>
      </c>
    </row>
    <row r="5" spans="2:21" x14ac:dyDescent="0.3">
      <c r="B5" s="105">
        <f>B4+1</f>
        <v>2</v>
      </c>
      <c r="C5" s="126">
        <f>C4+365</f>
        <v>41729</v>
      </c>
      <c r="D5" s="103">
        <v>232833.66</v>
      </c>
      <c r="E5" s="16">
        <f>D5/D4-1</f>
        <v>0.23327688164197458</v>
      </c>
      <c r="G5" s="105">
        <f>G4+1</f>
        <v>2</v>
      </c>
      <c r="H5" s="126">
        <f>H4+365</f>
        <v>41729</v>
      </c>
      <c r="I5" s="103">
        <v>34583.410000000003</v>
      </c>
      <c r="J5" s="16">
        <f>I5/I4-1</f>
        <v>0.39276261739452623</v>
      </c>
      <c r="L5" s="105">
        <f>L4+1</f>
        <v>2</v>
      </c>
      <c r="M5" s="126">
        <f>M4+365</f>
        <v>41729</v>
      </c>
      <c r="N5" s="103">
        <v>49.390351180993186</v>
      </c>
      <c r="O5" s="16">
        <f>N5/N4-1</f>
        <v>0.46118430194002547</v>
      </c>
      <c r="Q5" s="149" t="s">
        <v>162</v>
      </c>
      <c r="R5" s="149"/>
      <c r="S5" s="149"/>
      <c r="T5" s="149"/>
      <c r="U5" s="149"/>
    </row>
    <row r="6" spans="2:21" x14ac:dyDescent="0.3">
      <c r="B6" s="105">
        <f t="shared" ref="B6:B18" si="0">B5+1</f>
        <v>3</v>
      </c>
      <c r="C6" s="126">
        <f t="shared" ref="C6:C18" si="1">C5+365</f>
        <v>42094</v>
      </c>
      <c r="D6" s="103">
        <v>263158.98</v>
      </c>
      <c r="E6" s="16">
        <f t="shared" ref="E6:E18" si="2">D6/D5-1</f>
        <v>0.13024457030826198</v>
      </c>
      <c r="G6" s="105">
        <f t="shared" ref="G6" si="3">G5+1</f>
        <v>3</v>
      </c>
      <c r="H6" s="126">
        <f t="shared" ref="H6:H18" si="4">H5+365</f>
        <v>42094</v>
      </c>
      <c r="I6" s="103">
        <v>39879.32</v>
      </c>
      <c r="J6" s="16">
        <f t="shared" ref="J6:J18" si="5">I6/I5-1</f>
        <v>0.1531344075092651</v>
      </c>
      <c r="L6" s="105">
        <f t="shared" ref="L6" si="6">L5+1</f>
        <v>3</v>
      </c>
      <c r="M6" s="126">
        <f t="shared" ref="M6:M18" si="7">M5+365</f>
        <v>42094</v>
      </c>
      <c r="N6" s="103">
        <v>46.220198102098706</v>
      </c>
      <c r="O6" s="16">
        <f t="shared" ref="O6:O18" si="8">N6/N5-1</f>
        <v>-6.4185676009415493E-2</v>
      </c>
    </row>
    <row r="7" spans="2:21" x14ac:dyDescent="0.3">
      <c r="B7" s="105">
        <f t="shared" si="0"/>
        <v>4</v>
      </c>
      <c r="C7" s="126">
        <f t="shared" si="1"/>
        <v>42459</v>
      </c>
      <c r="D7" s="103">
        <v>273045.59999999998</v>
      </c>
      <c r="E7" s="16">
        <f t="shared" si="2"/>
        <v>3.75690010654397E-2</v>
      </c>
      <c r="G7" s="105">
        <f t="shared" ref="G7" si="9">G6+1</f>
        <v>4</v>
      </c>
      <c r="H7" s="126">
        <f t="shared" si="4"/>
        <v>42459</v>
      </c>
      <c r="I7" s="103">
        <v>36204.22</v>
      </c>
      <c r="J7" s="16">
        <f t="shared" si="5"/>
        <v>-9.215553324379655E-2</v>
      </c>
      <c r="L7" s="105">
        <f t="shared" ref="L7" si="10">L6+1</f>
        <v>4</v>
      </c>
      <c r="M7" s="126">
        <f t="shared" si="7"/>
        <v>42459</v>
      </c>
      <c r="N7" s="103">
        <v>47.694444444444336</v>
      </c>
      <c r="O7" s="16">
        <f t="shared" si="8"/>
        <v>3.189614936502605E-2</v>
      </c>
    </row>
    <row r="8" spans="2:21" x14ac:dyDescent="0.3">
      <c r="B8" s="105">
        <f t="shared" si="0"/>
        <v>5</v>
      </c>
      <c r="C8" s="126">
        <f t="shared" si="1"/>
        <v>42824</v>
      </c>
      <c r="D8" s="103">
        <v>269692.51</v>
      </c>
      <c r="E8" s="16">
        <f t="shared" si="2"/>
        <v>-1.2280329732469508E-2</v>
      </c>
      <c r="G8" s="105">
        <f t="shared" ref="G8" si="11">G7+1</f>
        <v>5</v>
      </c>
      <c r="H8" s="126">
        <f t="shared" si="4"/>
        <v>42824</v>
      </c>
      <c r="I8" s="103">
        <v>32848.589999999997</v>
      </c>
      <c r="J8" s="16">
        <f t="shared" si="5"/>
        <v>-9.268615647568168E-2</v>
      </c>
      <c r="L8" s="105">
        <f t="shared" ref="L8" si="12">L7+1</f>
        <v>5</v>
      </c>
      <c r="M8" s="126">
        <f t="shared" si="7"/>
        <v>42824</v>
      </c>
      <c r="N8" s="103">
        <v>14.527274616423808</v>
      </c>
      <c r="O8" s="16">
        <f t="shared" si="8"/>
        <v>-0.69540950134463697</v>
      </c>
    </row>
    <row r="9" spans="2:21" x14ac:dyDescent="0.3">
      <c r="B9" s="105">
        <f t="shared" si="0"/>
        <v>6</v>
      </c>
      <c r="C9" s="126">
        <f t="shared" si="1"/>
        <v>43189</v>
      </c>
      <c r="D9" s="103">
        <v>291550.48</v>
      </c>
      <c r="E9" s="16">
        <f t="shared" si="2"/>
        <v>8.104774581985974E-2</v>
      </c>
      <c r="G9" s="105">
        <f t="shared" ref="G9" si="13">G8+1</f>
        <v>6</v>
      </c>
      <c r="H9" s="126">
        <f t="shared" si="4"/>
        <v>43189</v>
      </c>
      <c r="I9" s="103">
        <v>39566.22</v>
      </c>
      <c r="J9" s="16">
        <f t="shared" si="5"/>
        <v>0.20450284167448296</v>
      </c>
      <c r="L9" s="105">
        <f t="shared" ref="L9" si="14">L8+1</f>
        <v>6</v>
      </c>
      <c r="M9" s="126">
        <f t="shared" si="7"/>
        <v>43189</v>
      </c>
      <c r="N9" s="103">
        <v>3.049111626779315</v>
      </c>
      <c r="O9" s="16">
        <f t="shared" si="8"/>
        <v>-0.79011124197155724</v>
      </c>
    </row>
    <row r="10" spans="2:21" x14ac:dyDescent="0.3">
      <c r="B10" s="105">
        <f t="shared" si="0"/>
        <v>7</v>
      </c>
      <c r="C10" s="126">
        <f t="shared" si="1"/>
        <v>43554</v>
      </c>
      <c r="D10" s="103">
        <v>301938.40000000002</v>
      </c>
      <c r="E10" s="16">
        <f t="shared" si="2"/>
        <v>3.5629919045237157E-2</v>
      </c>
      <c r="G10" s="105">
        <f t="shared" ref="G10" si="15">G9+1</f>
        <v>7</v>
      </c>
      <c r="H10" s="126">
        <f t="shared" si="4"/>
        <v>43554</v>
      </c>
      <c r="I10" s="103">
        <v>-1914.4499999999971</v>
      </c>
      <c r="J10" s="16">
        <f t="shared" si="5"/>
        <v>-1.0483859716697728</v>
      </c>
      <c r="L10" s="105">
        <f t="shared" ref="L10" si="16">L9+1</f>
        <v>7</v>
      </c>
      <c r="M10" s="126">
        <f t="shared" si="7"/>
        <v>43554</v>
      </c>
      <c r="N10" s="103">
        <v>-7.7839157690575265</v>
      </c>
      <c r="O10" s="16">
        <f t="shared" si="8"/>
        <v>-3.5528470983790919</v>
      </c>
    </row>
    <row r="11" spans="2:21" x14ac:dyDescent="0.3">
      <c r="B11" s="105">
        <f t="shared" si="0"/>
        <v>8</v>
      </c>
      <c r="C11" s="126">
        <f t="shared" si="1"/>
        <v>43919</v>
      </c>
      <c r="D11" s="103">
        <v>261067.97</v>
      </c>
      <c r="E11" s="16">
        <f t="shared" si="2"/>
        <v>-0.135360159555724</v>
      </c>
      <c r="G11" s="105">
        <f t="shared" ref="G11" si="17">G10+1</f>
        <v>8</v>
      </c>
      <c r="H11" s="126">
        <f t="shared" si="4"/>
        <v>43919</v>
      </c>
      <c r="I11" s="103">
        <v>16993.160000000003</v>
      </c>
      <c r="J11" s="16">
        <f t="shared" si="5"/>
        <v>-9.876262111833702</v>
      </c>
      <c r="L11" s="105">
        <f t="shared" ref="L11" si="18">L10+1</f>
        <v>8</v>
      </c>
      <c r="M11" s="126">
        <f t="shared" si="7"/>
        <v>43919</v>
      </c>
      <c r="N11" s="103">
        <v>-35.859307219164904</v>
      </c>
      <c r="O11" s="16">
        <f t="shared" si="8"/>
        <v>3.6068467700681115</v>
      </c>
    </row>
    <row r="12" spans="2:21" x14ac:dyDescent="0.3">
      <c r="B12" s="105">
        <f t="shared" si="0"/>
        <v>9</v>
      </c>
      <c r="C12" s="126">
        <f t="shared" si="1"/>
        <v>44284</v>
      </c>
      <c r="D12" s="103">
        <v>249794.75</v>
      </c>
      <c r="E12" s="16">
        <f t="shared" si="2"/>
        <v>-4.3181168490336042E-2</v>
      </c>
      <c r="G12" s="105">
        <f t="shared" ref="G12" si="19">G11+1</f>
        <v>9</v>
      </c>
      <c r="H12" s="126">
        <f t="shared" si="4"/>
        <v>44284</v>
      </c>
      <c r="I12" s="103">
        <v>20734.349999999999</v>
      </c>
      <c r="J12" s="16">
        <f t="shared" si="5"/>
        <v>0.22015858145277245</v>
      </c>
      <c r="L12" s="105">
        <f t="shared" ref="L12" si="20">L11+1</f>
        <v>9</v>
      </c>
      <c r="M12" s="126">
        <f t="shared" si="7"/>
        <v>44284</v>
      </c>
      <c r="N12" s="103">
        <v>-5.7172845827184542</v>
      </c>
      <c r="O12" s="16">
        <f t="shared" si="8"/>
        <v>-0.84056344011958861</v>
      </c>
    </row>
    <row r="13" spans="2:21" x14ac:dyDescent="0.3">
      <c r="B13" s="105">
        <f t="shared" si="0"/>
        <v>10</v>
      </c>
      <c r="C13" s="126">
        <f t="shared" si="1"/>
        <v>44649</v>
      </c>
      <c r="D13" s="103">
        <v>278453.62</v>
      </c>
      <c r="E13" s="16">
        <f t="shared" si="2"/>
        <v>0.11472967306158344</v>
      </c>
      <c r="G13" s="105">
        <f t="shared" ref="G13" si="21">G12+1</f>
        <v>10</v>
      </c>
      <c r="H13" s="126">
        <f t="shared" si="4"/>
        <v>44649</v>
      </c>
      <c r="I13" s="130">
        <v>26937.370000000003</v>
      </c>
      <c r="J13" s="16">
        <f t="shared" si="5"/>
        <v>0.2991663592058591</v>
      </c>
      <c r="L13" s="105">
        <f t="shared" ref="L13" si="22">L12+1</f>
        <v>10</v>
      </c>
      <c r="M13" s="126">
        <f t="shared" si="7"/>
        <v>44649</v>
      </c>
      <c r="N13" s="130">
        <v>-41.132140813683833</v>
      </c>
      <c r="O13" s="16">
        <f t="shared" si="8"/>
        <v>6.194349033807641</v>
      </c>
    </row>
    <row r="14" spans="2:21" x14ac:dyDescent="0.3">
      <c r="B14" s="122">
        <f t="shared" si="0"/>
        <v>11</v>
      </c>
      <c r="C14" s="128">
        <f t="shared" si="1"/>
        <v>45014</v>
      </c>
      <c r="D14" s="123">
        <f>FORECAST(B14,$D$4:$D$13,$B$4:$B$13)</f>
        <v>295158.11</v>
      </c>
      <c r="E14" s="124">
        <f t="shared" si="2"/>
        <v>5.9990205909336014E-2</v>
      </c>
      <c r="G14" s="122">
        <f t="shared" ref="G14" si="23">G13+1</f>
        <v>11</v>
      </c>
      <c r="H14" s="128">
        <f t="shared" si="4"/>
        <v>45014</v>
      </c>
      <c r="I14" s="123">
        <f>FORECAST(G14,$I$4:$I$13,$G$4:$G$13)</f>
        <v>17064.51666666667</v>
      </c>
      <c r="J14" s="124">
        <f t="shared" si="5"/>
        <v>-0.36651140528319326</v>
      </c>
      <c r="L14" s="122">
        <f t="shared" ref="L14" si="24">L13+1</f>
        <v>11</v>
      </c>
      <c r="M14" s="128">
        <f t="shared" si="7"/>
        <v>45014</v>
      </c>
      <c r="N14" s="123">
        <f>FORECAST(L14,$N$4:$N$13,$L$4:$L$13)</f>
        <v>-44.529894231886132</v>
      </c>
      <c r="O14" s="124">
        <f t="shared" si="8"/>
        <v>8.2605800500224369E-2</v>
      </c>
    </row>
    <row r="15" spans="2:21" x14ac:dyDescent="0.3">
      <c r="B15" s="122">
        <f t="shared" si="0"/>
        <v>12</v>
      </c>
      <c r="C15" s="128">
        <f t="shared" si="1"/>
        <v>45379</v>
      </c>
      <c r="D15" s="123">
        <f t="shared" ref="D15:D18" si="25">FORECAST(B15,$D$4:$D$13,$B$4:$B$13)</f>
        <v>301362.69981818181</v>
      </c>
      <c r="E15" s="124">
        <f t="shared" si="2"/>
        <v>2.1021241185552375E-2</v>
      </c>
      <c r="G15" s="122">
        <f t="shared" ref="G15" si="26">G14+1</f>
        <v>12</v>
      </c>
      <c r="H15" s="128">
        <f t="shared" si="4"/>
        <v>45379</v>
      </c>
      <c r="I15" s="123">
        <f t="shared" ref="I15:I18" si="27">FORECAST(G15,$I$4:$I$13,$G$4:$G$13)</f>
        <v>15246.010787878793</v>
      </c>
      <c r="J15" s="124">
        <f t="shared" si="5"/>
        <v>-0.10656650371704302</v>
      </c>
      <c r="L15" s="122">
        <f t="shared" ref="L15" si="28">L14+1</f>
        <v>12</v>
      </c>
      <c r="M15" s="128">
        <f t="shared" si="7"/>
        <v>45379</v>
      </c>
      <c r="N15" s="123">
        <f t="shared" ref="N15:N18" si="29">FORECAST(L15,$N$4:$N$13,$L$4:$L$13)</f>
        <v>-54.520608102307889</v>
      </c>
      <c r="O15" s="124">
        <f t="shared" si="8"/>
        <v>0.22435970358240365</v>
      </c>
    </row>
    <row r="16" spans="2:21" x14ac:dyDescent="0.3">
      <c r="B16" s="122">
        <f t="shared" si="0"/>
        <v>13</v>
      </c>
      <c r="C16" s="128">
        <f t="shared" si="1"/>
        <v>45744</v>
      </c>
      <c r="D16" s="123">
        <f t="shared" si="25"/>
        <v>307567.28963636362</v>
      </c>
      <c r="E16" s="124">
        <f t="shared" si="2"/>
        <v>2.0588446486327516E-2</v>
      </c>
      <c r="G16" s="122">
        <f t="shared" ref="G16" si="30">G15+1</f>
        <v>13</v>
      </c>
      <c r="H16" s="128">
        <f t="shared" si="4"/>
        <v>45744</v>
      </c>
      <c r="I16" s="123">
        <f t="shared" si="27"/>
        <v>13427.504909090912</v>
      </c>
      <c r="J16" s="124">
        <f t="shared" si="5"/>
        <v>-0.11927748865517451</v>
      </c>
      <c r="L16" s="122">
        <f t="shared" ref="L16" si="31">L15+1</f>
        <v>13</v>
      </c>
      <c r="M16" s="128">
        <f t="shared" si="7"/>
        <v>45744</v>
      </c>
      <c r="N16" s="123">
        <f t="shared" si="29"/>
        <v>-64.511321972729647</v>
      </c>
      <c r="O16" s="124">
        <f t="shared" si="8"/>
        <v>0.18324655975359239</v>
      </c>
    </row>
    <row r="17" spans="2:15" x14ac:dyDescent="0.3">
      <c r="B17" s="122">
        <f t="shared" si="0"/>
        <v>14</v>
      </c>
      <c r="C17" s="128">
        <f t="shared" si="1"/>
        <v>46109</v>
      </c>
      <c r="D17" s="123">
        <f t="shared" si="25"/>
        <v>313771.87945454544</v>
      </c>
      <c r="E17" s="124">
        <f t="shared" si="2"/>
        <v>2.0173113420212774E-2</v>
      </c>
      <c r="G17" s="122">
        <f t="shared" ref="G17" si="32">G16+1</f>
        <v>14</v>
      </c>
      <c r="H17" s="128">
        <f t="shared" si="4"/>
        <v>46109</v>
      </c>
      <c r="I17" s="123">
        <f t="shared" si="27"/>
        <v>11608.999030303035</v>
      </c>
      <c r="J17" s="124">
        <f t="shared" si="5"/>
        <v>-0.13543140673563869</v>
      </c>
      <c r="L17" s="122">
        <f t="shared" ref="L17" si="33">L16+1</f>
        <v>14</v>
      </c>
      <c r="M17" s="128">
        <f t="shared" si="7"/>
        <v>46109</v>
      </c>
      <c r="N17" s="123">
        <f t="shared" si="29"/>
        <v>-74.502035843151404</v>
      </c>
      <c r="O17" s="124">
        <f t="shared" si="8"/>
        <v>0.15486760408731115</v>
      </c>
    </row>
    <row r="18" spans="2:15" x14ac:dyDescent="0.3">
      <c r="B18" s="122">
        <f t="shared" si="0"/>
        <v>15</v>
      </c>
      <c r="C18" s="128">
        <f t="shared" si="1"/>
        <v>46474</v>
      </c>
      <c r="D18" s="123">
        <f t="shared" si="25"/>
        <v>319976.46927272726</v>
      </c>
      <c r="E18" s="124">
        <f t="shared" si="2"/>
        <v>1.9774206117411541E-2</v>
      </c>
      <c r="G18" s="122">
        <f t="shared" ref="G18" si="34">G17+1</f>
        <v>15</v>
      </c>
      <c r="H18" s="128">
        <f t="shared" si="4"/>
        <v>46474</v>
      </c>
      <c r="I18" s="123">
        <f t="shared" si="27"/>
        <v>9790.4931515151548</v>
      </c>
      <c r="J18" s="124">
        <f t="shared" si="5"/>
        <v>-0.15664622540160655</v>
      </c>
      <c r="L18" s="122">
        <f t="shared" ref="L18" si="35">L17+1</f>
        <v>15</v>
      </c>
      <c r="M18" s="128">
        <f t="shared" si="7"/>
        <v>46474</v>
      </c>
      <c r="N18" s="123">
        <f t="shared" si="29"/>
        <v>-84.492749713573161</v>
      </c>
      <c r="O18" s="124">
        <f t="shared" si="8"/>
        <v>0.13409987737053441</v>
      </c>
    </row>
    <row r="19" spans="2:15" x14ac:dyDescent="0.3">
      <c r="B19" s="127"/>
      <c r="C19" s="125"/>
      <c r="I19" s="131"/>
    </row>
    <row r="20" spans="2:15" x14ac:dyDescent="0.3">
      <c r="B20" s="127"/>
      <c r="C20" s="125"/>
    </row>
  </sheetData>
  <mergeCells count="3">
    <mergeCell ref="B2:E2"/>
    <mergeCell ref="G2:J2"/>
    <mergeCell ref="L2:O2"/>
  </mergeCells>
  <pageMargins left="0.7" right="0.7" top="0.75" bottom="0.75" header="0.3" footer="0.3"/>
  <ignoredErrors>
    <ignoredError sqref="J13:J14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33C-7A25-4153-8FF1-68994FE90D52}">
  <sheetPr>
    <tabColor rgb="FF92D050"/>
  </sheetPr>
  <dimension ref="B2:N35"/>
  <sheetViews>
    <sheetView showGridLines="0" workbookViewId="0">
      <selection activeCell="D6" sqref="D6"/>
    </sheetView>
  </sheetViews>
  <sheetFormatPr defaultRowHeight="14.4" x14ac:dyDescent="0.3"/>
  <cols>
    <col min="2" max="2" width="36.33203125" customWidth="1"/>
    <col min="3" max="3" width="8.88671875" customWidth="1"/>
  </cols>
  <sheetData>
    <row r="2" spans="2:14" x14ac:dyDescent="0.3">
      <c r="B2" s="151"/>
      <c r="C2" s="150">
        <v>40603</v>
      </c>
      <c r="D2" s="150">
        <v>40969</v>
      </c>
      <c r="E2" s="150">
        <v>41334</v>
      </c>
      <c r="F2" s="150">
        <v>41699</v>
      </c>
      <c r="G2" s="150">
        <v>42064</v>
      </c>
      <c r="H2" s="150">
        <v>42430</v>
      </c>
      <c r="I2" s="150">
        <v>42795</v>
      </c>
      <c r="J2" s="150">
        <v>43160</v>
      </c>
      <c r="K2" s="150">
        <v>43525</v>
      </c>
      <c r="L2" s="150">
        <v>43891</v>
      </c>
      <c r="M2" s="150">
        <v>44256</v>
      </c>
      <c r="N2" s="150">
        <v>44621</v>
      </c>
    </row>
    <row r="3" spans="2:14" x14ac:dyDescent="0.3">
      <c r="B3" s="152" t="s">
        <v>117</v>
      </c>
      <c r="C3" s="23">
        <v>11240</v>
      </c>
      <c r="D3" s="23">
        <v>18384</v>
      </c>
      <c r="E3" s="23">
        <v>22163</v>
      </c>
      <c r="F3" s="23">
        <v>36151</v>
      </c>
      <c r="G3" s="23">
        <v>35531</v>
      </c>
      <c r="H3" s="23">
        <v>37900</v>
      </c>
      <c r="I3" s="23">
        <v>30199</v>
      </c>
      <c r="J3" s="23">
        <v>23857</v>
      </c>
      <c r="K3" s="23">
        <v>18891</v>
      </c>
      <c r="L3" s="23">
        <v>26633</v>
      </c>
      <c r="M3" s="23">
        <v>29001</v>
      </c>
      <c r="N3" s="23">
        <v>14283</v>
      </c>
    </row>
    <row r="4" spans="2:14" x14ac:dyDescent="0.3">
      <c r="B4" s="153" t="s">
        <v>90</v>
      </c>
      <c r="C4" s="23">
        <v>16680</v>
      </c>
      <c r="D4" s="23">
        <v>22432</v>
      </c>
      <c r="E4" s="23">
        <v>24406</v>
      </c>
      <c r="F4" s="23">
        <v>36303</v>
      </c>
      <c r="G4" s="23">
        <v>43397</v>
      </c>
      <c r="H4" s="23">
        <v>38626</v>
      </c>
      <c r="I4" s="23">
        <v>28840</v>
      </c>
      <c r="J4" s="23">
        <v>33312</v>
      </c>
      <c r="K4" s="23">
        <v>28771</v>
      </c>
      <c r="L4" s="23">
        <v>23352</v>
      </c>
      <c r="M4" s="23">
        <v>31198</v>
      </c>
      <c r="N4" s="23">
        <v>26666</v>
      </c>
    </row>
    <row r="5" spans="2:14" x14ac:dyDescent="0.3">
      <c r="B5" s="154" t="s">
        <v>39</v>
      </c>
      <c r="C5" s="22">
        <v>-1422</v>
      </c>
      <c r="D5" s="22">
        <v>-6659</v>
      </c>
      <c r="E5" s="22">
        <v>-5177</v>
      </c>
      <c r="F5" s="24">
        <v>445</v>
      </c>
      <c r="G5" s="22">
        <v>-3179</v>
      </c>
      <c r="H5" s="22">
        <v>-2223</v>
      </c>
      <c r="I5" s="22">
        <v>-4152</v>
      </c>
      <c r="J5" s="22">
        <v>-10688</v>
      </c>
      <c r="K5" s="22">
        <v>-9109</v>
      </c>
      <c r="L5" s="22">
        <v>9950</v>
      </c>
      <c r="M5" s="22">
        <v>-5505</v>
      </c>
      <c r="N5" s="24">
        <v>337</v>
      </c>
    </row>
    <row r="6" spans="2:14" x14ac:dyDescent="0.3">
      <c r="B6" s="154" t="s">
        <v>40</v>
      </c>
      <c r="C6" s="22">
        <v>-2411</v>
      </c>
      <c r="D6" s="22">
        <v>-2719</v>
      </c>
      <c r="E6" s="22">
        <v>-2656</v>
      </c>
      <c r="F6" s="22">
        <v>-2853</v>
      </c>
      <c r="G6" s="22">
        <v>-3692</v>
      </c>
      <c r="H6" s="22">
        <v>-5743</v>
      </c>
      <c r="I6" s="22">
        <v>-6621</v>
      </c>
      <c r="J6" s="22">
        <v>-3560</v>
      </c>
      <c r="K6" s="22">
        <v>2069</v>
      </c>
      <c r="L6" s="22">
        <v>2326</v>
      </c>
      <c r="M6" s="22">
        <v>3814</v>
      </c>
      <c r="N6" s="24">
        <v>597</v>
      </c>
    </row>
    <row r="7" spans="2:14" x14ac:dyDescent="0.3">
      <c r="B7" s="154" t="s">
        <v>91</v>
      </c>
      <c r="C7" s="24">
        <v>344</v>
      </c>
      <c r="D7" s="22">
        <v>5867</v>
      </c>
      <c r="E7" s="22">
        <v>8132</v>
      </c>
      <c r="F7" s="22">
        <v>4694</v>
      </c>
      <c r="G7" s="22">
        <v>3598</v>
      </c>
      <c r="H7" s="22">
        <v>3947</v>
      </c>
      <c r="I7" s="22">
        <v>9301</v>
      </c>
      <c r="J7" s="22">
        <v>7320</v>
      </c>
      <c r="K7" s="22">
        <v>-4692</v>
      </c>
      <c r="L7" s="22">
        <v>-8085</v>
      </c>
      <c r="M7" s="22">
        <v>5748</v>
      </c>
      <c r="N7" s="22">
        <v>-7012</v>
      </c>
    </row>
    <row r="8" spans="2:14" x14ac:dyDescent="0.3">
      <c r="B8" s="154" t="s">
        <v>92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-520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</row>
    <row r="9" spans="2:14" x14ac:dyDescent="0.3">
      <c r="B9" s="154" t="s">
        <v>93</v>
      </c>
      <c r="C9" s="24">
        <v>-559</v>
      </c>
      <c r="D9" s="22">
        <v>1231</v>
      </c>
      <c r="E9" s="24">
        <v>-303</v>
      </c>
      <c r="F9" s="22">
        <v>1870</v>
      </c>
      <c r="G9" s="24">
        <v>-398</v>
      </c>
      <c r="H9" s="22">
        <v>5852</v>
      </c>
      <c r="I9" s="22">
        <v>4727</v>
      </c>
      <c r="J9" s="24">
        <v>494</v>
      </c>
      <c r="K9" s="22">
        <v>4512</v>
      </c>
      <c r="L9" s="24">
        <v>875</v>
      </c>
      <c r="M9" s="22">
        <v>-4150</v>
      </c>
      <c r="N9" s="22">
        <v>-4396</v>
      </c>
    </row>
    <row r="10" spans="2:14" x14ac:dyDescent="0.3">
      <c r="B10" s="153" t="s">
        <v>94</v>
      </c>
      <c r="C10" s="23">
        <v>-4048</v>
      </c>
      <c r="D10" s="23">
        <v>-2280</v>
      </c>
      <c r="E10" s="25">
        <v>-3</v>
      </c>
      <c r="F10" s="23">
        <v>4157</v>
      </c>
      <c r="G10" s="23">
        <v>-3672</v>
      </c>
      <c r="H10" s="23">
        <v>1313</v>
      </c>
      <c r="I10" s="23">
        <v>3254</v>
      </c>
      <c r="J10" s="23">
        <v>-6434</v>
      </c>
      <c r="K10" s="23">
        <v>-7221</v>
      </c>
      <c r="L10" s="23">
        <v>5065</v>
      </c>
      <c r="M10" s="25">
        <v>-93</v>
      </c>
      <c r="N10" s="23">
        <v>-10474</v>
      </c>
    </row>
    <row r="11" spans="2:14" x14ac:dyDescent="0.3">
      <c r="B11" s="154" t="s">
        <v>95</v>
      </c>
      <c r="C11" s="22">
        <v>-1391</v>
      </c>
      <c r="D11" s="22">
        <v>-1768</v>
      </c>
      <c r="E11" s="22">
        <v>-2240</v>
      </c>
      <c r="F11" s="22">
        <v>-4308</v>
      </c>
      <c r="G11" s="22">
        <v>-4194</v>
      </c>
      <c r="H11" s="22">
        <v>-2040</v>
      </c>
      <c r="I11" s="22">
        <v>-1895</v>
      </c>
      <c r="J11" s="22">
        <v>-3021</v>
      </c>
      <c r="K11" s="22">
        <v>-2659</v>
      </c>
      <c r="L11" s="22">
        <v>-1785</v>
      </c>
      <c r="M11" s="22">
        <v>-2105</v>
      </c>
      <c r="N11" s="22">
        <v>-1910</v>
      </c>
    </row>
    <row r="12" spans="2:14" x14ac:dyDescent="0.3">
      <c r="B12" s="152" t="s">
        <v>118</v>
      </c>
      <c r="C12" s="23">
        <v>-7023</v>
      </c>
      <c r="D12" s="23">
        <v>-19464</v>
      </c>
      <c r="E12" s="23">
        <v>-22969</v>
      </c>
      <c r="F12" s="23">
        <v>-27991</v>
      </c>
      <c r="G12" s="23">
        <v>-36232</v>
      </c>
      <c r="H12" s="23">
        <v>-36694</v>
      </c>
      <c r="I12" s="23">
        <v>-39571</v>
      </c>
      <c r="J12" s="23">
        <v>-25139</v>
      </c>
      <c r="K12" s="23">
        <v>-20878</v>
      </c>
      <c r="L12" s="23">
        <v>-33115</v>
      </c>
      <c r="M12" s="23">
        <v>-25672</v>
      </c>
      <c r="N12" s="23">
        <v>-4444</v>
      </c>
    </row>
    <row r="13" spans="2:14" x14ac:dyDescent="0.3">
      <c r="B13" s="154" t="s">
        <v>96</v>
      </c>
      <c r="C13" s="22">
        <v>-8124</v>
      </c>
      <c r="D13" s="22">
        <v>-13876</v>
      </c>
      <c r="E13" s="22">
        <v>-18863</v>
      </c>
      <c r="F13" s="22">
        <v>-26975</v>
      </c>
      <c r="G13" s="22">
        <v>-31962</v>
      </c>
      <c r="H13" s="22">
        <v>-31503</v>
      </c>
      <c r="I13" s="22">
        <v>-16072</v>
      </c>
      <c r="J13" s="22">
        <v>-35079</v>
      </c>
      <c r="K13" s="22">
        <v>-35304</v>
      </c>
      <c r="L13" s="22">
        <v>-29702</v>
      </c>
      <c r="M13" s="22">
        <v>-20205</v>
      </c>
      <c r="N13" s="22">
        <v>-15168</v>
      </c>
    </row>
    <row r="14" spans="2:14" x14ac:dyDescent="0.3">
      <c r="B14" s="154" t="s">
        <v>97</v>
      </c>
      <c r="C14" s="24">
        <v>11</v>
      </c>
      <c r="D14" s="24">
        <v>93</v>
      </c>
      <c r="E14" s="24">
        <v>37</v>
      </c>
      <c r="F14" s="24">
        <v>50</v>
      </c>
      <c r="G14" s="24">
        <v>74</v>
      </c>
      <c r="H14" s="24">
        <v>59</v>
      </c>
      <c r="I14" s="24">
        <v>53</v>
      </c>
      <c r="J14" s="24">
        <v>30</v>
      </c>
      <c r="K14" s="24">
        <v>67</v>
      </c>
      <c r="L14" s="24">
        <v>171</v>
      </c>
      <c r="M14" s="24">
        <v>351</v>
      </c>
      <c r="N14" s="24">
        <v>230</v>
      </c>
    </row>
    <row r="15" spans="2:14" x14ac:dyDescent="0.3">
      <c r="B15" s="154" t="s">
        <v>98</v>
      </c>
      <c r="C15" s="24">
        <v>-147</v>
      </c>
      <c r="D15" s="22">
        <v>-5857</v>
      </c>
      <c r="E15" s="24">
        <v>73</v>
      </c>
      <c r="F15" s="24">
        <v>-429</v>
      </c>
      <c r="G15" s="22">
        <v>-5461</v>
      </c>
      <c r="H15" s="22">
        <v>-4728</v>
      </c>
      <c r="I15" s="24">
        <v>-6</v>
      </c>
      <c r="J15" s="24">
        <v>-329</v>
      </c>
      <c r="K15" s="24">
        <v>-130</v>
      </c>
      <c r="L15" s="22">
        <v>-1439</v>
      </c>
      <c r="M15" s="22">
        <v>-7530</v>
      </c>
      <c r="N15" s="22">
        <v>-3008</v>
      </c>
    </row>
    <row r="16" spans="2:14" x14ac:dyDescent="0.3">
      <c r="B16" s="154" t="s">
        <v>99</v>
      </c>
      <c r="C16" s="24">
        <v>7</v>
      </c>
      <c r="D16" s="24">
        <v>84</v>
      </c>
      <c r="E16" s="24">
        <v>34</v>
      </c>
      <c r="F16" s="24">
        <v>4</v>
      </c>
      <c r="G16" s="24">
        <v>42</v>
      </c>
      <c r="H16" s="24">
        <v>89</v>
      </c>
      <c r="I16" s="22">
        <v>1965</v>
      </c>
      <c r="J16" s="22">
        <v>2381</v>
      </c>
      <c r="K16" s="22">
        <v>5644</v>
      </c>
      <c r="L16" s="24">
        <v>21</v>
      </c>
      <c r="M16" s="24">
        <v>226</v>
      </c>
      <c r="N16" s="24">
        <v>104</v>
      </c>
    </row>
    <row r="17" spans="2:14" x14ac:dyDescent="0.3">
      <c r="B17" s="154" t="s">
        <v>100</v>
      </c>
      <c r="C17" s="24">
        <v>314</v>
      </c>
      <c r="D17" s="24">
        <v>467</v>
      </c>
      <c r="E17" s="24">
        <v>713</v>
      </c>
      <c r="F17" s="24">
        <v>653</v>
      </c>
      <c r="G17" s="24">
        <v>698</v>
      </c>
      <c r="H17" s="24">
        <v>731</v>
      </c>
      <c r="I17" s="24">
        <v>638</v>
      </c>
      <c r="J17" s="24">
        <v>690</v>
      </c>
      <c r="K17" s="24">
        <v>761</v>
      </c>
      <c r="L17" s="22">
        <v>1104</v>
      </c>
      <c r="M17" s="24">
        <v>428</v>
      </c>
      <c r="N17" s="24">
        <v>653</v>
      </c>
    </row>
    <row r="18" spans="2:14" x14ac:dyDescent="0.3">
      <c r="B18" s="154" t="s">
        <v>101</v>
      </c>
      <c r="C18" s="24">
        <v>98</v>
      </c>
      <c r="D18" s="24">
        <v>70</v>
      </c>
      <c r="E18" s="24">
        <v>95</v>
      </c>
      <c r="F18" s="24">
        <v>40</v>
      </c>
      <c r="G18" s="24">
        <v>80</v>
      </c>
      <c r="H18" s="24">
        <v>58</v>
      </c>
      <c r="I18" s="24">
        <v>620</v>
      </c>
      <c r="J18" s="22">
        <v>1797</v>
      </c>
      <c r="K18" s="24">
        <v>232</v>
      </c>
      <c r="L18" s="24">
        <v>21</v>
      </c>
      <c r="M18" s="24">
        <v>18</v>
      </c>
      <c r="N18" s="24">
        <v>32</v>
      </c>
    </row>
    <row r="19" spans="2:14" x14ac:dyDescent="0.3">
      <c r="B19" s="154" t="s">
        <v>102</v>
      </c>
      <c r="C19" s="24">
        <v>-70</v>
      </c>
      <c r="D19" s="24">
        <v>-304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</row>
    <row r="20" spans="2:14" x14ac:dyDescent="0.3">
      <c r="B20" s="154" t="s">
        <v>103</v>
      </c>
      <c r="C20" s="24">
        <v>-4</v>
      </c>
      <c r="D20" s="24">
        <v>-9</v>
      </c>
      <c r="E20" s="24">
        <v>0</v>
      </c>
      <c r="F20" s="24">
        <v>0</v>
      </c>
      <c r="G20" s="24">
        <v>-160</v>
      </c>
      <c r="H20" s="24">
        <v>0</v>
      </c>
      <c r="I20" s="24">
        <v>-107</v>
      </c>
      <c r="J20" s="24">
        <v>-4</v>
      </c>
      <c r="K20" s="24">
        <v>-9</v>
      </c>
      <c r="L20" s="24">
        <v>-606</v>
      </c>
      <c r="M20" s="24">
        <v>-10</v>
      </c>
      <c r="N20" s="24">
        <v>0</v>
      </c>
    </row>
    <row r="21" spans="2:14" x14ac:dyDescent="0.3">
      <c r="B21" s="154" t="s">
        <v>104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14</v>
      </c>
      <c r="K21" s="24">
        <v>533</v>
      </c>
      <c r="L21" s="24">
        <v>0</v>
      </c>
      <c r="M21" s="24">
        <v>0</v>
      </c>
      <c r="N21" s="24">
        <v>0</v>
      </c>
    </row>
    <row r="22" spans="2:14" x14ac:dyDescent="0.3">
      <c r="B22" s="154" t="s">
        <v>105</v>
      </c>
      <c r="C22" s="24">
        <v>2</v>
      </c>
      <c r="D22" s="24">
        <v>0</v>
      </c>
      <c r="E22" s="24">
        <v>0</v>
      </c>
      <c r="F22" s="24">
        <v>-185</v>
      </c>
      <c r="G22" s="24">
        <v>0</v>
      </c>
      <c r="H22" s="24">
        <v>-111</v>
      </c>
      <c r="I22" s="24">
        <v>0</v>
      </c>
      <c r="J22" s="24">
        <v>0</v>
      </c>
      <c r="K22" s="24">
        <v>-8</v>
      </c>
      <c r="L22" s="24">
        <v>-27</v>
      </c>
      <c r="M22" s="24">
        <v>0</v>
      </c>
      <c r="N22" s="24">
        <v>-98</v>
      </c>
    </row>
    <row r="23" spans="2:14" x14ac:dyDescent="0.3">
      <c r="B23" s="154" t="s">
        <v>106</v>
      </c>
      <c r="C23" s="24">
        <v>5</v>
      </c>
      <c r="D23" s="24">
        <v>-3</v>
      </c>
      <c r="E23" s="24">
        <v>45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</row>
    <row r="24" spans="2:14" x14ac:dyDescent="0.3">
      <c r="B24" s="154" t="s">
        <v>107</v>
      </c>
      <c r="C24" s="24">
        <v>884</v>
      </c>
      <c r="D24" s="24">
        <v>-129</v>
      </c>
      <c r="E24" s="22">
        <v>-5103</v>
      </c>
      <c r="F24" s="22">
        <v>-1149</v>
      </c>
      <c r="G24" s="24">
        <v>456</v>
      </c>
      <c r="H24" s="22">
        <v>-1289</v>
      </c>
      <c r="I24" s="22">
        <v>-26663</v>
      </c>
      <c r="J24" s="22">
        <v>5360</v>
      </c>
      <c r="K24" s="22">
        <v>7335</v>
      </c>
      <c r="L24" s="22">
        <v>-2659</v>
      </c>
      <c r="M24" s="22">
        <v>1051</v>
      </c>
      <c r="N24" s="22">
        <v>12813</v>
      </c>
    </row>
    <row r="25" spans="2:14" x14ac:dyDescent="0.3">
      <c r="B25" s="152" t="s">
        <v>119</v>
      </c>
      <c r="C25" s="23">
        <v>-1401</v>
      </c>
      <c r="D25" s="23">
        <v>6567</v>
      </c>
      <c r="E25" s="23">
        <v>-1692</v>
      </c>
      <c r="F25" s="23">
        <v>-3883</v>
      </c>
      <c r="G25" s="23">
        <v>5201</v>
      </c>
      <c r="H25" s="23">
        <v>-3795</v>
      </c>
      <c r="I25" s="23">
        <v>6205</v>
      </c>
      <c r="J25" s="23">
        <v>2012</v>
      </c>
      <c r="K25" s="23">
        <v>8830</v>
      </c>
      <c r="L25" s="23">
        <v>3390</v>
      </c>
      <c r="M25" s="23">
        <v>9904</v>
      </c>
      <c r="N25" s="23">
        <v>-3380</v>
      </c>
    </row>
    <row r="26" spans="2:14" x14ac:dyDescent="0.3">
      <c r="B26" s="154" t="s">
        <v>108</v>
      </c>
      <c r="C26" s="22">
        <v>3258</v>
      </c>
      <c r="D26" s="24">
        <v>139</v>
      </c>
      <c r="E26" s="24">
        <v>1</v>
      </c>
      <c r="F26" s="24">
        <v>0</v>
      </c>
      <c r="G26" s="24">
        <v>0</v>
      </c>
      <c r="H26" s="22">
        <v>7433</v>
      </c>
      <c r="I26" s="24">
        <v>5</v>
      </c>
      <c r="J26" s="24">
        <v>0</v>
      </c>
      <c r="K26" s="24">
        <v>0</v>
      </c>
      <c r="L26" s="22">
        <v>3889</v>
      </c>
      <c r="M26" s="22">
        <v>2603</v>
      </c>
      <c r="N26" s="24">
        <v>19</v>
      </c>
    </row>
    <row r="27" spans="2:14" x14ac:dyDescent="0.3">
      <c r="B27" s="154" t="s">
        <v>109</v>
      </c>
      <c r="C27" s="24">
        <v>0</v>
      </c>
      <c r="D27" s="24">
        <v>0</v>
      </c>
      <c r="E27" s="24">
        <v>-97</v>
      </c>
      <c r="F27" s="24">
        <v>-658</v>
      </c>
      <c r="G27" s="24">
        <v>-744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</row>
    <row r="28" spans="2:14" x14ac:dyDescent="0.3">
      <c r="B28" s="154" t="s">
        <v>110</v>
      </c>
      <c r="C28" s="22">
        <v>15530</v>
      </c>
      <c r="D28" s="22">
        <v>27462</v>
      </c>
      <c r="E28" s="22">
        <v>27863</v>
      </c>
      <c r="F28" s="22">
        <v>33258</v>
      </c>
      <c r="G28" s="22">
        <v>36363</v>
      </c>
      <c r="H28" s="22">
        <v>19519</v>
      </c>
      <c r="I28" s="22">
        <v>33390</v>
      </c>
      <c r="J28" s="22">
        <v>37482</v>
      </c>
      <c r="K28" s="22">
        <v>51128</v>
      </c>
      <c r="L28" s="22">
        <v>38297</v>
      </c>
      <c r="M28" s="22">
        <v>46641</v>
      </c>
      <c r="N28" s="22">
        <v>46578</v>
      </c>
    </row>
    <row r="29" spans="2:14" x14ac:dyDescent="0.3">
      <c r="B29" s="154" t="s">
        <v>111</v>
      </c>
      <c r="C29" s="22">
        <v>-16641</v>
      </c>
      <c r="D29" s="22">
        <v>-15010</v>
      </c>
      <c r="E29" s="22">
        <v>-20395</v>
      </c>
      <c r="F29" s="22">
        <v>-29141</v>
      </c>
      <c r="G29" s="22">
        <v>-23332</v>
      </c>
      <c r="H29" s="22">
        <v>-24924</v>
      </c>
      <c r="I29" s="22">
        <v>-21732</v>
      </c>
      <c r="J29" s="22">
        <v>-29964</v>
      </c>
      <c r="K29" s="22">
        <v>-35198</v>
      </c>
      <c r="L29" s="22">
        <v>-29847</v>
      </c>
      <c r="M29" s="22">
        <v>-29709</v>
      </c>
      <c r="N29" s="22">
        <v>-42816</v>
      </c>
    </row>
    <row r="30" spans="2:14" x14ac:dyDescent="0.3">
      <c r="B30" s="154" t="s">
        <v>112</v>
      </c>
      <c r="C30" s="24">
        <v>339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</row>
    <row r="31" spans="2:14" x14ac:dyDescent="0.3">
      <c r="B31" s="154" t="s">
        <v>113</v>
      </c>
      <c r="C31" s="22">
        <v>-2469</v>
      </c>
      <c r="D31" s="22">
        <v>-3374</v>
      </c>
      <c r="E31" s="22">
        <v>-4666</v>
      </c>
      <c r="F31" s="22">
        <v>-6171</v>
      </c>
      <c r="G31" s="22">
        <v>-6307</v>
      </c>
      <c r="H31" s="22">
        <v>-5716</v>
      </c>
      <c r="I31" s="22">
        <v>-5336</v>
      </c>
      <c r="J31" s="22">
        <v>-5411</v>
      </c>
      <c r="K31" s="22">
        <v>-7005</v>
      </c>
      <c r="L31" s="22">
        <v>-7518</v>
      </c>
      <c r="M31" s="22">
        <v>-8123</v>
      </c>
      <c r="N31" s="22">
        <v>-9251</v>
      </c>
    </row>
    <row r="32" spans="2:14" x14ac:dyDescent="0.3">
      <c r="B32" s="154" t="s">
        <v>114</v>
      </c>
      <c r="C32" s="22">
        <v>-1020</v>
      </c>
      <c r="D32" s="22">
        <v>-1503</v>
      </c>
      <c r="E32" s="22">
        <v>-1551</v>
      </c>
      <c r="F32" s="24">
        <v>-722</v>
      </c>
      <c r="G32" s="24">
        <v>-720</v>
      </c>
      <c r="H32" s="24">
        <v>-108</v>
      </c>
      <c r="I32" s="24">
        <v>-121</v>
      </c>
      <c r="J32" s="24">
        <v>-96</v>
      </c>
      <c r="K32" s="24">
        <v>-95</v>
      </c>
      <c r="L32" s="24">
        <v>-57</v>
      </c>
      <c r="M32" s="24">
        <v>-30</v>
      </c>
      <c r="N32" s="24">
        <v>-100</v>
      </c>
    </row>
    <row r="33" spans="2:14" x14ac:dyDescent="0.3">
      <c r="B33" s="154" t="s">
        <v>115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2">
        <v>-1346</v>
      </c>
      <c r="M33" s="22">
        <v>-1477</v>
      </c>
      <c r="N33" s="22">
        <v>-1559</v>
      </c>
    </row>
    <row r="34" spans="2:14" x14ac:dyDescent="0.3">
      <c r="B34" s="154" t="s">
        <v>116</v>
      </c>
      <c r="C34" s="24">
        <v>-399</v>
      </c>
      <c r="D34" s="22">
        <v>-1147</v>
      </c>
      <c r="E34" s="22">
        <v>-2849</v>
      </c>
      <c r="F34" s="24">
        <v>-450</v>
      </c>
      <c r="G34" s="24">
        <v>-57</v>
      </c>
      <c r="H34" s="24">
        <v>0</v>
      </c>
      <c r="I34" s="24">
        <v>0</v>
      </c>
      <c r="J34" s="24">
        <v>0</v>
      </c>
      <c r="K34" s="24">
        <v>0</v>
      </c>
      <c r="L34" s="24">
        <v>-29</v>
      </c>
      <c r="M34" s="24">
        <v>0</v>
      </c>
      <c r="N34" s="22">
        <v>3750</v>
      </c>
    </row>
    <row r="35" spans="2:14" x14ac:dyDescent="0.3">
      <c r="B35" s="153" t="s">
        <v>49</v>
      </c>
      <c r="C35" s="23">
        <v>2815</v>
      </c>
      <c r="D35" s="23">
        <v>5488</v>
      </c>
      <c r="E35" s="23">
        <v>-2499</v>
      </c>
      <c r="F35" s="23">
        <v>4277</v>
      </c>
      <c r="G35" s="23">
        <v>4500</v>
      </c>
      <c r="H35" s="23">
        <v>-2589</v>
      </c>
      <c r="I35" s="23">
        <v>-3167</v>
      </c>
      <c r="J35" s="25">
        <v>730</v>
      </c>
      <c r="K35" s="23">
        <v>6843</v>
      </c>
      <c r="L35" s="23">
        <v>-3092</v>
      </c>
      <c r="M35" s="23">
        <v>13232</v>
      </c>
      <c r="N35" s="23">
        <v>6459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Financials &gt;</vt:lpstr>
      <vt:lpstr>Data sheet Tata Motors</vt:lpstr>
      <vt:lpstr>Historical FS</vt:lpstr>
      <vt:lpstr>Ratio Analysis</vt:lpstr>
      <vt:lpstr>Common Size Statement </vt:lpstr>
      <vt:lpstr>Ta-Mo Forcasting</vt:lpstr>
      <vt:lpstr>Cashflow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Dandu Murali</dc:creator>
  <cp:lastModifiedBy>Dandu Murali</cp:lastModifiedBy>
  <cp:lastPrinted>2023-05-31T11:15:42Z</cp:lastPrinted>
  <dcterms:created xsi:type="dcterms:W3CDTF">2023-04-05T12:54:22Z</dcterms:created>
  <dcterms:modified xsi:type="dcterms:W3CDTF">2023-07-05T18:31:28Z</dcterms:modified>
</cp:coreProperties>
</file>