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C:\Users\danhu\Documents\Data\Maven\Excel\Advanced Excel Dashboard Design\"/>
    </mc:Choice>
  </mc:AlternateContent>
  <xr:revisionPtr revIDLastSave="0" documentId="13_ncr:1_{55A235BA-EE6A-4E2F-A152-F0D1FC84E25B}" xr6:coauthVersionLast="47" xr6:coauthVersionMax="47" xr10:uidLastSave="{00000000-0000-0000-0000-000000000000}"/>
  <bookViews>
    <workbookView xWindow="19110" yWindow="-90" windowWidth="38580" windowHeight="21060" xr2:uid="{EA944FB1-DE3F-40F9-BBAA-0980B1568DEE}"/>
  </bookViews>
  <sheets>
    <sheet name="Dashboard" sheetId="23" r:id="rId1"/>
    <sheet name="Data" sheetId="16" r:id="rId2"/>
    <sheet name="DataPrep" sheetId="22" state="hidden" r:id="rId3"/>
    <sheet name="New Data (Aug 2021)" sheetId="21" r:id="rId4"/>
    <sheet name="New Data (Sep 2021)" sheetId="18" r:id="rId5"/>
  </sheets>
  <definedNames>
    <definedName name="_xlnm._FilterDatabase" localSheetId="1" hidden="1">Data!$A$1:$J$4795</definedName>
    <definedName name="CurMonth">DataPrep!$B$9</definedName>
    <definedName name="CurYear">DataPrep!$B$8</definedName>
    <definedName name="PMYear">DataPrep!$B$12</definedName>
    <definedName name="PrevMonth">DataPrep!$B$11</definedName>
    <definedName name="PrevYear">DataPrep!$B$10</definedName>
    <definedName name="Region">DataPrep!$B$3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I4" i="22" l="1"/>
  <c r="I5" i="22"/>
  <c r="I6" i="22"/>
  <c r="I7" i="22"/>
  <c r="I8" i="22"/>
  <c r="I9" i="22"/>
  <c r="I10" i="22"/>
  <c r="I11" i="22"/>
  <c r="I12" i="22"/>
  <c r="I13" i="22"/>
  <c r="I14" i="22"/>
  <c r="I3" i="22"/>
  <c r="B8" i="22"/>
  <c r="B9" i="22" s="1"/>
  <c r="B13" i="22" s="1"/>
  <c r="F6" i="23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N7" i="22" l="1"/>
  <c r="K4" i="22"/>
  <c r="K5" i="22"/>
  <c r="K6" i="22"/>
  <c r="K14" i="22"/>
  <c r="K7" i="22"/>
  <c r="K3" i="22"/>
  <c r="K8" i="22"/>
  <c r="K12" i="22"/>
  <c r="K13" i="22"/>
  <c r="AB33" i="22"/>
  <c r="AB29" i="22"/>
  <c r="AB22" i="22"/>
  <c r="AB23" i="22"/>
  <c r="AB36" i="22"/>
  <c r="AB25" i="22"/>
  <c r="AB30" i="22"/>
  <c r="AB31" i="22"/>
  <c r="AB16" i="22"/>
  <c r="AB21" i="22"/>
  <c r="AB14" i="22"/>
  <c r="AB15" i="22"/>
  <c r="AB34" i="22"/>
  <c r="AB35" i="22"/>
  <c r="AB28" i="22"/>
  <c r="AB24" i="22"/>
  <c r="AB3" i="22"/>
  <c r="AB10" i="22"/>
  <c r="AB11" i="22"/>
  <c r="AB4" i="22"/>
  <c r="AB32" i="22"/>
  <c r="AB9" i="22"/>
  <c r="AB5" i="22"/>
  <c r="AB18" i="22"/>
  <c r="AB19" i="22"/>
  <c r="AB12" i="22"/>
  <c r="AB17" i="22"/>
  <c r="AB13" i="22"/>
  <c r="AB6" i="22"/>
  <c r="AB7" i="22"/>
  <c r="AB26" i="22"/>
  <c r="AB27" i="22"/>
  <c r="AB20" i="22"/>
  <c r="AB8" i="22"/>
  <c r="J3" i="22"/>
  <c r="J7" i="22"/>
  <c r="N10" i="22"/>
  <c r="J14" i="22"/>
  <c r="J6" i="22"/>
  <c r="N12" i="22"/>
  <c r="J13" i="22"/>
  <c r="J5" i="22"/>
  <c r="N11" i="22"/>
  <c r="J12" i="22"/>
  <c r="J4" i="22"/>
  <c r="N6" i="22"/>
  <c r="J11" i="22"/>
  <c r="K11" i="22" s="1"/>
  <c r="N4" i="22"/>
  <c r="N9" i="22"/>
  <c r="J10" i="22"/>
  <c r="K10" i="22" s="1"/>
  <c r="N8" i="22"/>
  <c r="N3" i="22"/>
  <c r="J9" i="22"/>
  <c r="K9" i="22" s="1"/>
  <c r="N5" i="22"/>
  <c r="J8" i="22"/>
  <c r="B12" i="22"/>
  <c r="E2" i="22"/>
  <c r="B11" i="22"/>
  <c r="B10" i="22"/>
  <c r="E3" i="22" s="1"/>
  <c r="AY6" i="16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AC7" i="22" l="1"/>
  <c r="AD7" i="22" s="1"/>
  <c r="AC5" i="22"/>
  <c r="AD5" i="22" s="1"/>
  <c r="AC3" i="22"/>
  <c r="AD3" i="22" s="1"/>
  <c r="AC36" i="22"/>
  <c r="AD36" i="22" s="1"/>
  <c r="AC35" i="22"/>
  <c r="AD35" i="22" s="1"/>
  <c r="AC29" i="22"/>
  <c r="AD29" i="22" s="1"/>
  <c r="AC28" i="22"/>
  <c r="AD28" i="22" s="1"/>
  <c r="AC32" i="22"/>
  <c r="AD32" i="22" s="1"/>
  <c r="AC15" i="22"/>
  <c r="AD15" i="22" s="1"/>
  <c r="AC27" i="22"/>
  <c r="AD27" i="22" s="1"/>
  <c r="AC34" i="22"/>
  <c r="AD34" i="22" s="1"/>
  <c r="AC33" i="22"/>
  <c r="AD33" i="22" s="1"/>
  <c r="AC30" i="22"/>
  <c r="AD30" i="22" s="1"/>
  <c r="AC21" i="22"/>
  <c r="AD21" i="22" s="1"/>
  <c r="AC20" i="22"/>
  <c r="AD20" i="22" s="1"/>
  <c r="AC24" i="22"/>
  <c r="AD24" i="22" s="1"/>
  <c r="AC14" i="22"/>
  <c r="AD14" i="22" s="1"/>
  <c r="AC11" i="22"/>
  <c r="AD11" i="22" s="1"/>
  <c r="AC18" i="22"/>
  <c r="AD18" i="22" s="1"/>
  <c r="AC17" i="22"/>
  <c r="AD17" i="22" s="1"/>
  <c r="AC4" i="22"/>
  <c r="AD4" i="22" s="1"/>
  <c r="AC8" i="22"/>
  <c r="AD8" i="22" s="1"/>
  <c r="AC31" i="22"/>
  <c r="AD31" i="22" s="1"/>
  <c r="AC19" i="22"/>
  <c r="AD19" i="22" s="1"/>
  <c r="AC26" i="22"/>
  <c r="AD26" i="22" s="1"/>
  <c r="AC25" i="22"/>
  <c r="AD25" i="22" s="1"/>
  <c r="AC22" i="22"/>
  <c r="AD22" i="22" s="1"/>
  <c r="AC13" i="22"/>
  <c r="AD13" i="22" s="1"/>
  <c r="AC12" i="22"/>
  <c r="AD12" i="22" s="1"/>
  <c r="AC16" i="22"/>
  <c r="AD16" i="22" s="1"/>
  <c r="AC6" i="22"/>
  <c r="AD6" i="22" s="1"/>
  <c r="AC10" i="22"/>
  <c r="AD10" i="22" s="1"/>
  <c r="AC9" i="22"/>
  <c r="AD9" i="22" s="1"/>
  <c r="AC23" i="22"/>
  <c r="AD23" i="22" s="1"/>
  <c r="Q9" i="22"/>
  <c r="Q4" i="22"/>
  <c r="Q12" i="22"/>
  <c r="Q5" i="22"/>
  <c r="Q6" i="22"/>
  <c r="Q10" i="22"/>
  <c r="Q3" i="22"/>
  <c r="T3" i="22" s="1"/>
  <c r="U3" i="22" s="1"/>
  <c r="Q8" i="22"/>
  <c r="Q11" i="22"/>
  <c r="Q7" i="22"/>
  <c r="E4" i="22"/>
  <c r="E6" i="22" s="1"/>
  <c r="O3" i="22"/>
  <c r="P3" i="22" s="1"/>
  <c r="O8" i="22"/>
  <c r="P8" i="22" s="1"/>
  <c r="O9" i="22"/>
  <c r="P9" i="22" s="1"/>
  <c r="O4" i="22"/>
  <c r="P4" i="22" s="1"/>
  <c r="O6" i="22"/>
  <c r="P6" i="22" s="1"/>
  <c r="O11" i="22"/>
  <c r="P11" i="22" s="1"/>
  <c r="O12" i="22"/>
  <c r="P12" i="22" s="1"/>
  <c r="O10" i="22"/>
  <c r="P10" i="22" s="1"/>
  <c r="O7" i="22"/>
  <c r="P7" i="22" s="1"/>
  <c r="O5" i="22"/>
  <c r="P5" i="22" s="1"/>
  <c r="E5" i="22"/>
  <c r="X3" i="22" l="1"/>
  <c r="Y3" i="22"/>
  <c r="AF27" i="22"/>
  <c r="AF31" i="22"/>
  <c r="AE31" i="22"/>
  <c r="AE12" i="22"/>
  <c r="AE4" i="22"/>
  <c r="AF30" i="22"/>
  <c r="AE30" i="22"/>
  <c r="AF35" i="22"/>
  <c r="AE6" i="22"/>
  <c r="AF6" i="22"/>
  <c r="AF13" i="22"/>
  <c r="AE13" i="22"/>
  <c r="AF33" i="22"/>
  <c r="AE36" i="22"/>
  <c r="AF25" i="22"/>
  <c r="AE11" i="22"/>
  <c r="AF11" i="22"/>
  <c r="AE5" i="22"/>
  <c r="AF5" i="22"/>
  <c r="AE18" i="22"/>
  <c r="AF18" i="22"/>
  <c r="AE34" i="22"/>
  <c r="AF23" i="22"/>
  <c r="AF26" i="22"/>
  <c r="AE26" i="22"/>
  <c r="AF14" i="22"/>
  <c r="AE15" i="22"/>
  <c r="AF7" i="22"/>
  <c r="AF22" i="22"/>
  <c r="AE22" i="22"/>
  <c r="AF29" i="22"/>
  <c r="AF9" i="22"/>
  <c r="AE24" i="22"/>
  <c r="AF24" i="22"/>
  <c r="AE28" i="22"/>
  <c r="AE33" i="22"/>
  <c r="AE29" i="22"/>
  <c r="AE17" i="22"/>
  <c r="AF15" i="22"/>
  <c r="AE16" i="22"/>
  <c r="AF17" i="22"/>
  <c r="AE35" i="22"/>
  <c r="AF3" i="22"/>
  <c r="AF16" i="22"/>
  <c r="AE21" i="22"/>
  <c r="AF21" i="22"/>
  <c r="AF4" i="22"/>
  <c r="AE23" i="22"/>
  <c r="AF20" i="22"/>
  <c r="AF34" i="22"/>
  <c r="AE10" i="22"/>
  <c r="AF10" i="22"/>
  <c r="AE27" i="22"/>
  <c r="AE20" i="22"/>
  <c r="AF19" i="22"/>
  <c r="AF32" i="22"/>
  <c r="AE32" i="22"/>
  <c r="AE9" i="22"/>
  <c r="AE25" i="22"/>
  <c r="AE19" i="22"/>
  <c r="AF12" i="22"/>
  <c r="AE7" i="22"/>
  <c r="AF36" i="22"/>
  <c r="AF8" i="22"/>
  <c r="AF28" i="22"/>
  <c r="AE14" i="22"/>
  <c r="AE3" i="22"/>
  <c r="AE8" i="22"/>
  <c r="V4" i="22"/>
  <c r="V12" i="22"/>
  <c r="W11" i="22"/>
  <c r="T8" i="22"/>
  <c r="U8" i="22" s="1"/>
  <c r="V5" i="22"/>
  <c r="W4" i="22"/>
  <c r="W12" i="22"/>
  <c r="T9" i="22"/>
  <c r="U9" i="22" s="1"/>
  <c r="V6" i="22"/>
  <c r="W5" i="22"/>
  <c r="V3" i="22"/>
  <c r="T10" i="22"/>
  <c r="U10" i="22" s="1"/>
  <c r="V7" i="22"/>
  <c r="W6" i="22"/>
  <c r="W3" i="22"/>
  <c r="T11" i="22"/>
  <c r="U11" i="22" s="1"/>
  <c r="V8" i="22"/>
  <c r="W7" i="22"/>
  <c r="T4" i="22"/>
  <c r="U4" i="22" s="1"/>
  <c r="T12" i="22"/>
  <c r="U12" i="22" s="1"/>
  <c r="V9" i="22"/>
  <c r="W8" i="22"/>
  <c r="T5" i="22"/>
  <c r="U5" i="22" s="1"/>
  <c r="V10" i="22"/>
  <c r="W9" i="22"/>
  <c r="T6" i="22"/>
  <c r="U6" i="22" s="1"/>
  <c r="V11" i="22"/>
  <c r="W10" i="22"/>
  <c r="T7" i="22"/>
  <c r="U7" i="22" s="1"/>
  <c r="X6" i="22" l="1"/>
  <c r="Y6" i="22"/>
  <c r="Y11" i="22"/>
  <c r="X11" i="22"/>
  <c r="Y9" i="22"/>
  <c r="X9" i="22"/>
  <c r="X5" i="22"/>
  <c r="Y5" i="22"/>
  <c r="X7" i="22"/>
  <c r="Y7" i="22"/>
  <c r="Y12" i="22"/>
  <c r="X12" i="22"/>
  <c r="X10" i="22"/>
  <c r="Y10" i="22"/>
  <c r="Y8" i="22"/>
  <c r="X8" i="22"/>
  <c r="AJ13" i="22"/>
  <c r="Q24" i="23" s="1"/>
  <c r="Y4" i="22"/>
  <c r="X4" i="22"/>
  <c r="AK12" i="22"/>
  <c r="R23" i="23" s="1"/>
  <c r="AJ12" i="22"/>
  <c r="Q23" i="23" s="1"/>
  <c r="AI12" i="22"/>
  <c r="P23" i="23" s="1"/>
  <c r="AK5" i="22"/>
  <c r="R15" i="23" s="1"/>
  <c r="AK15" i="22"/>
  <c r="R26" i="23" s="1"/>
  <c r="AJ7" i="22"/>
  <c r="Q17" i="23" s="1"/>
  <c r="AI7" i="22"/>
  <c r="P17" i="23" s="1"/>
  <c r="AJ15" i="22"/>
  <c r="Q26" i="23" s="1"/>
  <c r="AJ4" i="22"/>
  <c r="Q14" i="23" s="1"/>
  <c r="AI16" i="22"/>
  <c r="P27" i="23" s="1"/>
  <c r="AK7" i="22"/>
  <c r="R17" i="23" s="1"/>
  <c r="AJ3" i="22"/>
  <c r="Q13" i="23" s="1"/>
  <c r="AI13" i="22"/>
  <c r="P24" i="23" s="1"/>
  <c r="AI3" i="22"/>
  <c r="P13" i="23" s="1"/>
  <c r="AK14" i="22"/>
  <c r="R25" i="23" s="1"/>
  <c r="AK6" i="22"/>
  <c r="R16" i="23" s="1"/>
  <c r="AI4" i="22"/>
  <c r="P14" i="23" s="1"/>
  <c r="AI15" i="22"/>
  <c r="P26" i="23" s="1"/>
  <c r="AK16" i="22"/>
  <c r="R27" i="23" s="1"/>
  <c r="AI6" i="22"/>
  <c r="P16" i="23" s="1"/>
  <c r="AJ5" i="22"/>
  <c r="Q15" i="23" s="1"/>
  <c r="AJ6" i="22"/>
  <c r="Q16" i="23" s="1"/>
  <c r="AK3" i="22"/>
  <c r="R13" i="23" s="1"/>
  <c r="AJ14" i="22"/>
  <c r="Q25" i="23" s="1"/>
  <c r="AI14" i="22"/>
  <c r="P25" i="23" s="1"/>
  <c r="AJ16" i="22"/>
  <c r="Q27" i="23" s="1"/>
  <c r="AI5" i="22"/>
  <c r="P15" i="23" s="1"/>
  <c r="AK4" i="22"/>
  <c r="R14" i="23" s="1"/>
  <c r="AK13" i="22"/>
  <c r="R24" i="23" s="1"/>
  <c r="R28" i="23" l="1"/>
  <c r="R18" i="23"/>
</calcChain>
</file>

<file path=xl/sharedStrings.xml><?xml version="1.0" encoding="utf-8"?>
<sst xmlns="http://schemas.openxmlformats.org/spreadsheetml/2006/main" count="26863" uniqueCount="126">
  <si>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</si>
  <si>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</si>
  <si>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</si>
  <si>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</si>
  <si>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</si>
  <si>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</si>
  <si>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</si>
  <si>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</si>
  <si>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</si>
  <si>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</si>
  <si>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</si>
  <si>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</si>
  <si>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</si>
  <si>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</si>
  <si>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</si>
  <si>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</si>
  <si>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</si>
  <si>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</si>
  <si>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</si>
  <si>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</si>
  <si>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</si>
  <si>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</si>
  <si>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</si>
  <si>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</si>
  <si>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</si>
  <si>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</si>
  <si>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</si>
  <si>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</si>
  <si>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</si>
  <si>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</si>
  <si>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</si>
  <si>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</si>
  <si>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</si>
  <si>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</si>
  <si>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</si>
  <si>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</si>
  <si>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</si>
  <si>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</si>
  <si>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</si>
  <si>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</si>
  <si>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</si>
  <si>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</si>
  <si>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</si>
  <si>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</si>
  <si>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</si>
  <si>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</si>
  <si>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</si>
  <si>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</si>
  <si>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</si>
  <si>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</si>
  <si>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</si>
  <si>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</si>
  <si>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</si>
  <si>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</si>
  <si>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</si>
  <si>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</si>
  <si>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</si>
  <si>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</si>
  <si>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</si>
  <si>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</si>
  <si>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</si>
  <si>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</si>
  <si>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</si>
  <si>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</si>
  <si>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</si>
  <si>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</si>
  <si>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</si>
  <si>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</si>
  <si>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</si>
  <si>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</si>
  <si>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</si>
  <si>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</si>
  <si>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</si>
  <si>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</si>
  <si>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</si>
  <si>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</si>
  <si>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</si>
  <si>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</si>
  <si>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</si>
  <si>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</si>
  <si>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</si>
  <si>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</si>
  <si>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KPIs</t>
  </si>
  <si>
    <t>Total Revenue:</t>
  </si>
  <si>
    <t>PY Revenue:</t>
  </si>
  <si>
    <t>PM Revenue:</t>
  </si>
  <si>
    <t>PM Year:</t>
  </si>
  <si>
    <r>
      <t>YoY %</t>
    </r>
    <r>
      <rPr>
        <b/>
        <sz val="11"/>
        <color theme="1"/>
        <rFont val="Calibri"/>
        <family val="2"/>
      </rPr>
      <t>Δ:</t>
    </r>
  </si>
  <si>
    <r>
      <t>MoM %</t>
    </r>
    <r>
      <rPr>
        <b/>
        <sz val="11"/>
        <color theme="1"/>
        <rFont val="Calibri"/>
        <family val="2"/>
      </rPr>
      <t>Δ:</t>
    </r>
  </si>
  <si>
    <t>REVENUE TREND</t>
  </si>
  <si>
    <t>Month #</t>
  </si>
  <si>
    <t>J</t>
  </si>
  <si>
    <t>F</t>
  </si>
  <si>
    <t>M</t>
  </si>
  <si>
    <t>A</t>
  </si>
  <si>
    <t>S</t>
  </si>
  <si>
    <t>O</t>
  </si>
  <si>
    <t>N</t>
  </si>
  <si>
    <t>D</t>
  </si>
  <si>
    <t>STORE PERFORMANCE</t>
  </si>
  <si>
    <r>
      <t>MoM %</t>
    </r>
    <r>
      <rPr>
        <b/>
        <sz val="11"/>
        <color theme="1"/>
        <rFont val="Calibri"/>
        <family val="2"/>
      </rPr>
      <t>Δ</t>
    </r>
  </si>
  <si>
    <t>PM Revenue</t>
  </si>
  <si>
    <t>Rank</t>
  </si>
  <si>
    <t>STORE PERFORMANCE (SORTED)</t>
  </si>
  <si>
    <t>PRODUCT PERFORMANCE</t>
  </si>
  <si>
    <t>MoMΔ</t>
  </si>
  <si>
    <t>Rank (+)</t>
  </si>
  <si>
    <t>Rank (-)</t>
  </si>
  <si>
    <t>TOP PERFORMING PRODUCTS</t>
  </si>
  <si>
    <t>BOTTOM PERFORMING PRODUCTS</t>
  </si>
  <si>
    <t>MoM Revenue Δ</t>
  </si>
  <si>
    <t>How did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</si>
  <si>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</si>
  <si>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</si>
  <si>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</si>
  <si>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</si>
  <si>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</si>
  <si>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</si>
  <si>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</si>
  <si>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</si>
  <si>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</si>
  <si>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</si>
  <si>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</si>
  <si>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</si>
  <si>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Current Period: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</si>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</sst>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434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9" fontId="0" fillId="0" borderId="0" xfId="2" applyFont="1"/>
    <xf numFmtId="164" fontId="0" fillId="0" borderId="0" xfId="0" applyNumberFormat="1" applyAlignment="1">
      <alignment horizontal="left"/>
    </xf>
    <xf numFmtId="0" fontId="3" fillId="7" borderId="0" xfId="0" applyFont="1" applyFill="1" applyAlignment="1">
      <alignment horizontal="centerContinuous"/>
    </xf>
    <xf numFmtId="164" fontId="0" fillId="0" borderId="0" xfId="1" applyNumberFormat="1" applyFont="1"/>
    <xf numFmtId="0" fontId="1" fillId="9" borderId="0" xfId="0" applyFont="1" applyFill="1"/>
    <xf numFmtId="0" fontId="1" fillId="9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164" fontId="8" fillId="0" borderId="0" xfId="0" applyNumberFormat="1" applyFont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right"/>
    </xf>
    <xf numFmtId="0" fontId="9" fillId="0" borderId="0" xfId="0" applyFont="1"/>
    <xf numFmtId="165" fontId="10" fillId="8" borderId="0" xfId="2" applyNumberFormat="1" applyFont="1" applyFill="1" applyAlignment="1">
      <alignment horizontal="center"/>
    </xf>
    <xf numFmtId="164" fontId="11" fillId="0" borderId="2" xfId="0" applyNumberFormat="1" applyFont="1" applyBorder="1"/>
    <xf numFmtId="164" fontId="12" fillId="0" borderId="2" xfId="0" applyNumberFormat="1" applyFont="1" applyBorder="1"/>
    <xf numFmtId="0" fontId="7" fillId="0" borderId="0" xfId="0" applyFont="1"/>
    <xf numFmtId="0" fontId="1" fillId="6" borderId="0" xfId="0" applyFont="1" applyFill="1" applyAlignment="1">
      <alignment horizontal="right"/>
    </xf>
    <xf numFmtId="0" fontId="9" fillId="10" borderId="0" xfId="0" applyFont="1" applyFill="1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5">
    <dxf>
      <font>
        <color theme="9" tint="-0.24994659260841701"/>
      </font>
    </dxf>
    <dxf>
      <font>
        <color rgb="FFC0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4343"/>
      <color rgb="FFF98588"/>
      <color rgb="FFD3B5E9"/>
      <color rgb="FFFF6565"/>
      <color rgb="FFF98386"/>
      <color rgb="FFF9777A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98638004110572"/>
          <c:y val="6.6551253993313436E-2"/>
          <c:w val="0.78923941298141065"/>
          <c:h val="0.70672689634946417"/>
        </c:manualLayout>
      </c:layout>
      <c:lineChart>
        <c:grouping val="standard"/>
        <c:varyColors val="0"/>
        <c:ser>
          <c:idx val="0"/>
          <c:order val="0"/>
          <c:tx>
            <c:strRef>
              <c:f>DataPrep!$I$2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DataPrep!$H$3:$H$14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DataPrep!$I$3:$I$14</c:f>
              <c:numCache>
                <c:formatCode>"$"#,##0</c:formatCode>
                <c:ptCount val="12"/>
                <c:pt idx="0">
                  <c:v>31544.950000000004</c:v>
                </c:pt>
                <c:pt idx="1">
                  <c:v>31002.100000000009</c:v>
                </c:pt>
                <c:pt idx="2">
                  <c:v>40942.11</c:v>
                </c:pt>
                <c:pt idx="3">
                  <c:v>51274.420000000006</c:v>
                </c:pt>
                <c:pt idx="4">
                  <c:v>39052.43</c:v>
                </c:pt>
                <c:pt idx="5">
                  <c:v>47915.380000000005</c:v>
                </c:pt>
                <c:pt idx="6">
                  <c:v>41568.47</c:v>
                </c:pt>
                <c:pt idx="7">
                  <c:v>30149.900000000009</c:v>
                </c:pt>
                <c:pt idx="8">
                  <c:v>34844.409999999982</c:v>
                </c:pt>
                <c:pt idx="9">
                  <c:v>36809.12000000001</c:v>
                </c:pt>
                <c:pt idx="10">
                  <c:v>42365.650000000009</c:v>
                </c:pt>
                <c:pt idx="11">
                  <c:v>48216.44999999999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A03-4DBA-86A2-90EEF0B9795E}"/>
            </c:ext>
          </c:extLst>
        </c:ser>
        <c:ser>
          <c:idx val="1"/>
          <c:order val="1"/>
          <c:tx>
            <c:strRef>
              <c:f>DataPrep!$J$2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DataPrep!$H$3:$H$14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DataPrep!$J$3:$J$14</c:f>
              <c:numCache>
                <c:formatCode>"$"#,##0</c:formatCode>
                <c:ptCount val="12"/>
                <c:pt idx="0">
                  <c:v>45431.029999999984</c:v>
                </c:pt>
                <c:pt idx="1">
                  <c:v>42456.219999999987</c:v>
                </c:pt>
                <c:pt idx="2">
                  <c:v>58945.410000000011</c:v>
                </c:pt>
                <c:pt idx="3">
                  <c:v>66317.759999999995</c:v>
                </c:pt>
                <c:pt idx="4">
                  <c:v>63906.600000000006</c:v>
                </c:pt>
                <c:pt idx="5">
                  <c:v>61649.439999999981</c:v>
                </c:pt>
                <c:pt idx="6">
                  <c:v>69037.8</c:v>
                </c:pt>
                <c:pt idx="7">
                  <c:v>49838.54</c:v>
                </c:pt>
                <c:pt idx="8">
                  <c:v>50618.369999999995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A03-4DBA-86A2-90EEF0B9795E}"/>
            </c:ext>
          </c:extLst>
        </c:ser>
        <c:ser>
          <c:idx val="2"/>
          <c:order val="2"/>
          <c:tx>
            <c:strRef>
              <c:f>DataPrep!$K$2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95000"/>
                </a:schemeClr>
              </a:solidFill>
              <a:ln w="254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DataPrep!$H$3:$H$14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DataPrep!$K$3:$K$14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50618.369999999995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3-4DBA-86A2-90EEF0B97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04976"/>
        <c:axId val="161704016"/>
      </c:lineChart>
      <c:catAx>
        <c:axId val="16170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/>
                  <a:t>Month</a:t>
                </a:r>
              </a:p>
            </c:rich>
          </c:tx>
          <c:layout>
            <c:manualLayout>
              <c:xMode val="edge"/>
              <c:yMode val="edge"/>
              <c:x val="0.17547424008496496"/>
              <c:y val="0.87121715631849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4016"/>
        <c:crosses val="autoZero"/>
        <c:auto val="1"/>
        <c:lblAlgn val="ctr"/>
        <c:lblOffset val="100"/>
        <c:noMultiLvlLbl val="0"/>
      </c:catAx>
      <c:valAx>
        <c:axId val="16170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/>
                  <a:t>Revenue</a:t>
                </a:r>
              </a:p>
            </c:rich>
          </c:tx>
          <c:layout>
            <c:manualLayout>
              <c:xMode val="edge"/>
              <c:yMode val="edge"/>
              <c:x val="2.3614812483815032E-2"/>
              <c:y val="0.58498127026990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4976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3589050128899516"/>
          <c:y val="0.55184705950481172"/>
          <c:w val="0.31610270534941171"/>
          <c:h val="0.155173499864241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DataPrep!$V$2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DataPrep!$T$3:$T$12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DataPrep!$V$3:$V$12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6-45AB-B7BD-D6E9EDFA73EB}"/>
            </c:ext>
          </c:extLst>
        </c:ser>
        <c:ser>
          <c:idx val="1"/>
          <c:order val="1"/>
          <c:tx>
            <c:strRef>
              <c:f>DataPrep!$X$2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DataPrep!$T$3:$T$12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DataPrep!$X$3:$X$12</c:f>
              <c:numCache>
                <c:formatCode>"$"#,##0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13879.13</c:v>
                </c:pt>
                <c:pt idx="3">
                  <c:v>0</c:v>
                </c:pt>
                <c:pt idx="4">
                  <c:v>16255.230000000001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6-45AB-B7BD-D6E9EDFA7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39228096"/>
        <c:axId val="39228576"/>
      </c:barChart>
      <c:catAx>
        <c:axId val="3922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8576"/>
        <c:crosses val="autoZero"/>
        <c:auto val="1"/>
        <c:lblAlgn val="ctr"/>
        <c:lblOffset val="100"/>
        <c:noMultiLvlLbl val="0"/>
      </c:catAx>
      <c:valAx>
        <c:axId val="39228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Revenue</a:t>
                </a:r>
              </a:p>
            </c:rich>
          </c:tx>
          <c:layout>
            <c:manualLayout>
              <c:xMode val="edge"/>
              <c:yMode val="edge"/>
              <c:x val="0.20218021632488251"/>
              <c:y val="0.92406819874493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3922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DataPrep!$W$2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1"/>
          <c:cat>
            <c:strRef>
              <c:f>DataPrep!$T$3:$T$12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DataPrep!$W$3:$W$12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9D9D9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813-4A4E-87F1-C87DBBA14F10}"/>
            </c:ext>
          </c:extLst>
        </c:ser>
        <c:ser>
          <c:idx val="1"/>
          <c:order val="1"/>
          <c:tx>
            <c:strRef>
              <c:f>DataPrep!$Y$2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  <a:scene3d>
              <a:camera prst="orthographicFront"/>
              <a:lightRig rig="freezing" dir="t">
                <a:rot lat="0" lon="0" rev="12000000"/>
              </a:lightRig>
            </a:scene3d>
          </c:spPr>
          <c:invertIfNegative val="1"/>
          <c:dLbls>
            <c:numFmt formatCode="%#;\-#%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DataPrep!$T$3:$T$12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DataPrep!$Y$3:$Y$12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5.7257752439920262E-2</c:v>
                </c:pt>
                <c:pt idx="3">
                  <c:v>0</c:v>
                </c:pt>
                <c:pt idx="4">
                  <c:v>-0.13607835613264074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0.14465033810308014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  <a:scene3d>
                    <a:camera prst="orthographicFront"/>
                    <a:lightRig rig="freezing" dir="t">
                      <a:rot lat="0" lon="0" rev="12000000"/>
                    </a:lightRig>
                  </a:scene3d>
                </c14:spPr>
              </c14:invertSolidFillFmt>
            </c:ext>
            <c:ext xmlns:c16="http://schemas.microsoft.com/office/drawing/2014/chart" uri="{C3380CC4-5D6E-409C-BE32-E72D297353CC}">
              <c16:uniqueId val="{00000001-E813-4A4E-87F1-C87DBBA1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39228096"/>
        <c:axId val="39228576"/>
      </c:barChart>
      <c:catAx>
        <c:axId val="39228096"/>
        <c:scaling>
          <c:orientation val="minMax"/>
        </c:scaling>
        <c:delete val="1"/>
        <c:axPos val="l"/>
        <c:numFmt formatCode=";;;" sourceLinked="0"/>
        <c:majorTickMark val="none"/>
        <c:minorTickMark val="none"/>
        <c:tickLblPos val="low"/>
        <c:crossAx val="39228576"/>
        <c:crosses val="autoZero"/>
        <c:auto val="1"/>
        <c:lblAlgn val="ctr"/>
        <c:lblOffset val="100"/>
        <c:noMultiLvlLbl val="0"/>
      </c:catAx>
      <c:valAx>
        <c:axId val="39228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vs last month</a:t>
                </a:r>
              </a:p>
            </c:rich>
          </c:tx>
          <c:layout>
            <c:manualLayout>
              <c:xMode val="edge"/>
              <c:yMode val="edge"/>
              <c:x val="0.28967474579135039"/>
              <c:y val="0.92999996977475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3922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415290</xdr:colOff>
      <xdr:row>1</xdr:row>
      <xdr:rowOff>148590</xdr:rowOff>
    </xdr:from>
    <xdr:to>
      <xdr:col>10</xdr:col>
      <xdr:colOff>462671</xdr:colOff>
      <xdr:row>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EEBBBB-DFB4-F28F-5183-B1283CD664EF}"/>
            </a:ext>
          </a:extLst>
        </xdr:cNvPr>
        <xdr:cNvSpPr txBox="1"/>
      </xdr:nvSpPr>
      <xdr:spPr>
        <a:xfrm>
          <a:off x="403860" y="323850"/>
          <a:ext cx="7625080" cy="635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solidFill>
                <a:schemeClr val="tx1">
                  <a:lumMod val="75000"/>
                  <a:lumOff val="25000"/>
                </a:schemeClr>
              </a:solidFill>
            </a:rPr>
            <a:t>REGIONAL REVENUE DASHBOARD</a:t>
          </a:r>
        </a:p>
      </xdr:txBody>
    </xdr:sp>
    <xdr:clientData/>
  </xdr:twoCellAnchor>
  <xdr:twoCellAnchor>
    <xdr:from>
      <xdr:col>1</xdr:col>
      <xdr:colOff>3810</xdr:colOff>
      <xdr:row>6</xdr:row>
      <xdr:rowOff>120650</xdr:rowOff>
    </xdr:from>
    <xdr:to>
      <xdr:col>18</xdr:col>
      <xdr:colOff>385884</xdr:colOff>
      <xdr:row>6</xdr:row>
      <xdr:rowOff>120650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356E438-6D96-226B-4B90-575643ACE11E}"/>
            </a:ext>
          </a:extLst>
        </xdr:cNvPr>
        <xdr:cNvCxnSpPr/>
      </xdr:nvCxnSpPr>
      <xdr:spPr>
        <a:xfrm>
          <a:off x="423887" y="1444381"/>
          <a:ext cx="13756151" cy="0"/>
        </a:xfrm>
        <a:prstGeom prst="line">
          <a:avLst/>
        </a:prstGeom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379730</xdr:colOff>
      <xdr:row>8</xdr:row>
      <xdr:rowOff>40640</xdr:rowOff>
    </xdr:from>
    <xdr:to>
      <xdr:col>2</xdr:col>
      <xdr:colOff>1140460</xdr:colOff>
      <xdr:row>10</xdr:row>
      <xdr:rowOff>2540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5346431-6FC0-8FEB-42D9-74B7E674FC8A}"/>
            </a:ext>
          </a:extLst>
        </xdr:cNvPr>
        <xdr:cNvSpPr txBox="1"/>
      </xdr:nvSpPr>
      <xdr:spPr>
        <a:xfrm>
          <a:off x="379730" y="1723565"/>
          <a:ext cx="2337282" cy="328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 month's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...</a:t>
          </a:r>
        </a:p>
      </xdr:txBody>
    </xdr:sp>
    <xdr:clientData/>
  </xdr:twoCellAnchor>
  <xdr:twoCellAnchor editAs="absolute">
    <xdr:from>
      <xdr:col>0</xdr:col>
      <xdr:colOff>308044</xdr:colOff>
      <xdr:row>16</xdr:row>
      <xdr:rowOff>155517</xdr:rowOff>
    </xdr:from>
    <xdr:to>
      <xdr:col>1</xdr:col>
      <xdr:colOff>993663</xdr:colOff>
      <xdr:row>18</xdr:row>
      <xdr:rowOff>1159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45933B5-079A-1C21-3871-017EF0FEE52B}"/>
            </a:ext>
          </a:extLst>
        </xdr:cNvPr>
        <xdr:cNvSpPr txBox="1"/>
      </xdr:nvSpPr>
      <xdr:spPr>
        <a:xfrm>
          <a:off x="336619" y="3491318"/>
          <a:ext cx="1106033" cy="2611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>
              <a:solidFill>
                <a:schemeClr val="tx1">
                  <a:lumMod val="75000"/>
                  <a:lumOff val="25000"/>
                </a:schemeClr>
              </a:solidFill>
            </a:rPr>
            <a:t>vs last month</a:t>
          </a:r>
        </a:p>
      </xdr:txBody>
    </xdr:sp>
    <xdr:clientData/>
  </xdr:twoCellAnchor>
  <xdr:twoCellAnchor editAs="absolute">
    <xdr:from>
      <xdr:col>2</xdr:col>
      <xdr:colOff>77977</xdr:colOff>
      <xdr:row>16</xdr:row>
      <xdr:rowOff>155517</xdr:rowOff>
    </xdr:from>
    <xdr:to>
      <xdr:col>2</xdr:col>
      <xdr:colOff>1181607</xdr:colOff>
      <xdr:row>18</xdr:row>
      <xdr:rowOff>3639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E63060-4830-2B06-A39A-89C177A2031A}"/>
            </a:ext>
          </a:extLst>
        </xdr:cNvPr>
        <xdr:cNvSpPr txBox="1"/>
      </xdr:nvSpPr>
      <xdr:spPr>
        <a:xfrm>
          <a:off x="1654529" y="3491318"/>
          <a:ext cx="1103630" cy="2586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>
              <a:solidFill>
                <a:schemeClr val="tx1">
                  <a:lumMod val="75000"/>
                  <a:lumOff val="25000"/>
                </a:schemeClr>
              </a:solidFill>
            </a:rPr>
            <a:t>vs last year</a:t>
          </a:r>
        </a:p>
      </xdr:txBody>
    </xdr:sp>
    <xdr:clientData/>
  </xdr:twoCellAnchor>
  <xdr:twoCellAnchor editAs="absolute">
    <xdr:from>
      <xdr:col>0</xdr:col>
      <xdr:colOff>339566</xdr:colOff>
      <xdr:row>18</xdr:row>
      <xdr:rowOff>117484</xdr:rowOff>
    </xdr:from>
    <xdr:to>
      <xdr:col>2</xdr:col>
      <xdr:colOff>1140027</xdr:colOff>
      <xdr:row>20</xdr:row>
      <xdr:rowOff>34869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5D145D1-70B1-C053-8A29-A45F13AAB75C}"/>
            </a:ext>
          </a:extLst>
        </xdr:cNvPr>
        <xdr:cNvSpPr txBox="1"/>
      </xdr:nvSpPr>
      <xdr:spPr>
        <a:xfrm>
          <a:off x="339566" y="3902097"/>
          <a:ext cx="2368123" cy="3346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...compared to </a:t>
          </a:r>
          <a:r>
            <a:rPr lang="en-US" sz="1600" b="1">
              <a:solidFill>
                <a:schemeClr val="accent4">
                  <a:lumMod val="60000"/>
                  <a:lumOff val="40000"/>
                </a:schemeClr>
              </a:solidFill>
            </a:rPr>
            <a:t>last year</a:t>
          </a:r>
        </a:p>
      </xdr:txBody>
    </xdr:sp>
    <xdr:clientData/>
  </xdr:twoCellAnchor>
  <xdr:twoCellAnchor editAs="absolute">
    <xdr:from>
      <xdr:col>5</xdr:col>
      <xdr:colOff>389500</xdr:colOff>
      <xdr:row>8</xdr:row>
      <xdr:rowOff>17</xdr:rowOff>
    </xdr:from>
    <xdr:to>
      <xdr:col>11</xdr:col>
      <xdr:colOff>345539</xdr:colOff>
      <xdr:row>9</xdr:row>
      <xdr:rowOff>117936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AA949A4-DCD6-37F3-4FB5-0F504B621DAD}"/>
            </a:ext>
          </a:extLst>
        </xdr:cNvPr>
        <xdr:cNvSpPr txBox="1"/>
      </xdr:nvSpPr>
      <xdr:spPr>
        <a:xfrm>
          <a:off x="4928578" y="1694979"/>
          <a:ext cx="3618230" cy="3035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How stores performed by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region</a:t>
          </a:r>
        </a:p>
      </xdr:txBody>
    </xdr:sp>
    <xdr:clientData/>
  </xdr:twoCellAnchor>
  <xdr:twoCellAnchor editAs="absolute">
    <xdr:from>
      <xdr:col>15</xdr:col>
      <xdr:colOff>608776</xdr:colOff>
      <xdr:row>8</xdr:row>
      <xdr:rowOff>77712</xdr:rowOff>
    </xdr:from>
    <xdr:to>
      <xdr:col>17</xdr:col>
      <xdr:colOff>760402</xdr:colOff>
      <xdr:row>10</xdr:row>
      <xdr:rowOff>39196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69254F2-3D9F-A134-77D7-88BAFE70A7BE}"/>
            </a:ext>
          </a:extLst>
        </xdr:cNvPr>
        <xdr:cNvSpPr txBox="1"/>
      </xdr:nvSpPr>
      <xdr:spPr>
        <a:xfrm>
          <a:off x="10788314" y="1772674"/>
          <a:ext cx="2349703" cy="3327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Top Performing Products</a:t>
          </a:r>
        </a:p>
      </xdr:txBody>
    </xdr:sp>
    <xdr:clientData/>
  </xdr:twoCellAnchor>
  <xdr:twoCellAnchor editAs="absolute">
    <xdr:from>
      <xdr:col>15</xdr:col>
      <xdr:colOff>608776</xdr:colOff>
      <xdr:row>18</xdr:row>
      <xdr:rowOff>148599</xdr:rowOff>
    </xdr:from>
    <xdr:to>
      <xdr:col>17</xdr:col>
      <xdr:colOff>1043373</xdr:colOff>
      <xdr:row>20</xdr:row>
      <xdr:rowOff>88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D16B362-7A34-8A88-23B3-4722CD547485}"/>
            </a:ext>
          </a:extLst>
        </xdr:cNvPr>
        <xdr:cNvSpPr txBox="1"/>
      </xdr:nvSpPr>
      <xdr:spPr>
        <a:xfrm>
          <a:off x="10788314" y="3890214"/>
          <a:ext cx="2635214" cy="3008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Bottom Performing Products</a:t>
          </a:r>
        </a:p>
      </xdr:txBody>
    </xdr:sp>
    <xdr:clientData/>
  </xdr:twoCellAnchor>
  <xdr:twoCellAnchor editAs="absolute">
    <xdr:from>
      <xdr:col>0</xdr:col>
      <xdr:colOff>346557</xdr:colOff>
      <xdr:row>9</xdr:row>
      <xdr:rowOff>149794</xdr:rowOff>
    </xdr:from>
    <xdr:to>
      <xdr:col>2</xdr:col>
      <xdr:colOff>1140372</xdr:colOff>
      <xdr:row>14</xdr:row>
      <xdr:rowOff>118053</xdr:rowOff>
    </xdr:to>
    <xdr:sp macro="" textlink="DataPrep!$E$2">
      <xdr:nvSpPr>
        <xdr:cNvPr id="17" name="TextBox 16">
          <a:extLst>
            <a:ext uri="{FF2B5EF4-FFF2-40B4-BE49-F238E27FC236}">
              <a16:creationId xmlns:a16="http://schemas.microsoft.com/office/drawing/2014/main" id="{0FF41C55-352D-4047-B02C-9561ED9AA7A5}"/>
            </a:ext>
          </a:extLst>
        </xdr:cNvPr>
        <xdr:cNvSpPr txBox="1"/>
      </xdr:nvSpPr>
      <xdr:spPr>
        <a:xfrm>
          <a:off x="346557" y="2030371"/>
          <a:ext cx="2371546" cy="9305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6769F06-CC21-4C0A-8F2B-BDA9D0FEE0D1}" type="TxLink">
            <a:rPr lang="en-US" sz="48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$50,618</a:t>
          </a:fld>
          <a:endParaRPr lang="en-US" sz="9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1031415</xdr:colOff>
          <xdr:row>15</xdr:row>
          <xdr:rowOff>41497</xdr:rowOff>
        </xdr:from>
        <xdr:to>
          <xdr:col>2</xdr:col>
          <xdr:colOff>1374147</xdr:colOff>
          <xdr:row>16</xdr:row>
          <xdr:rowOff>187333</xdr:rowOff>
        </xdr:to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FC11C6BD-44CB-46BF-ADD9-108A58B6C05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taPrep!$E$5" spid="_x0000_s516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6909" y="3127397"/>
              <a:ext cx="1498870" cy="36716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193389</xdr:colOff>
          <xdr:row>15</xdr:row>
          <xdr:rowOff>41422</xdr:rowOff>
        </xdr:from>
        <xdr:to>
          <xdr:col>2</xdr:col>
          <xdr:colOff>2979</xdr:colOff>
          <xdr:row>16</xdr:row>
          <xdr:rowOff>187836</xdr:rowOff>
        </xdr:to>
        <xdr:pic>
          <xdr:nvPicPr>
            <xdr:cNvPr id="19" name="Picture 18">
              <a:extLst>
                <a:ext uri="{FF2B5EF4-FFF2-40B4-BE49-F238E27FC236}">
                  <a16:creationId xmlns:a16="http://schemas.microsoft.com/office/drawing/2014/main" id="{1D1BDE2A-0D40-47B4-AB21-BA41F8D0C20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taPrep!$E$6" spid="_x0000_s516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93389" y="3111500"/>
              <a:ext cx="1387321" cy="36856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absolute">
    <xdr:from>
      <xdr:col>1</xdr:col>
      <xdr:colOff>72521</xdr:colOff>
      <xdr:row>14</xdr:row>
      <xdr:rowOff>117856</xdr:rowOff>
    </xdr:from>
    <xdr:to>
      <xdr:col>2</xdr:col>
      <xdr:colOff>1028919</xdr:colOff>
      <xdr:row>14</xdr:row>
      <xdr:rowOff>117856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94C4D8A5-78C0-F6A4-7889-228724F2F43B}"/>
            </a:ext>
          </a:extLst>
        </xdr:cNvPr>
        <xdr:cNvCxnSpPr/>
      </xdr:nvCxnSpPr>
      <xdr:spPr>
        <a:xfrm>
          <a:off x="473885" y="2980909"/>
          <a:ext cx="2131586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1108185</xdr:colOff>
      <xdr:row>14</xdr:row>
      <xdr:rowOff>155233</xdr:rowOff>
    </xdr:from>
    <xdr:to>
      <xdr:col>1</xdr:col>
      <xdr:colOff>1108251</xdr:colOff>
      <xdr:row>18</xdr:row>
      <xdr:rowOff>151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C142C599-9B17-B09C-197A-66D71DB96E26}"/>
            </a:ext>
          </a:extLst>
        </xdr:cNvPr>
        <xdr:cNvCxnSpPr/>
      </xdr:nvCxnSpPr>
      <xdr:spPr>
        <a:xfrm>
          <a:off x="1538759" y="3040511"/>
          <a:ext cx="1839" cy="695741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117542</xdr:colOff>
      <xdr:row>21</xdr:row>
      <xdr:rowOff>0</xdr:rowOff>
    </xdr:from>
    <xdr:to>
      <xdr:col>2</xdr:col>
      <xdr:colOff>1588485</xdr:colOff>
      <xdr:row>32</xdr:row>
      <xdr:rowOff>67236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B41562A-F301-4858-89CA-DA12AF04A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492651</xdr:colOff>
      <xdr:row>10</xdr:row>
      <xdr:rowOff>41253</xdr:rowOff>
    </xdr:from>
    <xdr:to>
      <xdr:col>11</xdr:col>
      <xdr:colOff>120877</xdr:colOff>
      <xdr:row>30</xdr:row>
      <xdr:rowOff>155612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5887575-B7C6-4E2E-9DF2-6C674C50D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43636</xdr:colOff>
      <xdr:row>10</xdr:row>
      <xdr:rowOff>41252</xdr:rowOff>
    </xdr:from>
    <xdr:to>
      <xdr:col>13</xdr:col>
      <xdr:colOff>371100</xdr:colOff>
      <xdr:row>30</xdr:row>
      <xdr:rowOff>117100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B86B095-7C47-4D81-BE84-E8D22751F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1174714</xdr:colOff>
      <xdr:row>1</xdr:row>
      <xdr:rowOff>158788</xdr:rowOff>
    </xdr:from>
    <xdr:to>
      <xdr:col>18</xdr:col>
      <xdr:colOff>2549</xdr:colOff>
      <xdr:row>5</xdr:row>
      <xdr:rowOff>378443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C4E6C0B-9550-5589-1A1C-10A6DD64E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18596" y="338082"/>
          <a:ext cx="2426418" cy="92286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3093C9-6DF0-447A-89FD-D89BAA86F426}" name="Data" displayName="Data" ref="A1:J4795" totalsRowShown="0" headerRowDxfId="4">
  <autoFilter ref="A1:J4795" xr:uid="{5A3093C9-6DF0-447A-89FD-D89BAA86F426}"/>
  <tableColumns count="10">
    <tableColumn id="1" xr3:uid="{0996173F-96FB-44A5-97C1-F5F5F7B758B0}" name="Year"/>
    <tableColumn id="2" xr3:uid="{611ECD53-F7BF-42A4-94F0-2B20F24A5D16}" name="Month"/>
    <tableColumn id="3" xr3:uid="{3D86B53B-E000-4A3E-8A52-4A43904BE9FF}" name="Store Name"/>
    <tableColumn id="4" xr3:uid="{47936A69-458C-4F16-B11F-6753C79E937F}" name="Region"/>
    <tableColumn id="5" xr3:uid="{A71327CB-2AA0-4F33-8D06-9A3DA8009928}" name="Store Type"/>
    <tableColumn id="6" xr3:uid="{7291172C-BD28-4805-AADB-451CF25281D9}" name="Product Name"/>
    <tableColumn id="7" xr3:uid="{63DE07DD-3D01-45D1-8559-E5F5DC92C2DC}" name="Product Category"/>
    <tableColumn id="8" xr3:uid="{5D82761E-43F2-4E0D-BBBF-6FDCC3CC1562}" name="Units Sold"/>
    <tableColumn id="9" xr3:uid="{C464BC50-B7B9-4AE2-AE95-4DCF46CF1041}" name="Revenue" dataDxfId="3"/>
    <tableColumn id="10" xr3:uid="{85C3B2C4-1513-4943-8220-9F4177A6B632}" name="Profit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8BFA-2C9F-4A71-9BDB-4A8EEA8811AE}">
  <dimension ref="B6:R32"/>
  <sheetViews>
    <sheetView showGridLines="0" showRowColHeaders="0" tabSelected="1" zoomScale="130" zoomScaleNormal="130" workbookViewId="0">
      <selection activeCell="C6" sqref="C6"/>
    </sheetView>
  </sheetViews>
  <sheetFormatPr defaultRowHeight="14.4" x14ac:dyDescent="0.3"/>
  <cols>
    <col min="1" max="1" width="6.109375" customWidth="1"/>
    <col min="2" max="2" width="16.88671875" bestFit="1" customWidth="1"/>
    <col min="3" max="3" width="23.33203125" bestFit="1" customWidth="1"/>
    <col min="5" max="5" width="10.88671875" customWidth="1"/>
    <col min="15" max="15" width="2.109375" customWidth="1"/>
    <col min="16" max="16" width="21.6640625" customWidth="1"/>
    <col min="17" max="17" width="10.33203125" customWidth="1"/>
    <col min="18" max="18" width="20.33203125" customWidth="1"/>
  </cols>
  <sheetData>
    <row r="6" spans="2:18" ht="31.2" x14ac:dyDescent="0.6">
      <c r="B6" s="16" t="s">
        <v>111</v>
      </c>
      <c r="C6" s="27" t="s">
        <v>5</v>
      </c>
      <c r="D6" s="25" t="s">
        <v>125</v>
      </c>
      <c r="F6" s="21" t="str">
        <f>DataPrep!B13&amp;"?"</f>
        <v>September 2021?</v>
      </c>
    </row>
    <row r="11" spans="2:18" ht="7.8" customHeight="1" x14ac:dyDescent="0.3"/>
    <row r="12" spans="2:18" ht="17.399999999999999" customHeight="1" x14ac:dyDescent="0.3">
      <c r="P12" s="19" t="s">
        <v>74</v>
      </c>
      <c r="Q12" s="19" t="s">
        <v>46</v>
      </c>
      <c r="R12" s="20" t="s">
        <v>110</v>
      </c>
    </row>
    <row r="13" spans="2:18" ht="17.399999999999999" customHeight="1" x14ac:dyDescent="0.3">
      <c r="P13" s="17" t="str">
        <f>DataPrep!AI3</f>
        <v>Dinosaur Figures</v>
      </c>
      <c r="Q13" s="18">
        <f>DataPrep!AJ3</f>
        <v>2893.07</v>
      </c>
      <c r="R13" s="18">
        <f>DataPrep!AK3</f>
        <v>989.34000000000015</v>
      </c>
    </row>
    <row r="14" spans="2:18" ht="17.399999999999999" customHeight="1" x14ac:dyDescent="0.3">
      <c r="P14" s="17" t="str">
        <f>DataPrep!AI4</f>
        <v>Monopoly</v>
      </c>
      <c r="Q14" s="18">
        <f>DataPrep!AJ4</f>
        <v>899.55</v>
      </c>
      <c r="R14" s="18">
        <f>DataPrep!AK4</f>
        <v>739.63</v>
      </c>
    </row>
    <row r="15" spans="2:18" ht="17.399999999999999" customHeight="1" x14ac:dyDescent="0.3">
      <c r="P15" s="17" t="str">
        <f>DataPrep!AI5</f>
        <v>Magic Sand</v>
      </c>
      <c r="Q15" s="18">
        <f>DataPrep!AJ5</f>
        <v>4589.13</v>
      </c>
      <c r="R15" s="18">
        <f>DataPrep!AK5</f>
        <v>687.57000000000016</v>
      </c>
    </row>
    <row r="16" spans="2:18" ht="17.399999999999999" customHeight="1" x14ac:dyDescent="0.3">
      <c r="P16" s="17" t="str">
        <f>DataPrep!AI6</f>
        <v>Barrel O' Slime</v>
      </c>
      <c r="Q16" s="18">
        <f>DataPrep!AJ6</f>
        <v>1356.6</v>
      </c>
      <c r="R16" s="18">
        <f>DataPrep!AK6</f>
        <v>550.61999999999989</v>
      </c>
    </row>
    <row r="17" spans="16:18" ht="17.399999999999999" customHeight="1" x14ac:dyDescent="0.3">
      <c r="P17" s="17" t="str">
        <f>DataPrep!AI7</f>
        <v>Deck Of Cards</v>
      </c>
      <c r="Q17" s="18">
        <f>DataPrep!AJ7</f>
        <v>1901.28</v>
      </c>
      <c r="R17" s="18">
        <f>DataPrep!AK7</f>
        <v>426.38999999999987</v>
      </c>
    </row>
    <row r="18" spans="16:18" ht="17.399999999999999" customHeight="1" x14ac:dyDescent="0.3">
      <c r="P18" s="17"/>
      <c r="Q18" s="17"/>
      <c r="R18" s="23">
        <f>SUM(R13:R17)</f>
        <v>3393.55</v>
      </c>
    </row>
    <row r="19" spans="16:18" ht="17.399999999999999" customHeight="1" x14ac:dyDescent="0.3">
      <c r="P19" s="17"/>
      <c r="Q19" s="17"/>
      <c r="R19" s="17"/>
    </row>
    <row r="20" spans="16:18" ht="17.399999999999999" customHeight="1" x14ac:dyDescent="0.3">
      <c r="P20" s="17"/>
      <c r="Q20" s="17"/>
      <c r="R20" s="17"/>
    </row>
    <row r="21" spans="16:18" ht="6" customHeight="1" x14ac:dyDescent="0.3">
      <c r="P21" s="17"/>
      <c r="Q21" s="17"/>
      <c r="R21" s="17"/>
    </row>
    <row r="22" spans="16:18" ht="17.399999999999999" customHeight="1" x14ac:dyDescent="0.3">
      <c r="P22" s="19" t="s">
        <v>74</v>
      </c>
      <c r="Q22" s="19" t="s">
        <v>46</v>
      </c>
      <c r="R22" s="20" t="s">
        <v>110</v>
      </c>
    </row>
    <row r="23" spans="16:18" ht="17.399999999999999" customHeight="1" x14ac:dyDescent="0.3">
      <c r="P23" s="17" t="str">
        <f>DataPrep!AI12</f>
        <v>Rubik's Cube</v>
      </c>
      <c r="Q23" s="18">
        <f>DataPrep!AJ12</f>
        <v>639.67999999999984</v>
      </c>
      <c r="R23" s="18">
        <f>DataPrep!AK12</f>
        <v>-1359.3200000000002</v>
      </c>
    </row>
    <row r="24" spans="16:18" ht="17.399999999999999" customHeight="1" x14ac:dyDescent="0.3">
      <c r="P24" s="17" t="str">
        <f>DataPrep!AI13</f>
        <v>Lego Bricks</v>
      </c>
      <c r="Q24" s="18">
        <f>DataPrep!AJ13</f>
        <v>9317.67</v>
      </c>
      <c r="R24" s="18">
        <f>DataPrep!AK13</f>
        <v>-799.80000000000109</v>
      </c>
    </row>
    <row r="25" spans="16:18" ht="17.399999999999999" customHeight="1" x14ac:dyDescent="0.3">
      <c r="P25" s="17" t="str">
        <f>DataPrep!AI14</f>
        <v>Mr. Potatohead</v>
      </c>
      <c r="Q25" s="18">
        <f>DataPrep!AJ14</f>
        <v>459.53999999999996</v>
      </c>
      <c r="R25" s="18">
        <f>DataPrep!AK14</f>
        <v>-719.28</v>
      </c>
    </row>
    <row r="26" spans="16:18" ht="17.399999999999999" customHeight="1" x14ac:dyDescent="0.3">
      <c r="P26" s="17" t="str">
        <f>DataPrep!AI15</f>
        <v>Etch A Sketch</v>
      </c>
      <c r="Q26" s="18">
        <f>DataPrep!AJ15</f>
        <v>881.57999999999993</v>
      </c>
      <c r="R26" s="18">
        <f>DataPrep!AK15</f>
        <v>-524.75</v>
      </c>
    </row>
    <row r="27" spans="16:18" ht="17.399999999999999" customHeight="1" x14ac:dyDescent="0.3">
      <c r="P27" s="17" t="str">
        <f>DataPrep!AI16</f>
        <v>Glass Marbles</v>
      </c>
      <c r="Q27" s="18">
        <f>DataPrep!AJ16</f>
        <v>989.1</v>
      </c>
      <c r="R27" s="18">
        <f>DataPrep!AK16</f>
        <v>-516.53000000000009</v>
      </c>
    </row>
    <row r="28" spans="16:18" ht="17.399999999999999" customHeight="1" x14ac:dyDescent="0.3">
      <c r="P28" s="17"/>
      <c r="Q28" s="17"/>
      <c r="R28" s="24">
        <f>SUM(R23:R27)</f>
        <v>-3919.6800000000017</v>
      </c>
    </row>
    <row r="29" spans="16:18" ht="17.399999999999999" customHeight="1" x14ac:dyDescent="0.3">
      <c r="P29" s="17"/>
      <c r="Q29" s="17"/>
      <c r="R29" s="17"/>
    </row>
    <row r="30" spans="16:18" ht="17.399999999999999" customHeight="1" x14ac:dyDescent="0.3">
      <c r="P30" s="17"/>
      <c r="Q30" s="17"/>
      <c r="R30" s="17"/>
    </row>
    <row r="31" spans="16:18" ht="17.399999999999999" customHeight="1" x14ac:dyDescent="0.3">
      <c r="P31" s="17"/>
      <c r="Q31" s="17"/>
      <c r="R31" s="17"/>
    </row>
    <row r="32" spans="16:18" ht="17.399999999999999" customHeight="1" x14ac:dyDescent="0.3">
      <c r="P32" s="17"/>
      <c r="Q32" s="17"/>
      <c r="R32" s="17"/>
    </row>
  </sheetData>
  <sheetProtection sheet="1" objects="1" scenarios="1" selectLockedCells="1"/>
  <conditionalFormatting sqref="R13:R17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R23:R27">
    <cfRule type="colorScale" priority="1">
      <colorScale>
        <cfvo type="min"/>
        <cfvo type="max"/>
        <color rgb="FFF98588"/>
        <color theme="0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9BAB26-E9A4-49A7-9D01-B70F03A807F3}">
          <x14:formula1>
            <xm:f>DataPrep!$A$3:$A$5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topLeftCell="A4526" zoomScaleNormal="100" workbookViewId="0">
      <selection activeCell="P4557" sqref="P4557"/>
    </sheetView>
  </sheetViews>
  <sheetFormatPr defaultRowHeight="14.4" x14ac:dyDescent="0.3"/>
  <cols>
    <col min="1" max="1" width="7.109375" customWidth="1"/>
    <col min="2" max="2" width="9.109375" customWidth="1"/>
    <col min="3" max="3" width="14.33203125" customWidth="1"/>
    <col min="4" max="4" width="15" customWidth="1"/>
    <col min="5" max="5" width="16.33203125" customWidth="1"/>
    <col min="6" max="6" width="20.44140625" bestFit="1" customWidth="1"/>
    <col min="7" max="7" width="18.88671875" customWidth="1"/>
    <col min="8" max="8" width="12.109375" customWidth="1"/>
    <col min="9" max="9" width="11" customWidth="1"/>
    <col min="12" max="13" width="11.44140625" bestFit="1" customWidth="1"/>
    <col min="16" max="16" width="15.44140625" bestFit="1" customWidth="1"/>
    <col min="18" max="18" width="18.33203125" bestFit="1" customWidth="1"/>
    <col min="27" max="27" width="14.33203125" customWidth="1"/>
    <col min="28" max="28" width="11.44140625" customWidth="1"/>
    <col min="32" max="33" width="14.33203125" customWidth="1"/>
    <col min="34" max="34" width="11.44140625" customWidth="1"/>
    <col min="37" max="37" width="12.33203125" bestFit="1" customWidth="1"/>
    <col min="38" max="38" width="17.6640625" bestFit="1" customWidth="1"/>
    <col min="48" max="49" width="14.33203125" customWidth="1"/>
    <col min="50" max="50" width="17.44140625" bestFit="1" customWidth="1"/>
    <col min="51" max="51" width="11.44140625" customWidth="1"/>
  </cols>
  <sheetData>
    <row r="1" spans="1:51" x14ac:dyDescent="0.3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3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0</v>
      </c>
    </row>
    <row r="5" spans="1:51" x14ac:dyDescent="0.3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0</v>
      </c>
    </row>
    <row r="6" spans="1:51" x14ac:dyDescent="0.3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0</v>
      </c>
    </row>
    <row r="7" spans="1:51" x14ac:dyDescent="0.3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0</v>
      </c>
    </row>
    <row r="8" spans="1:51" x14ac:dyDescent="0.3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7339.2999999999993</v>
      </c>
    </row>
    <row r="9" spans="1:51" x14ac:dyDescent="0.3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369.76</v>
      </c>
    </row>
    <row r="10" spans="1:51" x14ac:dyDescent="0.3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712.64</v>
      </c>
    </row>
    <row r="11" spans="1:51" x14ac:dyDescent="0.3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3087.3799999999997</v>
      </c>
    </row>
    <row r="12" spans="1:51" x14ac:dyDescent="0.3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4746.1500000000005</v>
      </c>
    </row>
    <row r="13" spans="1:51" x14ac:dyDescent="0.3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0</v>
      </c>
    </row>
    <row r="14" spans="1:51" x14ac:dyDescent="0.3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0</v>
      </c>
    </row>
    <row r="15" spans="1:51" x14ac:dyDescent="0.3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0</v>
      </c>
    </row>
    <row r="16" spans="1:51" x14ac:dyDescent="0.3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0</v>
      </c>
    </row>
    <row r="17" spans="1:51" x14ac:dyDescent="0.3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0</v>
      </c>
    </row>
    <row r="18" spans="1:51" x14ac:dyDescent="0.3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4315.2000000000007</v>
      </c>
    </row>
    <row r="19" spans="1:51" x14ac:dyDescent="0.3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2035.05</v>
      </c>
    </row>
    <row r="20" spans="1:51" x14ac:dyDescent="0.3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1619.1799999999998</v>
      </c>
    </row>
    <row r="21" spans="1:51" x14ac:dyDescent="0.3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2586.08</v>
      </c>
    </row>
    <row r="22" spans="1:51" x14ac:dyDescent="0.3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3323.62</v>
      </c>
    </row>
    <row r="23" spans="1:51" x14ac:dyDescent="0.3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0</v>
      </c>
    </row>
    <row r="24" spans="1:51" x14ac:dyDescent="0.3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0</v>
      </c>
    </row>
    <row r="25" spans="1:51" x14ac:dyDescent="0.3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0</v>
      </c>
    </row>
    <row r="26" spans="1:51" x14ac:dyDescent="0.3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0</v>
      </c>
    </row>
    <row r="27" spans="1:51" x14ac:dyDescent="0.3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0</v>
      </c>
    </row>
    <row r="28" spans="1:51" x14ac:dyDescent="0.3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3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3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3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3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3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3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3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66" si="2">_xlfn.XLOOKUP(AW35,C:C,D:D)</f>
        <v>Chicago</v>
      </c>
      <c r="AW35" t="s">
        <v>54</v>
      </c>
      <c r="AX35" t="s">
        <v>21</v>
      </c>
      <c r="AY35" s="3">
        <f t="shared" ref="AY35:AY66" si="3">SUMIFS(I:I,D:D,_xlfn.SINGLE(Region),C:C,AW35,G:G,AX35,A:A,_xlfn.SINGLE(CurYear),B:B,_xlfn.SINGLE(CurMonth))</f>
        <v>0</v>
      </c>
    </row>
    <row r="36" spans="1:51" x14ac:dyDescent="0.3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3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3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3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3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3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3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3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3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3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3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3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3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7644.92</v>
      </c>
    </row>
    <row r="49" spans="1:51" x14ac:dyDescent="0.3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2198.61</v>
      </c>
    </row>
    <row r="50" spans="1:51" x14ac:dyDescent="0.3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3036.0899999999997</v>
      </c>
    </row>
    <row r="51" spans="1:51" x14ac:dyDescent="0.3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1791.69</v>
      </c>
    </row>
    <row r="52" spans="1:51" x14ac:dyDescent="0.3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5812.6999999999989</v>
      </c>
    </row>
    <row r="53" spans="1:51" x14ac:dyDescent="0.3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3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3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3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3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3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3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3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3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3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3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3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3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3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3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3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3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3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3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3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3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3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3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3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3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3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3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3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3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3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3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3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3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3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3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3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3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3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3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3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3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3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3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3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3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3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3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3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3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3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3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3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3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3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3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3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3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3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3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3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3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3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3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3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3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3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3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3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3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3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3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3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3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3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3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3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3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3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3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3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3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3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3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3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3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3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3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3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3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3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3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3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3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3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3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3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3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3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3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3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3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3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3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3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3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3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3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3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3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3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3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3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3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3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3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3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3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3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3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3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3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3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3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3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3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3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3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3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3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3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3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3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3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3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3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3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3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3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3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3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3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3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3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3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3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3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3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3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3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3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3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3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3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3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3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3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3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3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3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3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3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3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3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3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3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3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3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3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3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3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3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3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3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3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3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3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3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3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3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3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3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3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3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3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3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3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3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3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3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3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3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3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3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3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3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3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3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3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3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3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3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3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3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3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3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3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3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3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3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3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3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3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3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3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3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3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3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3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3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3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3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3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3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3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3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3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3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3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3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3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3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3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3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3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3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3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3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3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3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3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3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3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3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3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3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3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3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3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3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3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3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3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3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3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3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3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3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3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3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3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3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3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3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3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3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3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3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3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3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3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3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3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3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3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3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3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3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3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3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3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3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3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3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3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3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3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3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3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3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3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3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3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3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3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3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3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3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3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3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3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3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3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3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3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3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3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3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3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3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3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3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3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3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3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3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3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3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3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3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3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3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3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3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3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3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3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3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3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3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3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3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3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3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3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3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3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3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3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3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3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3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3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3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3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3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3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3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3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3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3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3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3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3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3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3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3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3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3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3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3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3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3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3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3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3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3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3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3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3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3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3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3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3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3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3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3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3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3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3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3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3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3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3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3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3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3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3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3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3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3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3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3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3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3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3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3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3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3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3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3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3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3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3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3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3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3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3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3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3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3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3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3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3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3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3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3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3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3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3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3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3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3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3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3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3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3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3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3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3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3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3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3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3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3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3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3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3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3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3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3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3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3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3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3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3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3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3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3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3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3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3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3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3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3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3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3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3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3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3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3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3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3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3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3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3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3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3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3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3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3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3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3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3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3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3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3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3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3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3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3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3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3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3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3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3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3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3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3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3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3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3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3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3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3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3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3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3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3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3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3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3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3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3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3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3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3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3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3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3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3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3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3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3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3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3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3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3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3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3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3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3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3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3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3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3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3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3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3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3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3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EA10-775D-4124-A9D5-9353D0043CDD}">
  <dimension ref="A1:AK36"/>
  <sheetViews>
    <sheetView workbookViewId="0">
      <selection activeCell="B14" sqref="B14"/>
    </sheetView>
  </sheetViews>
  <sheetFormatPr defaultRowHeight="14.4" x14ac:dyDescent="0.3"/>
  <cols>
    <col min="1" max="1" width="15.44140625" bestFit="1" customWidth="1"/>
    <col min="2" max="2" width="11.109375" bestFit="1" customWidth="1"/>
    <col min="4" max="4" width="14" bestFit="1" customWidth="1"/>
    <col min="5" max="5" width="12" customWidth="1"/>
    <col min="6" max="6" width="10" bestFit="1" customWidth="1"/>
    <col min="9" max="10" width="11.33203125" bestFit="1" customWidth="1"/>
    <col min="11" max="11" width="11.33203125" customWidth="1"/>
    <col min="13" max="13" width="19.6640625" bestFit="1" customWidth="1"/>
    <col min="15" max="15" width="11.6640625" bestFit="1" customWidth="1"/>
    <col min="20" max="20" width="12.21875" bestFit="1" customWidth="1"/>
    <col min="21" max="21" width="12.21875" customWidth="1"/>
    <col min="24" max="24" width="9.44140625" bestFit="1" customWidth="1"/>
    <col min="27" max="27" width="16" bestFit="1" customWidth="1"/>
    <col min="28" max="28" width="10.88671875" customWidth="1"/>
    <col min="29" max="29" width="11.88671875" bestFit="1" customWidth="1"/>
    <col min="30" max="30" width="9.109375" customWidth="1"/>
    <col min="35" max="35" width="13.33203125" bestFit="1" customWidth="1"/>
  </cols>
  <sheetData>
    <row r="1" spans="1:37" x14ac:dyDescent="0.3">
      <c r="A1" s="6" t="s">
        <v>75</v>
      </c>
      <c r="B1" s="6"/>
      <c r="D1" s="12" t="s">
        <v>82</v>
      </c>
      <c r="E1" s="12"/>
      <c r="G1" s="12" t="s">
        <v>89</v>
      </c>
      <c r="H1" s="12"/>
      <c r="I1" s="12"/>
      <c r="J1" s="12"/>
      <c r="K1" s="12"/>
      <c r="M1" s="12" t="s">
        <v>99</v>
      </c>
      <c r="N1" s="12"/>
      <c r="O1" s="12"/>
      <c r="P1" s="12"/>
      <c r="Q1" s="12"/>
      <c r="S1" s="12" t="s">
        <v>103</v>
      </c>
      <c r="T1" s="12"/>
      <c r="U1" s="12"/>
      <c r="V1" s="12"/>
      <c r="W1" s="12"/>
      <c r="X1" s="12"/>
      <c r="Y1" s="12"/>
      <c r="AA1" s="12" t="s">
        <v>104</v>
      </c>
      <c r="AB1" s="12"/>
      <c r="AC1" s="12"/>
      <c r="AD1" s="12"/>
      <c r="AE1" s="12"/>
      <c r="AF1" s="12"/>
      <c r="AH1" s="12" t="s">
        <v>108</v>
      </c>
      <c r="AI1" s="12"/>
      <c r="AJ1" s="12"/>
      <c r="AK1" s="12"/>
    </row>
    <row r="2" spans="1:37" x14ac:dyDescent="0.3">
      <c r="A2" s="7" t="s">
        <v>52</v>
      </c>
      <c r="B2" s="7" t="s">
        <v>76</v>
      </c>
      <c r="D2" s="8" t="s">
        <v>83</v>
      </c>
      <c r="E2" s="11">
        <f>SUMIFS(Data[Revenue],Data[Region],Region,Data[Month],CurMonth,Data[Year],CurYear)</f>
        <v>50618.369999999995</v>
      </c>
      <c r="G2" s="14" t="s">
        <v>90</v>
      </c>
      <c r="H2" s="14" t="s">
        <v>49</v>
      </c>
      <c r="I2" s="14">
        <v>2020</v>
      </c>
      <c r="J2" s="14">
        <v>2021</v>
      </c>
      <c r="K2" s="14" t="s">
        <v>76</v>
      </c>
      <c r="M2" s="14" t="s">
        <v>63</v>
      </c>
      <c r="N2" s="14" t="s">
        <v>46</v>
      </c>
      <c r="O2" s="14" t="s">
        <v>101</v>
      </c>
      <c r="P2" s="15" t="s">
        <v>100</v>
      </c>
      <c r="Q2" s="14" t="s">
        <v>102</v>
      </c>
      <c r="S2" s="14" t="s">
        <v>102</v>
      </c>
      <c r="T2" s="14" t="s">
        <v>63</v>
      </c>
      <c r="U2" s="14" t="s">
        <v>52</v>
      </c>
      <c r="V2" s="14" t="s">
        <v>46</v>
      </c>
      <c r="W2" s="15" t="s">
        <v>100</v>
      </c>
      <c r="X2" s="15" t="s">
        <v>76</v>
      </c>
      <c r="Y2" s="15" t="s">
        <v>76</v>
      </c>
      <c r="AA2" s="14" t="s">
        <v>74</v>
      </c>
      <c r="AB2" s="14" t="s">
        <v>46</v>
      </c>
      <c r="AC2" s="14" t="s">
        <v>101</v>
      </c>
      <c r="AD2" s="15" t="s">
        <v>105</v>
      </c>
      <c r="AE2" s="14" t="s">
        <v>106</v>
      </c>
      <c r="AF2" s="14" t="s">
        <v>107</v>
      </c>
      <c r="AH2" s="14" t="s">
        <v>102</v>
      </c>
      <c r="AI2" s="14" t="s">
        <v>74</v>
      </c>
      <c r="AJ2" s="14" t="s">
        <v>46</v>
      </c>
      <c r="AK2" s="15" t="s">
        <v>105</v>
      </c>
    </row>
    <row r="3" spans="1:37" x14ac:dyDescent="0.3">
      <c r="A3" t="s">
        <v>4</v>
      </c>
      <c r="B3" t="str">
        <f>Dashboard!C6</f>
        <v>New York</v>
      </c>
      <c r="D3" s="8" t="s">
        <v>84</v>
      </c>
      <c r="E3" s="11">
        <f>SUMIFS(Data[Revenue],Data[Region],Region,Data[Month],CurMonth,Data[Year],PrevYear)</f>
        <v>34844.409999999982</v>
      </c>
      <c r="G3">
        <v>1</v>
      </c>
      <c r="H3" t="s">
        <v>91</v>
      </c>
      <c r="I3" s="13">
        <f>SUMIFS(Data[[Revenue]:[Revenue]],Data[[Region]:[Region]],Region,Data[[Month]:[Month]],DataPrep!$G3,Data[[Year]:[Year]],DataPrep!I$2)</f>
        <v>31544.950000000004</v>
      </c>
      <c r="J3" s="13">
        <f>IF(G3&gt;CurMonth,NA(),SUMIFS(Data[[Revenue]:[Revenue]],Data[[Region]:[Region]],Region,Data[[Month]:[Month]],DataPrep!$G3,Data[[Year]:[Year]],DataPrep!J$2))</f>
        <v>45431.029999999984</v>
      </c>
      <c r="K3" s="13" t="e">
        <f>IF(G3=CurMonth,J3,NA())</f>
        <v>#N/A</v>
      </c>
      <c r="M3" t="s">
        <v>59</v>
      </c>
      <c r="N3" s="13">
        <f>SUMIFS(Data[Revenue],Data[Store Name],$M3,Data[Month],CurMonth,Data[Year],CurYear)</f>
        <v>10103.540000000001</v>
      </c>
      <c r="O3" s="13">
        <f>SUMIFS(Data[Revenue],Data[Store Name],$M3,Data[Month],PrevMonth,Data[Year],PMYear)</f>
        <v>7938.76</v>
      </c>
      <c r="P3" s="10">
        <f t="shared" ref="P3:P12" si="0">N3/O3-1</f>
        <v>0.27268490293194403</v>
      </c>
      <c r="Q3">
        <f>_xlfn.RANK.AVG(N3,$N$3:$N$12,1)</f>
        <v>2</v>
      </c>
      <c r="S3">
        <v>1</v>
      </c>
      <c r="T3" t="str">
        <f>INDEX($M$3:$P$12,MATCH($S3,$Q$3:$Q$12,0),MATCH(T$2,$M$2:$P$2,0))</f>
        <v>Michigan Ave</v>
      </c>
      <c r="U3" t="str">
        <f>VLOOKUP(T3,Data[[Store Name]:[Region]],2,0)</f>
        <v>Chicago</v>
      </c>
      <c r="V3" s="13">
        <f t="shared" ref="V3:W12" si="1">INDEX($M$3:$P$12,MATCH($S3,$Q$3:$Q$12,0),MATCH(V$2,$M$2:$P$2,0))</f>
        <v>7721.8800000000019</v>
      </c>
      <c r="W3" s="10">
        <f t="shared" si="1"/>
        <v>-0.23788412342481746</v>
      </c>
      <c r="X3" s="13">
        <f>IF($U3=Region,V3,0)</f>
        <v>0</v>
      </c>
      <c r="Y3" s="10">
        <f>IF($U3=Region,W3,0)</f>
        <v>0</v>
      </c>
      <c r="AA3" t="s">
        <v>13</v>
      </c>
      <c r="AB3" s="13">
        <f>SUMIFS(Data[Revenue],Data[Region],Region,Data[Month],CurMonth,Data[Year],CurYear,Data[Product Name],$AA3)</f>
        <v>1311.1799999999998</v>
      </c>
      <c r="AC3" s="13">
        <f>SUMIFS(Data[Revenue],Data[Region],Region,Data[Month],PrevMonth,Data[Year],PMYear,Data[Product Name],$AA3)</f>
        <v>1471.0800000000002</v>
      </c>
      <c r="AD3" s="2">
        <f>AB3-AC3</f>
        <v>-159.90000000000032</v>
      </c>
      <c r="AE3">
        <f>_xlfn.RANK.AVG(AD3,$AD$3:$AD$36,0)</f>
        <v>23</v>
      </c>
      <c r="AF3">
        <f>_xlfn.RANK.AVG($AD3,$AD$3:$AD$36,1)</f>
        <v>12</v>
      </c>
      <c r="AH3">
        <v>1</v>
      </c>
      <c r="AI3" t="str">
        <f>INDEX($AA$3:$AF$36,MATCH($AH3,$AE$3:$AE$36,0),MATCH(AI$2,$AA$2:$AD$2,0))</f>
        <v>Dinosaur Figures</v>
      </c>
      <c r="AJ3" s="13">
        <f t="shared" ref="AJ3:AK18" si="2">INDEX($AA$3:$AF$36,MATCH($AH3,$AE$3:$AE$36,0),MATCH(AJ$2,$AA$2:$AD$2,0))</f>
        <v>2893.07</v>
      </c>
      <c r="AK3" s="2">
        <f t="shared" si="2"/>
        <v>989.34000000000015</v>
      </c>
    </row>
    <row r="4" spans="1:37" x14ac:dyDescent="0.3">
      <c r="A4" t="s">
        <v>5</v>
      </c>
      <c r="D4" s="8" t="s">
        <v>85</v>
      </c>
      <c r="E4" s="11">
        <f>SUMIFS(Data[Revenue],Data[Region],Region,Data[Month],PrevMonth,Data[Year],IF(CurMonth=1,PrevYear,CurYear))</f>
        <v>49838.54</v>
      </c>
      <c r="G4">
        <v>2</v>
      </c>
      <c r="H4" t="s">
        <v>92</v>
      </c>
      <c r="I4" s="13">
        <f>SUMIFS(Data[[Revenue]:[Revenue]],Data[[Region]:[Region]],Region,Data[[Month]:[Month]],DataPrep!$G4,Data[[Year]:[Year]],DataPrep!I$2)</f>
        <v>31002.100000000009</v>
      </c>
      <c r="J4" s="13">
        <f>IF(G4&gt;CurMonth,NA(),SUMIFS(Data[[Revenue]:[Revenue]],Data[[Region]:[Region]],Region,Data[[Month]:[Month]],DataPrep!$G4,Data[[Year]:[Year]],DataPrep!J$2))</f>
        <v>42456.219999999987</v>
      </c>
      <c r="K4" s="13" t="e">
        <f>IF(G4=CurMonth,J4,NA())</f>
        <v>#N/A</v>
      </c>
      <c r="M4" t="s">
        <v>56</v>
      </c>
      <c r="N4" s="13">
        <f>SUMIFS(Data[Revenue],Data[Store Name],$M4,Data[Month],CurMonth,Data[Year],CurYear)</f>
        <v>15765.830000000002</v>
      </c>
      <c r="O4" s="13">
        <f>SUMIFS(Data[Revenue],Data[Store Name],$M4,Data[Month],PrevMonth,Data[Year],PMYear)</f>
        <v>11411.519999999999</v>
      </c>
      <c r="P4" s="10">
        <f t="shared" si="0"/>
        <v>0.38157142957292312</v>
      </c>
      <c r="Q4">
        <f t="shared" ref="Q4:Q12" si="3">_xlfn.RANK.AVG(N4,$N$3:$N$12,1)</f>
        <v>4</v>
      </c>
      <c r="S4">
        <v>2</v>
      </c>
      <c r="T4" t="str">
        <f t="shared" ref="T4:T12" si="4">INDEX($M$3:$P$12,MATCH($S4,$Q$3:$Q$12,0),MATCH(T$2,$M$2:$P$2,0))</f>
        <v>Hollywood</v>
      </c>
      <c r="U4" t="str">
        <f>VLOOKUP(T4,Data[[Store Name]:[Region]],2,0)</f>
        <v>Los Angeles</v>
      </c>
      <c r="V4" s="13">
        <f t="shared" si="1"/>
        <v>10103.540000000001</v>
      </c>
      <c r="W4" s="10">
        <f t="shared" si="1"/>
        <v>0.27268490293194403</v>
      </c>
      <c r="X4" s="13">
        <f>IF($U4=Region,V4,0)</f>
        <v>0</v>
      </c>
      <c r="Y4" s="10">
        <f>IF($U4=Region,W4,0)</f>
        <v>0</v>
      </c>
      <c r="AA4" t="s">
        <v>24</v>
      </c>
      <c r="AB4" s="13">
        <f>SUMIFS(Data[Revenue],Data[Region],Region,Data[Month],CurMonth,Data[Year],CurYear,Data[Product Name],$AA4)</f>
        <v>2649.96</v>
      </c>
      <c r="AC4" s="13">
        <f>SUMIFS(Data[Revenue],Data[Region],Region,Data[Month],PrevMonth,Data[Year],PMYear,Data[Product Name],$AA4)</f>
        <v>2766.87</v>
      </c>
      <c r="AD4" s="2">
        <f t="shared" ref="AD4:AD36" si="5">AB4-AC4</f>
        <v>-116.90999999999985</v>
      </c>
      <c r="AE4">
        <f t="shared" ref="AE4:AE36" si="6">_xlfn.RANK.AVG(AD4,$AD$3:$AD$36,0)</f>
        <v>21</v>
      </c>
      <c r="AF4">
        <f t="shared" ref="AF4:AF36" si="7">_xlfn.RANK.AVG($AD4,$AD$3:$AD$36,1)</f>
        <v>14</v>
      </c>
      <c r="AH4">
        <v>2</v>
      </c>
      <c r="AI4" t="str">
        <f t="shared" ref="AI4:AK36" si="8">INDEX($AA$3:$AF$36,MATCH($AH4,$AE$3:$AE$36,0),MATCH(AI$2,$AA$2:$AD$2,0))</f>
        <v>Monopoly</v>
      </c>
      <c r="AJ4" s="13">
        <f t="shared" si="2"/>
        <v>899.55</v>
      </c>
      <c r="AK4" s="2">
        <f t="shared" si="2"/>
        <v>739.63</v>
      </c>
    </row>
    <row r="5" spans="1:37" ht="15.6" x14ac:dyDescent="0.3">
      <c r="A5" t="s">
        <v>48</v>
      </c>
      <c r="D5" s="8" t="s">
        <v>87</v>
      </c>
      <c r="E5" s="22">
        <f>E2/E3-1</f>
        <v>0.45269700362267651</v>
      </c>
      <c r="G5">
        <v>3</v>
      </c>
      <c r="H5" t="s">
        <v>93</v>
      </c>
      <c r="I5" s="13">
        <f>SUMIFS(Data[[Revenue]:[Revenue]],Data[[Region]:[Region]],Region,Data[[Month]:[Month]],DataPrep!$G5,Data[[Year]:[Year]],DataPrep!I$2)</f>
        <v>40942.11</v>
      </c>
      <c r="J5" s="13">
        <f>IF(G5&gt;CurMonth,NA(),SUMIFS(Data[[Revenue]:[Revenue]],Data[[Region]:[Region]],Region,Data[[Month]:[Month]],DataPrep!$G5,Data[[Year]:[Year]],DataPrep!J$2))</f>
        <v>58945.410000000011</v>
      </c>
      <c r="K5" s="13" t="e">
        <f>IF(G5=CurMonth,J5,NA())</f>
        <v>#N/A</v>
      </c>
      <c r="M5" t="s">
        <v>54</v>
      </c>
      <c r="N5" s="13">
        <f>SUMIFS(Data[Revenue],Data[Store Name],$M5,Data[Month],CurMonth,Data[Year],CurYear)</f>
        <v>7721.8800000000019</v>
      </c>
      <c r="O5" s="13">
        <f>SUMIFS(Data[Revenue],Data[Store Name],$M5,Data[Month],PrevMonth,Data[Year],PMYear)</f>
        <v>10132.16</v>
      </c>
      <c r="P5" s="10">
        <f t="shared" si="0"/>
        <v>-0.23788412342481746</v>
      </c>
      <c r="Q5">
        <f t="shared" si="3"/>
        <v>1</v>
      </c>
      <c r="S5">
        <v>3</v>
      </c>
      <c r="T5" t="str">
        <f t="shared" si="4"/>
        <v>JFK</v>
      </c>
      <c r="U5" t="str">
        <f>VLOOKUP(T5,Data[[Store Name]:[Region]],2,0)</f>
        <v>New York</v>
      </c>
      <c r="V5" s="13">
        <f t="shared" si="1"/>
        <v>13879.13</v>
      </c>
      <c r="W5" s="10">
        <f t="shared" si="1"/>
        <v>5.7257752439920262E-2</v>
      </c>
      <c r="X5" s="13">
        <f>IF($U5=Region,V5,0)</f>
        <v>13879.13</v>
      </c>
      <c r="Y5" s="10">
        <f>IF($U5=Region,W5,0)</f>
        <v>5.7257752439920262E-2</v>
      </c>
      <c r="AA5" t="s">
        <v>18</v>
      </c>
      <c r="AB5" s="13">
        <f>SUMIFS(Data[Revenue],Data[Region],Region,Data[Month],CurMonth,Data[Year],CurYear,Data[Product Name],$AA5)</f>
        <v>0</v>
      </c>
      <c r="AC5" s="13">
        <f>SUMIFS(Data[Revenue],Data[Region],Region,Data[Month],PrevMonth,Data[Year],PMYear,Data[Product Name],$AA5)</f>
        <v>402.69</v>
      </c>
      <c r="AD5" s="2">
        <f t="shared" si="5"/>
        <v>-402.69</v>
      </c>
      <c r="AE5">
        <f t="shared" si="6"/>
        <v>29</v>
      </c>
      <c r="AF5">
        <f t="shared" si="7"/>
        <v>6</v>
      </c>
      <c r="AH5">
        <v>3</v>
      </c>
      <c r="AI5" t="str">
        <f t="shared" si="8"/>
        <v>Magic Sand</v>
      </c>
      <c r="AJ5" s="13">
        <f t="shared" si="2"/>
        <v>4589.13</v>
      </c>
      <c r="AK5" s="2">
        <f t="shared" si="2"/>
        <v>687.57000000000016</v>
      </c>
    </row>
    <row r="6" spans="1:37" ht="15.6" x14ac:dyDescent="0.3">
      <c r="D6" s="8" t="s">
        <v>88</v>
      </c>
      <c r="E6" s="22">
        <f>E2/E4-1</f>
        <v>1.5647127704784269E-2</v>
      </c>
      <c r="G6">
        <v>4</v>
      </c>
      <c r="H6" t="s">
        <v>94</v>
      </c>
      <c r="I6" s="13">
        <f>SUMIFS(Data[[Revenue]:[Revenue]],Data[[Region]:[Region]],Region,Data[[Month]:[Month]],DataPrep!$G6,Data[[Year]:[Year]],DataPrep!I$2)</f>
        <v>51274.420000000006</v>
      </c>
      <c r="J6" s="13">
        <f>IF(G6&gt;CurMonth,NA(),SUMIFS(Data[[Revenue]:[Revenue]],Data[[Region]:[Region]],Region,Data[[Month]:[Month]],DataPrep!$G6,Data[[Year]:[Year]],DataPrep!J$2))</f>
        <v>66317.759999999995</v>
      </c>
      <c r="K6" s="13" t="e">
        <f>IF(G6=CurMonth,J6,NA())</f>
        <v>#N/A</v>
      </c>
      <c r="M6" t="s">
        <v>55</v>
      </c>
      <c r="N6" s="13">
        <f>SUMIFS(Data[Revenue],Data[Store Name],$M6,Data[Month],CurMonth,Data[Year],CurYear)</f>
        <v>18238.46</v>
      </c>
      <c r="O6" s="13">
        <f>SUMIFS(Data[Revenue],Data[Store Name],$M6,Data[Month],PrevMonth,Data[Year],PMYear)</f>
        <v>15332.379999999996</v>
      </c>
      <c r="P6" s="10">
        <f t="shared" si="0"/>
        <v>0.18953874088693379</v>
      </c>
      <c r="Q6">
        <f t="shared" si="3"/>
        <v>9</v>
      </c>
      <c r="S6">
        <v>4</v>
      </c>
      <c r="T6" t="str">
        <f t="shared" si="4"/>
        <v>Beverly Hills</v>
      </c>
      <c r="U6" t="str">
        <f>VLOOKUP(T6,Data[[Store Name]:[Region]],2,0)</f>
        <v>Los Angeles</v>
      </c>
      <c r="V6" s="13">
        <f t="shared" si="1"/>
        <v>15765.830000000002</v>
      </c>
      <c r="W6" s="10">
        <f t="shared" si="1"/>
        <v>0.38157142957292312</v>
      </c>
      <c r="X6" s="13">
        <f>IF($U6=Region,V6,0)</f>
        <v>0</v>
      </c>
      <c r="Y6" s="10">
        <f>IF($U6=Region,W6,0)</f>
        <v>0</v>
      </c>
      <c r="AA6" t="s">
        <v>30</v>
      </c>
      <c r="AB6" s="13">
        <f>SUMIFS(Data[Revenue],Data[Region],Region,Data[Month],CurMonth,Data[Year],CurYear,Data[Product Name],$AA6)</f>
        <v>109.89</v>
      </c>
      <c r="AC6" s="13">
        <f>SUMIFS(Data[Revenue],Data[Region],Region,Data[Month],PrevMonth,Data[Year],PMYear,Data[Product Name],$AA6)</f>
        <v>0</v>
      </c>
      <c r="AD6" s="2">
        <f t="shared" si="5"/>
        <v>109.89</v>
      </c>
      <c r="AE6">
        <f t="shared" si="6"/>
        <v>9</v>
      </c>
      <c r="AF6">
        <f t="shared" si="7"/>
        <v>26</v>
      </c>
      <c r="AH6">
        <v>4</v>
      </c>
      <c r="AI6" t="str">
        <f t="shared" si="8"/>
        <v>Barrel O' Slime</v>
      </c>
      <c r="AJ6" s="13">
        <f t="shared" si="2"/>
        <v>1356.6</v>
      </c>
      <c r="AK6" s="2">
        <f t="shared" si="2"/>
        <v>550.61999999999989</v>
      </c>
    </row>
    <row r="7" spans="1:37" x14ac:dyDescent="0.3">
      <c r="A7" s="6" t="s">
        <v>77</v>
      </c>
      <c r="B7" s="6"/>
      <c r="G7">
        <v>5</v>
      </c>
      <c r="H7" t="s">
        <v>93</v>
      </c>
      <c r="I7" s="13">
        <f>SUMIFS(Data[[Revenue]:[Revenue]],Data[[Region]:[Region]],Region,Data[[Month]:[Month]],DataPrep!$G7,Data[[Year]:[Year]],DataPrep!I$2)</f>
        <v>39052.43</v>
      </c>
      <c r="J7" s="13">
        <f>IF(G7&gt;CurMonth,NA(),SUMIFS(Data[[Revenue]:[Revenue]],Data[[Region]:[Region]],Region,Data[[Month]:[Month]],DataPrep!$G7,Data[[Year]:[Year]],DataPrep!J$2))</f>
        <v>63906.600000000006</v>
      </c>
      <c r="K7" s="13" t="e">
        <f>IF(G7=CurMonth,J7,NA())</f>
        <v>#N/A</v>
      </c>
      <c r="M7" t="s">
        <v>53</v>
      </c>
      <c r="N7" s="13">
        <f>SUMIFS(Data[Revenue],Data[Store Name],$M7,Data[Month],CurMonth,Data[Year],CurYear)</f>
        <v>17505.330000000002</v>
      </c>
      <c r="O7" s="13">
        <f>SUMIFS(Data[Revenue],Data[Store Name],$M7,Data[Month],PrevMonth,Data[Year],PMYear)</f>
        <v>17049.52</v>
      </c>
      <c r="P7" s="10">
        <f t="shared" si="0"/>
        <v>2.6734476982343214E-2</v>
      </c>
      <c r="Q7">
        <f t="shared" si="3"/>
        <v>6</v>
      </c>
      <c r="S7">
        <v>5</v>
      </c>
      <c r="T7" t="str">
        <f t="shared" si="4"/>
        <v>Fifth Avenue</v>
      </c>
      <c r="U7" t="str">
        <f>VLOOKUP(T7,Data[[Store Name]:[Region]],2,0)</f>
        <v>New York</v>
      </c>
      <c r="V7" s="13">
        <f t="shared" si="1"/>
        <v>16255.230000000001</v>
      </c>
      <c r="W7" s="10">
        <f t="shared" si="1"/>
        <v>-0.13607835613264074</v>
      </c>
      <c r="X7" s="13">
        <f>IF($U7=Region,V7,0)</f>
        <v>16255.230000000001</v>
      </c>
      <c r="Y7" s="10">
        <f>IF($U7=Region,W7,0)</f>
        <v>-0.13607835613264074</v>
      </c>
      <c r="AA7" t="s">
        <v>20</v>
      </c>
      <c r="AB7" s="13">
        <f>SUMIFS(Data[Revenue],Data[Region],Region,Data[Month],CurMonth,Data[Year],CurYear,Data[Product Name],$AA7)</f>
        <v>3117.92</v>
      </c>
      <c r="AC7" s="13">
        <f>SUMIFS(Data[Revenue],Data[Region],Region,Data[Month],PrevMonth,Data[Year],PMYear,Data[Product Name],$AA7)</f>
        <v>3102.93</v>
      </c>
      <c r="AD7" s="2">
        <f t="shared" si="5"/>
        <v>14.990000000000236</v>
      </c>
      <c r="AE7">
        <f t="shared" si="6"/>
        <v>12</v>
      </c>
      <c r="AF7">
        <f t="shared" si="7"/>
        <v>23</v>
      </c>
      <c r="AH7">
        <v>5</v>
      </c>
      <c r="AI7" t="str">
        <f t="shared" si="8"/>
        <v>Deck Of Cards</v>
      </c>
      <c r="AJ7" s="13">
        <f t="shared" si="2"/>
        <v>1901.28</v>
      </c>
      <c r="AK7" s="2">
        <f t="shared" si="2"/>
        <v>426.38999999999987</v>
      </c>
    </row>
    <row r="8" spans="1:37" x14ac:dyDescent="0.3">
      <c r="A8" s="8" t="s">
        <v>78</v>
      </c>
      <c r="B8" s="9">
        <f>MAX(Data[Year])</f>
        <v>2021</v>
      </c>
      <c r="G8">
        <v>6</v>
      </c>
      <c r="H8" t="s">
        <v>91</v>
      </c>
      <c r="I8" s="13">
        <f>SUMIFS(Data[[Revenue]:[Revenue]],Data[[Region]:[Region]],Region,Data[[Month]:[Month]],DataPrep!$G8,Data[[Year]:[Year]],DataPrep!I$2)</f>
        <v>47915.380000000005</v>
      </c>
      <c r="J8" s="13">
        <f>IF(G8&gt;CurMonth,NA(),SUMIFS(Data[[Revenue]:[Revenue]],Data[[Region]:[Region]],Region,Data[[Month]:[Month]],DataPrep!$G8,Data[[Year]:[Year]],DataPrep!J$2))</f>
        <v>61649.439999999981</v>
      </c>
      <c r="K8" s="13" t="e">
        <f>IF(G8=CurMonth,J8,NA())</f>
        <v>#N/A</v>
      </c>
      <c r="M8" t="s">
        <v>58</v>
      </c>
      <c r="N8" s="13">
        <f>SUMIFS(Data[Revenue],Data[Store Name],$M8,Data[Month],CurMonth,Data[Year],CurYear)</f>
        <v>16255.230000000001</v>
      </c>
      <c r="O8" s="13">
        <f>SUMIFS(Data[Revenue],Data[Store Name],$M8,Data[Month],PrevMonth,Data[Year],PMYear)</f>
        <v>18815.63</v>
      </c>
      <c r="P8" s="10">
        <f t="shared" si="0"/>
        <v>-0.13607835613264074</v>
      </c>
      <c r="Q8">
        <f t="shared" si="3"/>
        <v>5</v>
      </c>
      <c r="S8">
        <v>6</v>
      </c>
      <c r="T8" t="str">
        <f t="shared" si="4"/>
        <v>Lincoln Park</v>
      </c>
      <c r="U8" t="str">
        <f>VLOOKUP(T8,Data[[Store Name]:[Region]],2,0)</f>
        <v>Chicago</v>
      </c>
      <c r="V8" s="13">
        <f t="shared" si="1"/>
        <v>17505.330000000002</v>
      </c>
      <c r="W8" s="10">
        <f t="shared" si="1"/>
        <v>2.6734476982343214E-2</v>
      </c>
      <c r="X8" s="13">
        <f>IF($U8=Region,V8,0)</f>
        <v>0</v>
      </c>
      <c r="Y8" s="10">
        <f>IF($U8=Region,W8,0)</f>
        <v>0</v>
      </c>
      <c r="AA8" t="s">
        <v>25</v>
      </c>
      <c r="AB8" s="13">
        <f>SUMIFS(Data[Revenue],Data[Region],Region,Data[Month],CurMonth,Data[Year],CurYear,Data[Product Name],$AA8)</f>
        <v>1487.0700000000002</v>
      </c>
      <c r="AC8" s="13">
        <f>SUMIFS(Data[Revenue],Data[Region],Region,Data[Month],PrevMonth,Data[Year],PMYear,Data[Product Name],$AA8)</f>
        <v>1087.32</v>
      </c>
      <c r="AD8" s="2">
        <f t="shared" si="5"/>
        <v>399.75000000000023</v>
      </c>
      <c r="AE8">
        <f t="shared" si="6"/>
        <v>7</v>
      </c>
      <c r="AF8">
        <f t="shared" si="7"/>
        <v>28</v>
      </c>
      <c r="AJ8" s="13"/>
      <c r="AK8" s="2"/>
    </row>
    <row r="9" spans="1:37" x14ac:dyDescent="0.3">
      <c r="A9" s="8" t="s">
        <v>79</v>
      </c>
      <c r="B9" s="9">
        <f>_xlfn.MAXIFS(Data[Month],Data[Year],CurYear)</f>
        <v>9</v>
      </c>
      <c r="G9">
        <v>7</v>
      </c>
      <c r="H9" t="s">
        <v>91</v>
      </c>
      <c r="I9" s="13">
        <f>SUMIFS(Data[[Revenue]:[Revenue]],Data[[Region]:[Region]],Region,Data[[Month]:[Month]],DataPrep!$G9,Data[[Year]:[Year]],DataPrep!I$2)</f>
        <v>41568.47</v>
      </c>
      <c r="J9" s="13">
        <f>IF(G9&gt;CurMonth,NA(),SUMIFS(Data[[Revenue]:[Revenue]],Data[[Region]:[Region]],Region,Data[[Month]:[Month]],DataPrep!$G9,Data[[Year]:[Year]],DataPrep!J$2))</f>
        <v>69037.8</v>
      </c>
      <c r="K9" s="13" t="e">
        <f>IF(G9=CurMonth,J9,NA())</f>
        <v>#N/A</v>
      </c>
      <c r="M9" t="s">
        <v>62</v>
      </c>
      <c r="N9" s="13">
        <f>SUMIFS(Data[Revenue],Data[Store Name],$M9,Data[Month],CurMonth,Data[Year],CurYear)</f>
        <v>20484.010000000002</v>
      </c>
      <c r="O9" s="13">
        <f>SUMIFS(Data[Revenue],Data[Store Name],$M9,Data[Month],PrevMonth,Data[Year],PMYear)</f>
        <v>17895.43</v>
      </c>
      <c r="P9" s="10">
        <f t="shared" si="0"/>
        <v>0.14465033810308014</v>
      </c>
      <c r="Q9">
        <f t="shared" si="3"/>
        <v>10</v>
      </c>
      <c r="S9">
        <v>7</v>
      </c>
      <c r="T9" t="str">
        <f t="shared" si="4"/>
        <v>LAX</v>
      </c>
      <c r="U9" t="str">
        <f>VLOOKUP(T9,Data[[Store Name]:[Region]],2,0)</f>
        <v>Los Angeles</v>
      </c>
      <c r="V9" s="13">
        <f t="shared" si="1"/>
        <v>18171.759999999995</v>
      </c>
      <c r="W9" s="10">
        <f t="shared" si="1"/>
        <v>-0.17099256839675403</v>
      </c>
      <c r="X9" s="13">
        <f>IF($U9=Region,V9,0)</f>
        <v>0</v>
      </c>
      <c r="Y9" s="10">
        <f>IF($U9=Region,W9,0)</f>
        <v>0</v>
      </c>
      <c r="AA9" t="s">
        <v>8</v>
      </c>
      <c r="AB9" s="13">
        <f>SUMIFS(Data[Revenue],Data[Region],Region,Data[Month],CurMonth,Data[Year],CurYear,Data[Product Name],$AA9)</f>
        <v>1901.28</v>
      </c>
      <c r="AC9" s="13">
        <f>SUMIFS(Data[Revenue],Data[Region],Region,Data[Month],PrevMonth,Data[Year],PMYear,Data[Product Name],$AA9)</f>
        <v>1474.89</v>
      </c>
      <c r="AD9" s="2">
        <f t="shared" si="5"/>
        <v>426.38999999999987</v>
      </c>
      <c r="AE9">
        <f t="shared" si="6"/>
        <v>5</v>
      </c>
      <c r="AF9">
        <f t="shared" si="7"/>
        <v>30</v>
      </c>
      <c r="AJ9" s="13"/>
      <c r="AK9" s="2"/>
    </row>
    <row r="10" spans="1:37" x14ac:dyDescent="0.3">
      <c r="A10" s="8" t="s">
        <v>80</v>
      </c>
      <c r="B10" s="9">
        <f>B8-1</f>
        <v>2020</v>
      </c>
      <c r="G10">
        <v>8</v>
      </c>
      <c r="H10" t="s">
        <v>94</v>
      </c>
      <c r="I10" s="13">
        <f>SUMIFS(Data[[Revenue]:[Revenue]],Data[[Region]:[Region]],Region,Data[[Month]:[Month]],DataPrep!$G10,Data[[Year]:[Year]],DataPrep!I$2)</f>
        <v>30149.900000000009</v>
      </c>
      <c r="J10" s="13">
        <f>IF(G10&gt;CurMonth,NA(),SUMIFS(Data[[Revenue]:[Revenue]],Data[[Region]:[Region]],Region,Data[[Month]:[Month]],DataPrep!$G10,Data[[Year]:[Year]],DataPrep!J$2))</f>
        <v>49838.54</v>
      </c>
      <c r="K10" s="13" t="e">
        <f>IF(G10=CurMonth,J10,NA())</f>
        <v>#N/A</v>
      </c>
      <c r="M10" t="s">
        <v>60</v>
      </c>
      <c r="N10" s="13">
        <f>SUMIFS(Data[Revenue],Data[Store Name],$M10,Data[Month],CurMonth,Data[Year],CurYear)</f>
        <v>13879.13</v>
      </c>
      <c r="O10" s="13">
        <f>SUMIFS(Data[Revenue],Data[Store Name],$M10,Data[Month],PrevMonth,Data[Year],PMYear)</f>
        <v>13127.479999999996</v>
      </c>
      <c r="P10" s="10">
        <f t="shared" si="0"/>
        <v>5.7257752439920262E-2</v>
      </c>
      <c r="Q10">
        <f t="shared" si="3"/>
        <v>3</v>
      </c>
      <c r="S10">
        <v>8</v>
      </c>
      <c r="T10" t="str">
        <f t="shared" si="4"/>
        <v>O'Hare</v>
      </c>
      <c r="U10" t="str">
        <f>VLOOKUP(T10,Data[[Store Name]:[Region]],2,0)</f>
        <v>Chicago</v>
      </c>
      <c r="V10" s="13">
        <f t="shared" si="1"/>
        <v>18237.980000000003</v>
      </c>
      <c r="W10" s="10">
        <f t="shared" si="1"/>
        <v>-0.3315731431233282</v>
      </c>
      <c r="X10" s="13">
        <f>IF($U10=Region,V10,0)</f>
        <v>0</v>
      </c>
      <c r="Y10" s="10">
        <f>IF($U10=Region,W10,0)</f>
        <v>0</v>
      </c>
      <c r="AA10" t="s">
        <v>17</v>
      </c>
      <c r="AB10" s="13">
        <f>SUMIFS(Data[Revenue],Data[Region],Region,Data[Month],CurMonth,Data[Year],CurYear,Data[Product Name],$AA10)</f>
        <v>1483.65</v>
      </c>
      <c r="AC10" s="13">
        <f>SUMIFS(Data[Revenue],Data[Region],Region,Data[Month],PrevMonth,Data[Year],PMYear,Data[Product Name],$AA10)</f>
        <v>1780.38</v>
      </c>
      <c r="AD10" s="2">
        <f t="shared" si="5"/>
        <v>-296.73</v>
      </c>
      <c r="AE10">
        <f t="shared" si="6"/>
        <v>25</v>
      </c>
      <c r="AF10">
        <f t="shared" si="7"/>
        <v>10</v>
      </c>
      <c r="AH10" s="12" t="s">
        <v>109</v>
      </c>
      <c r="AI10" s="12"/>
      <c r="AJ10" s="12"/>
      <c r="AK10" s="12"/>
    </row>
    <row r="11" spans="1:37" x14ac:dyDescent="0.3">
      <c r="A11" s="8" t="s">
        <v>81</v>
      </c>
      <c r="B11" s="9">
        <f>IF(B9=1,12,(B9-1))</f>
        <v>8</v>
      </c>
      <c r="G11">
        <v>9</v>
      </c>
      <c r="H11" t="s">
        <v>95</v>
      </c>
      <c r="I11" s="13">
        <f>SUMIFS(Data[[Revenue]:[Revenue]],Data[[Region]:[Region]],Region,Data[[Month]:[Month]],DataPrep!$G11,Data[[Year]:[Year]],DataPrep!I$2)</f>
        <v>34844.409999999982</v>
      </c>
      <c r="J11" s="13">
        <f>IF(G11&gt;CurMonth,NA(),SUMIFS(Data[[Revenue]:[Revenue]],Data[[Region]:[Region]],Region,Data[[Month]:[Month]],DataPrep!$G11,Data[[Year]:[Year]],DataPrep!J$2))</f>
        <v>50618.369999999995</v>
      </c>
      <c r="K11" s="13">
        <f>IF(G11=CurMonth,J11,NA())</f>
        <v>50618.369999999995</v>
      </c>
      <c r="M11" t="s">
        <v>61</v>
      </c>
      <c r="N11" s="13">
        <f>SUMIFS(Data[Revenue],Data[Store Name],$M11,Data[Month],CurMonth,Data[Year],CurYear)</f>
        <v>18171.759999999995</v>
      </c>
      <c r="O11" s="13">
        <f>SUMIFS(Data[Revenue],Data[Store Name],$M11,Data[Month],PrevMonth,Data[Year],PMYear)</f>
        <v>21919.900000000005</v>
      </c>
      <c r="P11" s="10">
        <f t="shared" si="0"/>
        <v>-0.17099256839675403</v>
      </c>
      <c r="Q11">
        <f t="shared" si="3"/>
        <v>7</v>
      </c>
      <c r="S11">
        <v>9</v>
      </c>
      <c r="T11" t="str">
        <f t="shared" si="4"/>
        <v>Millenium</v>
      </c>
      <c r="U11" t="str">
        <f>VLOOKUP(T11,Data[[Store Name]:[Region]],2,0)</f>
        <v>Chicago</v>
      </c>
      <c r="V11" s="13">
        <f t="shared" si="1"/>
        <v>18238.46</v>
      </c>
      <c r="W11" s="10">
        <f t="shared" si="1"/>
        <v>0.18953874088693379</v>
      </c>
      <c r="X11" s="13">
        <f>IF($U11=Region,V11,0)</f>
        <v>0</v>
      </c>
      <c r="Y11" s="10">
        <f>IF($U11=Region,W11,0)</f>
        <v>0</v>
      </c>
      <c r="AA11" t="s">
        <v>28</v>
      </c>
      <c r="AB11" s="13">
        <f>SUMIFS(Data[Revenue],Data[Region],Region,Data[Month],CurMonth,Data[Year],CurYear,Data[Product Name],$AA11)</f>
        <v>2893.07</v>
      </c>
      <c r="AC11" s="13">
        <f>SUMIFS(Data[Revenue],Data[Region],Region,Data[Month],PrevMonth,Data[Year],PMYear,Data[Product Name],$AA11)</f>
        <v>1903.73</v>
      </c>
      <c r="AD11" s="2">
        <f t="shared" si="5"/>
        <v>989.34000000000015</v>
      </c>
      <c r="AE11">
        <f t="shared" si="6"/>
        <v>1</v>
      </c>
      <c r="AF11">
        <f t="shared" si="7"/>
        <v>34</v>
      </c>
      <c r="AH11" s="14" t="s">
        <v>102</v>
      </c>
      <c r="AI11" s="14" t="s">
        <v>74</v>
      </c>
      <c r="AJ11" s="14" t="s">
        <v>46</v>
      </c>
      <c r="AK11" s="15" t="s">
        <v>105</v>
      </c>
    </row>
    <row r="12" spans="1:37" x14ac:dyDescent="0.3">
      <c r="A12" s="8" t="s">
        <v>86</v>
      </c>
      <c r="B12" s="9">
        <f>IF(CurMonth=1,PrevYear,CurYear)</f>
        <v>2021</v>
      </c>
      <c r="G12">
        <v>10</v>
      </c>
      <c r="H12" t="s">
        <v>96</v>
      </c>
      <c r="I12" s="13">
        <f>SUMIFS(Data[[Revenue]:[Revenue]],Data[[Region]:[Region]],Region,Data[[Month]:[Month]],DataPrep!$G12,Data[[Year]:[Year]],DataPrep!I$2)</f>
        <v>36809.12000000001</v>
      </c>
      <c r="J12" s="13" t="e">
        <f>IF(G12&gt;CurMonth,NA(),SUMIFS(Data[[Revenue]:[Revenue]],Data[[Region]:[Region]],Region,Data[[Month]:[Month]],DataPrep!$G12,Data[[Year]:[Year]],DataPrep!J$2))</f>
        <v>#N/A</v>
      </c>
      <c r="K12" s="13" t="e">
        <f>IF(G12=CurMonth,J12,NA())</f>
        <v>#N/A</v>
      </c>
      <c r="M12" t="s">
        <v>57</v>
      </c>
      <c r="N12" s="13">
        <f>SUMIFS(Data[Revenue],Data[Store Name],$M12,Data[Month],CurMonth,Data[Year],CurYear)</f>
        <v>18237.980000000003</v>
      </c>
      <c r="O12" s="13">
        <f>SUMIFS(Data[Revenue],Data[Store Name],$M12,Data[Month],PrevMonth,Data[Year],PMYear)</f>
        <v>27284.929999999993</v>
      </c>
      <c r="P12" s="10">
        <f t="shared" si="0"/>
        <v>-0.3315731431233282</v>
      </c>
      <c r="Q12">
        <f t="shared" si="3"/>
        <v>8</v>
      </c>
      <c r="S12">
        <v>10</v>
      </c>
      <c r="T12" t="str">
        <f t="shared" si="4"/>
        <v>Times Square</v>
      </c>
      <c r="U12" t="str">
        <f>VLOOKUP(T12,Data[[Store Name]:[Region]],2,0)</f>
        <v>New York</v>
      </c>
      <c r="V12" s="13">
        <f t="shared" si="1"/>
        <v>20484.010000000002</v>
      </c>
      <c r="W12" s="10">
        <f t="shared" si="1"/>
        <v>0.14465033810308014</v>
      </c>
      <c r="X12" s="13">
        <f>IF($U12=Region,V12,0)</f>
        <v>20484.010000000002</v>
      </c>
      <c r="Y12" s="10">
        <f>IF($U12=Region,W12,0)</f>
        <v>0.14465033810308014</v>
      </c>
      <c r="AA12" t="s">
        <v>32</v>
      </c>
      <c r="AB12" s="13">
        <f>SUMIFS(Data[Revenue],Data[Region],Region,Data[Month],CurMonth,Data[Year],CurYear,Data[Product Name],$AA12)</f>
        <v>989.1</v>
      </c>
      <c r="AC12" s="13">
        <f>SUMIFS(Data[Revenue],Data[Region],Region,Data[Month],PrevMonth,Data[Year],PMYear,Data[Product Name],$AA12)</f>
        <v>1505.63</v>
      </c>
      <c r="AD12" s="2">
        <f t="shared" si="5"/>
        <v>-516.53000000000009</v>
      </c>
      <c r="AE12">
        <f t="shared" si="6"/>
        <v>30</v>
      </c>
      <c r="AF12">
        <f t="shared" si="7"/>
        <v>5</v>
      </c>
      <c r="AH12">
        <v>1</v>
      </c>
      <c r="AI12" t="str">
        <f>INDEX($AA$3:$AF$36,MATCH($AH12,$AF$3:$AF$36,0),MATCH(AI$2,$AA$2:$AD$2,0))</f>
        <v>Rubik's Cube</v>
      </c>
      <c r="AJ12" s="13">
        <f t="shared" ref="AJ12:AK12" si="9">INDEX($AA$3:$AF$36,MATCH($AH12,$AF$3:$AF$36,0),MATCH(AJ$2,$AA$2:$AD$2,0))</f>
        <v>639.67999999999984</v>
      </c>
      <c r="AK12" s="2">
        <f t="shared" si="9"/>
        <v>-1359.3200000000002</v>
      </c>
    </row>
    <row r="13" spans="1:37" x14ac:dyDescent="0.3">
      <c r="A13" s="8" t="s">
        <v>124</v>
      </c>
      <c r="B13" t="str">
        <f>VLOOKUP(CurMonth,$A$17:$B$28,2)&amp;" "&amp;CurYear</f>
        <v>September 2021</v>
      </c>
      <c r="G13">
        <v>11</v>
      </c>
      <c r="H13" t="s">
        <v>97</v>
      </c>
      <c r="I13" s="13">
        <f>SUMIFS(Data[[Revenue]:[Revenue]],Data[[Region]:[Region]],Region,Data[[Month]:[Month]],DataPrep!$G13,Data[[Year]:[Year]],DataPrep!I$2)</f>
        <v>42365.650000000009</v>
      </c>
      <c r="J13" s="13" t="e">
        <f>IF(G13&gt;CurMonth,NA(),SUMIFS(Data[[Revenue]:[Revenue]],Data[[Region]:[Region]],Region,Data[[Month]:[Month]],DataPrep!$G13,Data[[Year]:[Year]],DataPrep!J$2))</f>
        <v>#N/A</v>
      </c>
      <c r="K13" s="13" t="e">
        <f>IF(G13=CurMonth,J13,NA())</f>
        <v>#N/A</v>
      </c>
      <c r="AA13" t="s">
        <v>31</v>
      </c>
      <c r="AB13" s="13">
        <f>SUMIFS(Data[Revenue],Data[Region],Region,Data[Month],CurMonth,Data[Year],CurYear,Data[Product Name],$AA13)</f>
        <v>1159.4199999999998</v>
      </c>
      <c r="AC13" s="13">
        <f>SUMIFS(Data[Revenue],Data[Region],Region,Data[Month],PrevMonth,Data[Year],PMYear,Data[Product Name],$AA13)</f>
        <v>1559.2199999999998</v>
      </c>
      <c r="AD13" s="2">
        <f t="shared" si="5"/>
        <v>-399.79999999999995</v>
      </c>
      <c r="AE13">
        <f t="shared" si="6"/>
        <v>28</v>
      </c>
      <c r="AF13">
        <f t="shared" si="7"/>
        <v>7</v>
      </c>
      <c r="AH13">
        <v>2</v>
      </c>
      <c r="AI13" t="str">
        <f t="shared" ref="AI13:AK16" si="10">INDEX($AA$3:$AF$36,MATCH($AH13,$AF$3:$AF$36,0),MATCH(AI$2,$AA$2:$AD$2,0))</f>
        <v>Lego Bricks</v>
      </c>
      <c r="AJ13" s="13">
        <f t="shared" si="10"/>
        <v>9317.67</v>
      </c>
      <c r="AK13" s="2">
        <f t="shared" si="10"/>
        <v>-799.80000000000109</v>
      </c>
    </row>
    <row r="14" spans="1:37" x14ac:dyDescent="0.3">
      <c r="G14">
        <v>12</v>
      </c>
      <c r="H14" t="s">
        <v>98</v>
      </c>
      <c r="I14" s="13">
        <f>SUMIFS(Data[[Revenue]:[Revenue]],Data[[Region]:[Region]],Region,Data[[Month]:[Month]],DataPrep!$G14,Data[[Year]:[Year]],DataPrep!I$2)</f>
        <v>48216.44999999999</v>
      </c>
      <c r="J14" s="13" t="e">
        <f>IF(G14&gt;CurMonth,NA(),SUMIFS(Data[[Revenue]:[Revenue]],Data[[Region]:[Region]],Region,Data[[Month]:[Month]],DataPrep!$G14,Data[[Year]:[Year]],DataPrep!J$2))</f>
        <v>#N/A</v>
      </c>
      <c r="K14" s="13" t="e">
        <f>IF(G14=CurMonth,J14,NA())</f>
        <v>#N/A</v>
      </c>
      <c r="AA14" t="s">
        <v>15</v>
      </c>
      <c r="AB14" s="13">
        <f>SUMIFS(Data[Revenue],Data[Region],Region,Data[Month],CurMonth,Data[Year],CurYear,Data[Product Name],$AA14)</f>
        <v>9317.67</v>
      </c>
      <c r="AC14" s="13">
        <f>SUMIFS(Data[Revenue],Data[Region],Region,Data[Month],PrevMonth,Data[Year],PMYear,Data[Product Name],$AA14)</f>
        <v>10117.470000000001</v>
      </c>
      <c r="AD14" s="2">
        <f t="shared" si="5"/>
        <v>-799.80000000000109</v>
      </c>
      <c r="AE14">
        <f t="shared" si="6"/>
        <v>33</v>
      </c>
      <c r="AF14">
        <f t="shared" si="7"/>
        <v>2</v>
      </c>
      <c r="AH14">
        <v>3</v>
      </c>
      <c r="AI14" t="str">
        <f t="shared" si="10"/>
        <v>Mr. Potatohead</v>
      </c>
      <c r="AJ14" s="13">
        <f t="shared" si="10"/>
        <v>459.53999999999996</v>
      </c>
      <c r="AK14" s="2">
        <f t="shared" si="10"/>
        <v>-719.28</v>
      </c>
    </row>
    <row r="15" spans="1:37" x14ac:dyDescent="0.3">
      <c r="AA15" t="s">
        <v>71</v>
      </c>
      <c r="AB15" s="13">
        <f>SUMIFS(Data[Revenue],Data[Region],Region,Data[Month],CurMonth,Data[Year],CurYear,Data[Product Name],$AA15)</f>
        <v>0</v>
      </c>
      <c r="AC15" s="13">
        <f>SUMIFS(Data[Revenue],Data[Region],Region,Data[Month],PrevMonth,Data[Year],PMYear,Data[Product Name],$AA15)</f>
        <v>0</v>
      </c>
      <c r="AD15" s="2">
        <f t="shared" si="5"/>
        <v>0</v>
      </c>
      <c r="AE15">
        <f t="shared" si="6"/>
        <v>15.5</v>
      </c>
      <c r="AF15">
        <f t="shared" si="7"/>
        <v>19.5</v>
      </c>
      <c r="AH15">
        <v>4</v>
      </c>
      <c r="AI15" t="str">
        <f t="shared" si="10"/>
        <v>Etch A Sketch</v>
      </c>
      <c r="AJ15" s="13">
        <f t="shared" si="10"/>
        <v>881.57999999999993</v>
      </c>
      <c r="AK15" s="2">
        <f t="shared" si="10"/>
        <v>-524.75</v>
      </c>
    </row>
    <row r="16" spans="1:37" x14ac:dyDescent="0.3">
      <c r="A16" s="26" t="s">
        <v>90</v>
      </c>
      <c r="B16" s="7" t="s">
        <v>49</v>
      </c>
      <c r="AA16" t="s">
        <v>19</v>
      </c>
      <c r="AB16" s="13">
        <f>SUMIFS(Data[Revenue],Data[Region],Region,Data[Month],CurMonth,Data[Year],CurYear,Data[Product Name],$AA16)</f>
        <v>899.55</v>
      </c>
      <c r="AC16" s="13">
        <f>SUMIFS(Data[Revenue],Data[Region],Region,Data[Month],PrevMonth,Data[Year],PMYear,Data[Product Name],$AA16)</f>
        <v>159.91999999999999</v>
      </c>
      <c r="AD16" s="2">
        <f t="shared" si="5"/>
        <v>739.63</v>
      </c>
      <c r="AE16">
        <f t="shared" si="6"/>
        <v>2</v>
      </c>
      <c r="AF16">
        <f t="shared" si="7"/>
        <v>33</v>
      </c>
      <c r="AH16">
        <v>5</v>
      </c>
      <c r="AI16" t="str">
        <f t="shared" si="10"/>
        <v>Glass Marbles</v>
      </c>
      <c r="AJ16" s="13">
        <f t="shared" si="10"/>
        <v>989.1</v>
      </c>
      <c r="AK16" s="2">
        <f t="shared" si="10"/>
        <v>-516.53000000000009</v>
      </c>
    </row>
    <row r="17" spans="1:37" x14ac:dyDescent="0.3">
      <c r="A17">
        <v>1</v>
      </c>
      <c r="B17" t="s">
        <v>112</v>
      </c>
      <c r="AA17" t="s">
        <v>27</v>
      </c>
      <c r="AB17" s="13">
        <f>SUMIFS(Data[Revenue],Data[Region],Region,Data[Month],CurMonth,Data[Year],CurYear,Data[Product Name],$AA17)</f>
        <v>1219.92</v>
      </c>
      <c r="AC17" s="13">
        <f>SUMIFS(Data[Revenue],Data[Region],Region,Data[Month],PrevMonth,Data[Year],PMYear,Data[Product Name],$AA17)</f>
        <v>1267.7600000000002</v>
      </c>
      <c r="AD17" s="2">
        <f t="shared" si="5"/>
        <v>-47.840000000000146</v>
      </c>
      <c r="AE17">
        <f t="shared" si="6"/>
        <v>19</v>
      </c>
      <c r="AF17">
        <f t="shared" si="7"/>
        <v>16</v>
      </c>
      <c r="AJ17" s="13"/>
      <c r="AK17" s="2"/>
    </row>
    <row r="18" spans="1:37" x14ac:dyDescent="0.3">
      <c r="A18">
        <v>2</v>
      </c>
      <c r="B18" t="s">
        <v>113</v>
      </c>
      <c r="AA18" t="s">
        <v>11</v>
      </c>
      <c r="AB18" s="13">
        <f>SUMIFS(Data[Revenue],Data[Region],Region,Data[Month],CurMonth,Data[Year],CurYear,Data[Product Name],$AA18)</f>
        <v>374.25</v>
      </c>
      <c r="AC18" s="13">
        <f>SUMIFS(Data[Revenue],Data[Region],Region,Data[Month],PrevMonth,Data[Year],PMYear,Data[Product Name],$AA18)</f>
        <v>449.1</v>
      </c>
      <c r="AD18" s="2">
        <f t="shared" si="5"/>
        <v>-74.850000000000023</v>
      </c>
      <c r="AE18">
        <f t="shared" si="6"/>
        <v>20</v>
      </c>
      <c r="AF18">
        <f t="shared" si="7"/>
        <v>15</v>
      </c>
      <c r="AJ18" s="13"/>
      <c r="AK18" s="2"/>
    </row>
    <row r="19" spans="1:37" x14ac:dyDescent="0.3">
      <c r="A19">
        <v>3</v>
      </c>
      <c r="B19" t="s">
        <v>114</v>
      </c>
      <c r="AA19" t="s">
        <v>26</v>
      </c>
      <c r="AB19" s="13">
        <f>SUMIFS(Data[Revenue],Data[Region],Region,Data[Month],CurMonth,Data[Year],CurYear,Data[Product Name],$AA19)</f>
        <v>639.67999999999984</v>
      </c>
      <c r="AC19" s="13">
        <f>SUMIFS(Data[Revenue],Data[Region],Region,Data[Month],PrevMonth,Data[Year],PMYear,Data[Product Name],$AA19)</f>
        <v>1999</v>
      </c>
      <c r="AD19" s="2">
        <f t="shared" si="5"/>
        <v>-1359.3200000000002</v>
      </c>
      <c r="AE19">
        <f t="shared" si="6"/>
        <v>34</v>
      </c>
      <c r="AF19">
        <f t="shared" si="7"/>
        <v>1</v>
      </c>
      <c r="AJ19" s="13"/>
      <c r="AK19" s="2"/>
    </row>
    <row r="20" spans="1:37" x14ac:dyDescent="0.3">
      <c r="A20">
        <v>4</v>
      </c>
      <c r="B20" t="s">
        <v>115</v>
      </c>
      <c r="AA20" t="s">
        <v>6</v>
      </c>
      <c r="AB20" s="13">
        <f>SUMIFS(Data[Revenue],Data[Region],Region,Data[Month],CurMonth,Data[Year],CurYear,Data[Product Name],$AA20)</f>
        <v>2247.5</v>
      </c>
      <c r="AC20" s="13">
        <f>SUMIFS(Data[Revenue],Data[Region],Region,Data[Month],PrevMonth,Data[Year],PMYear,Data[Product Name],$AA20)</f>
        <v>2481.2400000000002</v>
      </c>
      <c r="AD20" s="2">
        <f t="shared" si="5"/>
        <v>-233.74000000000024</v>
      </c>
      <c r="AE20">
        <f t="shared" si="6"/>
        <v>24</v>
      </c>
      <c r="AF20">
        <f t="shared" si="7"/>
        <v>11</v>
      </c>
      <c r="AJ20" s="13"/>
      <c r="AK20" s="2"/>
    </row>
    <row r="21" spans="1:37" x14ac:dyDescent="0.3">
      <c r="A21">
        <v>5</v>
      </c>
      <c r="B21" t="s">
        <v>116</v>
      </c>
      <c r="AA21" t="s">
        <v>16</v>
      </c>
      <c r="AB21" s="13">
        <f>SUMIFS(Data[Revenue],Data[Region],Region,Data[Month],CurMonth,Data[Year],CurYear,Data[Product Name],$AA21)</f>
        <v>0</v>
      </c>
      <c r="AC21" s="13">
        <f>SUMIFS(Data[Revenue],Data[Region],Region,Data[Month],PrevMonth,Data[Year],PMYear,Data[Product Name],$AA21)</f>
        <v>363.72</v>
      </c>
      <c r="AD21" s="2">
        <f t="shared" si="5"/>
        <v>-363.72</v>
      </c>
      <c r="AE21">
        <f t="shared" si="6"/>
        <v>27</v>
      </c>
      <c r="AF21">
        <f t="shared" si="7"/>
        <v>8</v>
      </c>
      <c r="AJ21" s="13"/>
      <c r="AK21" s="2"/>
    </row>
    <row r="22" spans="1:37" x14ac:dyDescent="0.3">
      <c r="A22">
        <v>6</v>
      </c>
      <c r="B22" t="s">
        <v>117</v>
      </c>
      <c r="AA22" t="s">
        <v>23</v>
      </c>
      <c r="AB22" s="13">
        <f>SUMIFS(Data[Revenue],Data[Region],Region,Data[Month],CurMonth,Data[Year],CurYear,Data[Product Name],$AA22)</f>
        <v>675.74</v>
      </c>
      <c r="AC22" s="13">
        <f>SUMIFS(Data[Revenue],Data[Region],Region,Data[Month],PrevMonth,Data[Year],PMYear,Data[Product Name],$AA22)</f>
        <v>987.61999999999989</v>
      </c>
      <c r="AD22" s="2">
        <f t="shared" si="5"/>
        <v>-311.87999999999988</v>
      </c>
      <c r="AE22">
        <f t="shared" si="6"/>
        <v>26</v>
      </c>
      <c r="AF22">
        <f t="shared" si="7"/>
        <v>9</v>
      </c>
      <c r="AJ22" s="13"/>
      <c r="AK22" s="2"/>
    </row>
    <row r="23" spans="1:37" x14ac:dyDescent="0.3">
      <c r="A23">
        <v>7</v>
      </c>
      <c r="B23" t="s">
        <v>118</v>
      </c>
      <c r="AA23" t="s">
        <v>10</v>
      </c>
      <c r="AB23" s="13">
        <f>SUMIFS(Data[Revenue],Data[Region],Region,Data[Month],CurMonth,Data[Year],CurYear,Data[Product Name],$AA23)</f>
        <v>2278.8599999999997</v>
      </c>
      <c r="AC23" s="13">
        <f>SUMIFS(Data[Revenue],Data[Region],Region,Data[Month],PrevMonth,Data[Year],PMYear,Data[Product Name],$AA23)</f>
        <v>1859.07</v>
      </c>
      <c r="AD23" s="2">
        <f t="shared" si="5"/>
        <v>419.78999999999974</v>
      </c>
      <c r="AE23">
        <f t="shared" si="6"/>
        <v>6</v>
      </c>
      <c r="AF23">
        <f t="shared" si="7"/>
        <v>29</v>
      </c>
      <c r="AJ23" s="13"/>
      <c r="AK23" s="2"/>
    </row>
    <row r="24" spans="1:37" x14ac:dyDescent="0.3">
      <c r="A24">
        <v>8</v>
      </c>
      <c r="B24" t="s">
        <v>119</v>
      </c>
      <c r="AA24" t="s">
        <v>66</v>
      </c>
      <c r="AB24" s="13">
        <f>SUMIFS(Data[Revenue],Data[Region],Region,Data[Month],CurMonth,Data[Year],CurYear,Data[Product Name],$AA24)</f>
        <v>0</v>
      </c>
      <c r="AC24" s="13">
        <f>SUMIFS(Data[Revenue],Data[Region],Region,Data[Month],PrevMonth,Data[Year],PMYear,Data[Product Name],$AA24)</f>
        <v>0</v>
      </c>
      <c r="AD24" s="2">
        <f t="shared" si="5"/>
        <v>0</v>
      </c>
      <c r="AE24">
        <f t="shared" si="6"/>
        <v>15.5</v>
      </c>
      <c r="AF24">
        <f t="shared" si="7"/>
        <v>19.5</v>
      </c>
      <c r="AJ24" s="13"/>
      <c r="AK24" s="2"/>
    </row>
    <row r="25" spans="1:37" x14ac:dyDescent="0.3">
      <c r="A25">
        <v>9</v>
      </c>
      <c r="B25" t="s">
        <v>120</v>
      </c>
      <c r="AA25" t="s">
        <v>29</v>
      </c>
      <c r="AB25" s="13">
        <f>SUMIFS(Data[Revenue],Data[Region],Region,Data[Month],CurMonth,Data[Year],CurYear,Data[Product Name],$AA25)</f>
        <v>63.92</v>
      </c>
      <c r="AC25" s="13">
        <f>SUMIFS(Data[Revenue],Data[Region],Region,Data[Month],PrevMonth,Data[Year],PMYear,Data[Product Name],$AA25)</f>
        <v>0</v>
      </c>
      <c r="AD25" s="2">
        <f t="shared" si="5"/>
        <v>63.92</v>
      </c>
      <c r="AE25">
        <f t="shared" si="6"/>
        <v>11</v>
      </c>
      <c r="AF25">
        <f t="shared" si="7"/>
        <v>24</v>
      </c>
      <c r="AJ25" s="13"/>
      <c r="AK25" s="2"/>
    </row>
    <row r="26" spans="1:37" x14ac:dyDescent="0.3">
      <c r="A26">
        <v>10</v>
      </c>
      <c r="B26" t="s">
        <v>121</v>
      </c>
      <c r="AA26" t="s">
        <v>34</v>
      </c>
      <c r="AB26" s="13">
        <f>SUMIFS(Data[Revenue],Data[Region],Region,Data[Month],CurMonth,Data[Year],CurYear,Data[Product Name],$AA26)</f>
        <v>1356.6</v>
      </c>
      <c r="AC26" s="13">
        <f>SUMIFS(Data[Revenue],Data[Region],Region,Data[Month],PrevMonth,Data[Year],PMYear,Data[Product Name],$AA26)</f>
        <v>805.98</v>
      </c>
      <c r="AD26" s="2">
        <f t="shared" si="5"/>
        <v>550.61999999999989</v>
      </c>
      <c r="AE26">
        <f t="shared" si="6"/>
        <v>4</v>
      </c>
      <c r="AF26">
        <f t="shared" si="7"/>
        <v>31</v>
      </c>
      <c r="AJ26" s="13"/>
      <c r="AK26" s="2"/>
    </row>
    <row r="27" spans="1:37" x14ac:dyDescent="0.3">
      <c r="A27">
        <v>11</v>
      </c>
      <c r="B27" t="s">
        <v>122</v>
      </c>
      <c r="AA27" t="s">
        <v>70</v>
      </c>
      <c r="AB27" s="13">
        <f>SUMIFS(Data[Revenue],Data[Region],Region,Data[Month],CurMonth,Data[Year],CurYear,Data[Product Name],$AA27)</f>
        <v>0</v>
      </c>
      <c r="AC27" s="13">
        <f>SUMIFS(Data[Revenue],Data[Region],Region,Data[Month],PrevMonth,Data[Year],PMYear,Data[Product Name],$AA27)</f>
        <v>0</v>
      </c>
      <c r="AD27" s="2">
        <f t="shared" si="5"/>
        <v>0</v>
      </c>
      <c r="AE27">
        <f t="shared" si="6"/>
        <v>15.5</v>
      </c>
      <c r="AF27">
        <f t="shared" si="7"/>
        <v>19.5</v>
      </c>
      <c r="AJ27" s="13"/>
      <c r="AK27" s="2"/>
    </row>
    <row r="28" spans="1:37" x14ac:dyDescent="0.3">
      <c r="A28">
        <v>12</v>
      </c>
      <c r="B28" t="s">
        <v>123</v>
      </c>
      <c r="AA28" t="s">
        <v>67</v>
      </c>
      <c r="AB28" s="13">
        <f>SUMIFS(Data[Revenue],Data[Region],Region,Data[Month],CurMonth,Data[Year],CurYear,Data[Product Name],$AA28)</f>
        <v>0</v>
      </c>
      <c r="AC28" s="13">
        <f>SUMIFS(Data[Revenue],Data[Region],Region,Data[Month],PrevMonth,Data[Year],PMYear,Data[Product Name],$AA28)</f>
        <v>0</v>
      </c>
      <c r="AD28" s="2">
        <f t="shared" si="5"/>
        <v>0</v>
      </c>
      <c r="AE28">
        <f t="shared" si="6"/>
        <v>15.5</v>
      </c>
      <c r="AF28">
        <f t="shared" si="7"/>
        <v>19.5</v>
      </c>
      <c r="AJ28" s="13"/>
      <c r="AK28" s="2"/>
    </row>
    <row r="29" spans="1:37" x14ac:dyDescent="0.3">
      <c r="AA29" t="s">
        <v>37</v>
      </c>
      <c r="AB29" s="13">
        <f>SUMIFS(Data[Revenue],Data[Region],Region,Data[Month],CurMonth,Data[Year],CurYear,Data[Product Name],$AA29)</f>
        <v>949.61999999999989</v>
      </c>
      <c r="AC29" s="13">
        <f>SUMIFS(Data[Revenue],Data[Region],Region,Data[Month],PrevMonth,Data[Year],PMYear,Data[Product Name],$AA29)</f>
        <v>874.64999999999986</v>
      </c>
      <c r="AD29" s="2">
        <f t="shared" si="5"/>
        <v>74.970000000000027</v>
      </c>
      <c r="AE29">
        <f t="shared" si="6"/>
        <v>10</v>
      </c>
      <c r="AF29">
        <f t="shared" si="7"/>
        <v>25</v>
      </c>
      <c r="AJ29" s="13"/>
      <c r="AK29" s="2"/>
    </row>
    <row r="30" spans="1:37" x14ac:dyDescent="0.3">
      <c r="AA30" t="s">
        <v>38</v>
      </c>
      <c r="AB30" s="13">
        <f>SUMIFS(Data[Revenue],Data[Region],Region,Data[Month],CurMonth,Data[Year],CurYear,Data[Product Name],$AA30)</f>
        <v>0</v>
      </c>
      <c r="AC30" s="13">
        <f>SUMIFS(Data[Revenue],Data[Region],Region,Data[Month],PrevMonth,Data[Year],PMYear,Data[Product Name],$AA30)</f>
        <v>119.88</v>
      </c>
      <c r="AD30" s="2">
        <f t="shared" si="5"/>
        <v>-119.88</v>
      </c>
      <c r="AE30">
        <f t="shared" si="6"/>
        <v>22</v>
      </c>
      <c r="AF30">
        <f t="shared" si="7"/>
        <v>13</v>
      </c>
      <c r="AJ30" s="13"/>
      <c r="AK30" s="2"/>
    </row>
    <row r="31" spans="1:37" x14ac:dyDescent="0.3">
      <c r="AA31" t="s">
        <v>39</v>
      </c>
      <c r="AB31" s="13">
        <f>SUMIFS(Data[Revenue],Data[Region],Region,Data[Month],CurMonth,Data[Year],CurYear,Data[Product Name],$AA31)</f>
        <v>279.85999999999996</v>
      </c>
      <c r="AC31" s="13">
        <f>SUMIFS(Data[Revenue],Data[Region],Region,Data[Month],PrevMonth,Data[Year],PMYear,Data[Product Name],$AA31)</f>
        <v>39.979999999999997</v>
      </c>
      <c r="AD31" s="2">
        <f t="shared" si="5"/>
        <v>239.87999999999997</v>
      </c>
      <c r="AE31">
        <f t="shared" si="6"/>
        <v>8</v>
      </c>
      <c r="AF31">
        <f t="shared" si="7"/>
        <v>27</v>
      </c>
      <c r="AJ31" s="13"/>
      <c r="AK31" s="2"/>
    </row>
    <row r="32" spans="1:37" x14ac:dyDescent="0.3">
      <c r="AA32" t="s">
        <v>68</v>
      </c>
      <c r="AB32" s="13">
        <f>SUMIFS(Data[Revenue],Data[Region],Region,Data[Month],CurMonth,Data[Year],CurYear,Data[Product Name],$AA32)</f>
        <v>0</v>
      </c>
      <c r="AC32" s="13">
        <f>SUMIFS(Data[Revenue],Data[Region],Region,Data[Month],PrevMonth,Data[Year],PMYear,Data[Product Name],$AA32)</f>
        <v>0</v>
      </c>
      <c r="AD32" s="2">
        <f t="shared" si="5"/>
        <v>0</v>
      </c>
      <c r="AE32">
        <f t="shared" si="6"/>
        <v>15.5</v>
      </c>
      <c r="AF32">
        <f t="shared" si="7"/>
        <v>19.5</v>
      </c>
      <c r="AJ32" s="13"/>
      <c r="AK32" s="2"/>
    </row>
    <row r="33" spans="27:37" x14ac:dyDescent="0.3">
      <c r="AA33" t="s">
        <v>42</v>
      </c>
      <c r="AB33" s="13">
        <f>SUMIFS(Data[Revenue],Data[Region],Region,Data[Month],CurMonth,Data[Year],CurYear,Data[Product Name],$AA33)</f>
        <v>4589.13</v>
      </c>
      <c r="AC33" s="13">
        <f>SUMIFS(Data[Revenue],Data[Region],Region,Data[Month],PrevMonth,Data[Year],PMYear,Data[Product Name],$AA33)</f>
        <v>3901.56</v>
      </c>
      <c r="AD33" s="2">
        <f t="shared" si="5"/>
        <v>687.57000000000016</v>
      </c>
      <c r="AE33">
        <f t="shared" si="6"/>
        <v>3</v>
      </c>
      <c r="AF33">
        <f t="shared" si="7"/>
        <v>32</v>
      </c>
      <c r="AJ33" s="13"/>
      <c r="AK33" s="2"/>
    </row>
    <row r="34" spans="27:37" x14ac:dyDescent="0.3">
      <c r="AA34" t="s">
        <v>41</v>
      </c>
      <c r="AB34" s="13">
        <f>SUMIFS(Data[Revenue],Data[Region],Region,Data[Month],CurMonth,Data[Year],CurYear,Data[Product Name],$AA34)</f>
        <v>459.53999999999996</v>
      </c>
      <c r="AC34" s="13">
        <f>SUMIFS(Data[Revenue],Data[Region],Region,Data[Month],PrevMonth,Data[Year],PMYear,Data[Product Name],$AA34)</f>
        <v>1178.82</v>
      </c>
      <c r="AD34" s="2">
        <f t="shared" si="5"/>
        <v>-719.28</v>
      </c>
      <c r="AE34">
        <f t="shared" si="6"/>
        <v>32</v>
      </c>
      <c r="AF34">
        <f t="shared" si="7"/>
        <v>3</v>
      </c>
      <c r="AJ34" s="13"/>
      <c r="AK34" s="2"/>
    </row>
    <row r="35" spans="27:37" x14ac:dyDescent="0.3">
      <c r="AA35" t="s">
        <v>43</v>
      </c>
      <c r="AB35" s="13">
        <f>SUMIFS(Data[Revenue],Data[Region],Region,Data[Month],CurMonth,Data[Year],CurYear,Data[Product Name],$AA35)</f>
        <v>881.57999999999993</v>
      </c>
      <c r="AC35" s="13">
        <f>SUMIFS(Data[Revenue],Data[Region],Region,Data[Month],PrevMonth,Data[Year],PMYear,Data[Product Name],$AA35)</f>
        <v>1406.33</v>
      </c>
      <c r="AD35" s="2">
        <f t="shared" si="5"/>
        <v>-524.75</v>
      </c>
      <c r="AE35">
        <f t="shared" si="6"/>
        <v>31</v>
      </c>
      <c r="AF35">
        <f t="shared" si="7"/>
        <v>4</v>
      </c>
      <c r="AJ35" s="13"/>
      <c r="AK35" s="2"/>
    </row>
    <row r="36" spans="27:37" x14ac:dyDescent="0.3">
      <c r="AA36" t="s">
        <v>69</v>
      </c>
      <c r="AB36" s="13">
        <f>SUMIFS(Data[Revenue],Data[Region],Region,Data[Month],CurMonth,Data[Year],CurYear,Data[Product Name],$AA36)</f>
        <v>0</v>
      </c>
      <c r="AC36" s="13">
        <f>SUMIFS(Data[Revenue],Data[Region],Region,Data[Month],PrevMonth,Data[Year],PMYear,Data[Product Name],$AA36)</f>
        <v>0</v>
      </c>
      <c r="AD36" s="2">
        <f t="shared" si="5"/>
        <v>0</v>
      </c>
      <c r="AE36">
        <f t="shared" si="6"/>
        <v>15.5</v>
      </c>
      <c r="AF36">
        <f t="shared" si="7"/>
        <v>19.5</v>
      </c>
      <c r="AJ36" s="13"/>
      <c r="AK36" s="2"/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ignoredErrors>
    <ignoredError sqref="U3:U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213" workbookViewId="0">
      <selection sqref="A1:J269"/>
    </sheetView>
  </sheetViews>
  <sheetFormatPr defaultRowHeight="14.4" x14ac:dyDescent="0.3"/>
  <sheetData>
    <row r="1" spans="1:10" x14ac:dyDescent="0.3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topLeftCell="A199" workbookViewId="0">
      <selection sqref="A1:J260"/>
    </sheetView>
  </sheetViews>
  <sheetFormatPr defaultRowHeight="14.4" x14ac:dyDescent="0.3"/>
  <sheetData>
    <row r="1" spans="1:10" x14ac:dyDescent="0.3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Dashboard</vt:lpstr>
      <vt:lpstr>Data</vt:lpstr>
      <vt:lpstr>DataPrep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Dan Hutcheson</cp:lastModifiedBy>
  <dcterms:created xsi:type="dcterms:W3CDTF">2021-07-16T18:17:37Z</dcterms:created>
  <dcterms:modified xsi:type="dcterms:W3CDTF">2025-04-24T18:34:20Z</dcterms:modified>
</cp:coreProperties>
</file>