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CF SaaS on Amelia Account\"/>
    </mc:Choice>
  </mc:AlternateContent>
  <xr:revisionPtr revIDLastSave="0" documentId="13_ncr:1_{3838D4B6-B783-4FDC-9B30-1626CB43EBD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CF Model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C74" i="2" s="1"/>
  <c r="A266" i="2"/>
  <c r="A248" i="2"/>
  <c r="A230" i="2"/>
  <c r="A220" i="2"/>
  <c r="A191" i="2"/>
  <c r="A162" i="2"/>
  <c r="A133" i="2"/>
  <c r="A104" i="2"/>
  <c r="A75" i="2"/>
  <c r="A11" i="2"/>
  <c r="A2" i="2"/>
  <c r="C288" i="2"/>
  <c r="C287" i="2"/>
  <c r="C286" i="2"/>
  <c r="C283" i="2"/>
  <c r="C282" i="2"/>
  <c r="C281" i="2"/>
  <c r="C279" i="2"/>
  <c r="C278" i="2"/>
  <c r="C276" i="2"/>
  <c r="C275" i="2"/>
  <c r="C274" i="2"/>
  <c r="C272" i="2"/>
  <c r="D271" i="2"/>
  <c r="C271" i="2"/>
  <c r="D270" i="2"/>
  <c r="C270" i="2"/>
  <c r="D269" i="2"/>
  <c r="C269" i="2"/>
  <c r="C268" i="2"/>
  <c r="C263" i="2"/>
  <c r="C262" i="2"/>
  <c r="C261" i="2"/>
  <c r="C258" i="2"/>
  <c r="H257" i="2"/>
  <c r="H258" i="2" s="1"/>
  <c r="H259" i="2" s="1"/>
  <c r="H260" i="2" s="1"/>
  <c r="H261" i="2" s="1"/>
  <c r="H262" i="2" s="1"/>
  <c r="H263" i="2" s="1"/>
  <c r="C256" i="2"/>
  <c r="C254" i="2"/>
  <c r="C253" i="2"/>
  <c r="C252" i="2"/>
  <c r="M251" i="2"/>
  <c r="L251" i="2"/>
  <c r="K251" i="2"/>
  <c r="J251" i="2"/>
  <c r="I251" i="2" s="1"/>
  <c r="F247" i="2"/>
  <c r="C247" i="2"/>
  <c r="C245" i="2"/>
  <c r="C244" i="2"/>
  <c r="C243" i="2"/>
  <c r="C240" i="2"/>
  <c r="H239" i="2"/>
  <c r="H240" i="2" s="1"/>
  <c r="H241" i="2" s="1"/>
  <c r="H242" i="2" s="1"/>
  <c r="H243" i="2" s="1"/>
  <c r="H244" i="2" s="1"/>
  <c r="H245" i="2" s="1"/>
  <c r="G239" i="2"/>
  <c r="C238" i="2"/>
  <c r="C236" i="2"/>
  <c r="C235" i="2"/>
  <c r="C234" i="2"/>
  <c r="L233" i="2"/>
  <c r="M233" i="2" s="1"/>
  <c r="K233" i="2"/>
  <c r="J233" i="2"/>
  <c r="I233" i="2" s="1"/>
  <c r="C232" i="2"/>
  <c r="K232" i="2" s="1"/>
  <c r="F229" i="2"/>
  <c r="C229" i="2"/>
  <c r="C227" i="2"/>
  <c r="C225" i="2"/>
  <c r="C222" i="2"/>
  <c r="C221" i="2"/>
  <c r="C219" i="2"/>
  <c r="C217" i="2"/>
  <c r="C214" i="2"/>
  <c r="C213" i="2"/>
  <c r="C198" i="2"/>
  <c r="C192" i="2"/>
  <c r="C190" i="2"/>
  <c r="K5" i="2" s="1"/>
  <c r="C188" i="2"/>
  <c r="C185" i="2"/>
  <c r="C179" i="2"/>
  <c r="C169" i="2"/>
  <c r="C163" i="2"/>
  <c r="C161" i="2"/>
  <c r="J5" i="2" s="1"/>
  <c r="C159" i="2"/>
  <c r="C156" i="2"/>
  <c r="C155" i="2"/>
  <c r="C150" i="2"/>
  <c r="C134" i="2"/>
  <c r="C132" i="2"/>
  <c r="I5" i="2" s="1"/>
  <c r="C130" i="2"/>
  <c r="C127" i="2"/>
  <c r="C126" i="2"/>
  <c r="C117" i="2"/>
  <c r="C111" i="2"/>
  <c r="C105" i="2"/>
  <c r="C103" i="2"/>
  <c r="H5" i="2" s="1"/>
  <c r="C97" i="2"/>
  <c r="C79" i="2"/>
  <c r="C76" i="2"/>
  <c r="C72" i="2"/>
  <c r="C70" i="2"/>
  <c r="C68" i="2"/>
  <c r="C66" i="2"/>
  <c r="C64" i="2"/>
  <c r="C62" i="2"/>
  <c r="C60" i="2"/>
  <c r="C277" i="2" s="1"/>
  <c r="C58" i="2"/>
  <c r="C56" i="2"/>
  <c r="C55" i="2"/>
  <c r="C239" i="2" s="1"/>
  <c r="C53" i="2"/>
  <c r="C242" i="2" s="1"/>
  <c r="C51" i="2"/>
  <c r="C49" i="2"/>
  <c r="C47" i="2"/>
  <c r="C101" i="2" s="1"/>
  <c r="C46" i="2"/>
  <c r="C129" i="2" s="1"/>
  <c r="C44" i="2"/>
  <c r="C98" i="2" s="1"/>
  <c r="C43" i="2"/>
  <c r="C184" i="2" s="1"/>
  <c r="C41" i="2"/>
  <c r="C211" i="2" s="1"/>
  <c r="C40" i="2"/>
  <c r="C123" i="2" s="1"/>
  <c r="C38" i="2"/>
  <c r="C37" i="2"/>
  <c r="C120" i="2" s="1"/>
  <c r="C36" i="2"/>
  <c r="C177" i="2" s="1"/>
  <c r="C34" i="2"/>
  <c r="C33" i="2"/>
  <c r="C31" i="2"/>
  <c r="C28" i="2"/>
  <c r="C175" i="2" s="1"/>
  <c r="C27" i="2"/>
  <c r="C203" i="2" s="1"/>
  <c r="C25" i="2"/>
  <c r="C85" i="2" s="1"/>
  <c r="C24" i="2"/>
  <c r="C113" i="2" s="1"/>
  <c r="C22" i="2"/>
  <c r="C140" i="2" s="1"/>
  <c r="C21" i="2"/>
  <c r="C81" i="2" s="1"/>
  <c r="C19" i="2"/>
  <c r="C18" i="2"/>
  <c r="C16" i="2"/>
  <c r="C15" i="2"/>
  <c r="C165" i="2" s="1"/>
  <c r="C13" i="2"/>
  <c r="C12" i="2"/>
  <c r="C10" i="2"/>
  <c r="P8" i="2"/>
  <c r="L8" i="2"/>
  <c r="J8" i="2"/>
  <c r="C8" i="2"/>
  <c r="C265" i="2" s="1"/>
  <c r="P7" i="2"/>
  <c r="L7" i="2"/>
  <c r="J7" i="2"/>
  <c r="I7" i="2"/>
  <c r="H7" i="2"/>
  <c r="G7" i="2"/>
  <c r="F7" i="2"/>
  <c r="C7" i="2"/>
  <c r="R6" i="2"/>
  <c r="D250" i="2" s="1"/>
  <c r="P6" i="2"/>
  <c r="C250" i="2" s="1"/>
  <c r="K250" i="2" s="1"/>
  <c r="L6" i="2"/>
  <c r="P5" i="2"/>
  <c r="L5" i="2"/>
  <c r="R4" i="2"/>
  <c r="Q4" i="2"/>
  <c r="P4" i="2"/>
  <c r="O4" i="2"/>
  <c r="N4" i="2"/>
  <c r="M4" i="2"/>
  <c r="L4" i="2"/>
  <c r="K4" i="2"/>
  <c r="J4" i="2"/>
  <c r="I4" i="2"/>
  <c r="H4" i="2"/>
  <c r="G4" i="2"/>
  <c r="C90" i="2" l="1"/>
  <c r="C107" i="2"/>
  <c r="C200" i="2"/>
  <c r="C136" i="2"/>
  <c r="C153" i="2"/>
  <c r="C91" i="2"/>
  <c r="C142" i="2"/>
  <c r="C194" i="2"/>
  <c r="C260" i="2"/>
  <c r="C206" i="2"/>
  <c r="C78" i="2"/>
  <c r="C110" i="2"/>
  <c r="C207" i="2"/>
  <c r="C149" i="2"/>
  <c r="C168" i="2"/>
  <c r="C197" i="2"/>
  <c r="C195" i="2"/>
  <c r="C108" i="2"/>
  <c r="C166" i="2"/>
  <c r="C208" i="2"/>
  <c r="C92" i="2"/>
  <c r="C181" i="2"/>
  <c r="C152" i="2"/>
  <c r="C210" i="2"/>
  <c r="C94" i="2"/>
  <c r="C187" i="2"/>
  <c r="C100" i="2"/>
  <c r="C224" i="2" s="1"/>
  <c r="C216" i="2"/>
  <c r="C158" i="2"/>
  <c r="C145" i="2"/>
  <c r="C174" i="2"/>
  <c r="C116" i="2"/>
  <c r="C87" i="2"/>
  <c r="C137" i="2"/>
  <c r="C201" i="2"/>
  <c r="C172" i="2"/>
  <c r="C143" i="2"/>
  <c r="C114" i="2"/>
  <c r="C204" i="2"/>
  <c r="C88" i="2"/>
  <c r="C146" i="2"/>
  <c r="C121" i="2"/>
  <c r="C257" i="2"/>
  <c r="C285" i="2" s="1"/>
  <c r="C82" i="2"/>
  <c r="C178" i="2"/>
  <c r="C119" i="2"/>
  <c r="C139" i="2"/>
  <c r="C171" i="2"/>
  <c r="G257" i="2"/>
  <c r="C84" i="2"/>
  <c r="C95" i="2"/>
  <c r="C148" i="2"/>
  <c r="H238" i="2"/>
  <c r="H237" i="2" s="1"/>
  <c r="H236" i="2" s="1"/>
  <c r="H235" i="2" s="1"/>
  <c r="H234" i="2" s="1"/>
  <c r="C124" i="2"/>
  <c r="C182" i="2"/>
  <c r="H256" i="2"/>
  <c r="H255" i="2" s="1"/>
  <c r="H254" i="2" s="1"/>
  <c r="H253" i="2" s="1"/>
  <c r="H252" i="2" s="1"/>
  <c r="D7" i="2" l="1"/>
  <c r="C2" i="2" a="1"/>
  <c r="C4" i="2" a="1"/>
  <c r="C3" i="2" a="1"/>
  <c r="C5" i="2" a="1"/>
  <c r="E6" i="2" a="1"/>
  <c r="C6" i="2" a="1"/>
  <c r="J6" i="2"/>
  <c r="C6" i="2" l="1"/>
  <c r="D9" i="2" s="1"/>
  <c r="E6" i="2"/>
  <c r="C5" i="2"/>
  <c r="C3" i="2"/>
  <c r="C4" i="2"/>
  <c r="C2" i="2"/>
  <c r="K6" i="2" a="1"/>
  <c r="B28" i="2"/>
  <c r="B31" i="2" a="1"/>
  <c r="B16" i="2"/>
  <c r="B34" i="2"/>
  <c r="B19" i="2"/>
  <c r="B22" i="2"/>
  <c r="B25" i="2"/>
  <c r="E7" i="2" a="1"/>
  <c r="E7" i="2" l="1"/>
  <c r="B31" i="2"/>
  <c r="K6" i="2"/>
  <c r="S7" i="2" s="1"/>
  <c r="D3" i="2"/>
  <c r="G3" i="2" a="1"/>
  <c r="G3" i="2" s="1"/>
  <c r="H6" i="2" s="1" a="1"/>
  <c r="H6" i="2" s="1"/>
  <c r="D5" i="2" a="1"/>
  <c r="D5" i="2" s="1"/>
  <c r="F3" i="2" s="1" a="1"/>
  <c r="F3" i="2" s="1"/>
  <c r="G6" i="2" a="1"/>
  <c r="G6" i="2" s="1"/>
  <c r="S8" i="2" a="1"/>
  <c r="C30" i="2" a="1"/>
  <c r="B50" i="2"/>
  <c r="B56" i="2"/>
  <c r="B42" i="2"/>
  <c r="B61" i="2"/>
  <c r="B63" i="2"/>
  <c r="C30" i="2" l="1"/>
  <c r="S8" i="2"/>
  <c r="D78" i="2"/>
  <c r="E78" i="2" a="1"/>
  <c r="E78" i="2" s="1"/>
  <c r="E79" i="2" a="1"/>
  <c r="E79" i="2" s="1"/>
  <c r="D81" i="2" a="1"/>
  <c r="D81" i="2" s="1"/>
  <c r="D82" i="2" a="1"/>
  <c r="D82" i="2" s="1"/>
  <c r="D84" i="2" a="1"/>
  <c r="D84" i="2" s="1"/>
  <c r="D85" i="2" a="1"/>
  <c r="D85" i="2" s="1"/>
  <c r="D87" i="2" a="1"/>
  <c r="D87" i="2" s="1"/>
  <c r="D88" i="2" a="1"/>
  <c r="D88" i="2" s="1"/>
  <c r="D90" i="2" a="1"/>
  <c r="D90" i="2" s="1"/>
  <c r="D91" i="2" a="1"/>
  <c r="D91" i="2" s="1"/>
  <c r="E92" i="2" a="1"/>
  <c r="E92" i="2" s="1"/>
  <c r="D94" i="2" a="1"/>
  <c r="D94" i="2" s="1"/>
  <c r="D95" i="2" a="1"/>
  <c r="D95" i="2" s="1"/>
  <c r="D97" i="2" a="1"/>
  <c r="D97" i="2" s="1"/>
  <c r="D98" i="2" a="1"/>
  <c r="D98" i="2" s="1"/>
  <c r="D100" i="2" a="1"/>
  <c r="D100" i="2" s="1"/>
  <c r="D101" i="2" a="1"/>
  <c r="D101" i="2" s="1"/>
  <c r="B269" i="2"/>
  <c r="D233" i="2" l="1" a="1"/>
  <c r="D233" i="2" s="1"/>
  <c r="D278" i="2" a="1"/>
  <c r="D278" i="2" s="1"/>
  <c r="B275" i="2"/>
  <c r="D268" i="2" a="1"/>
  <c r="D268" i="2" l="1"/>
  <c r="D272" i="2" s="1"/>
  <c r="D2" i="2" l="1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<sst xmlns="http://schemas.openxmlformats.org/spreadsheetml/2006/main" count="1" uniqueCount="1">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</sst>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_(#,##0_);_(\(#,##0\);_(&quot; - &quot;_);_(@_)"/>
    <numFmt numFmtId="165" formatCode="m/d/yyyy_)"/>
    <numFmt numFmtId="166" formatCode="0\A_)"/>
    <numFmt numFmtId="167" formatCode="0\E_)"/>
    <numFmt numFmtId="168" formatCode="_(#,##0.0%_);_(\(#,##0.0%\)"/>
    <numFmt numFmtId="169" formatCode="_(#,##0.0\x_);_(\(#,##0.0\x\);_(&quot; - &quot;_);_(@_)"/>
    <numFmt numFmtId="170" formatCode="_(#,##0.0%_);[Red]_(\(#,##0.0%\)"/>
    <numFmt numFmtId="171" formatCode="_(#,##0.0_);_(\(#,##0.0\);_(&quot; - &quot;_);_(@_)"/>
    <numFmt numFmtId="172" formatCode="_(_(#,##0.0%_);_(\(#,##0.0%\)"/>
    <numFmt numFmtId="173" formatCode="_(#,##0.00_);_(\(#,##0.00\);_(&quot; - &quot;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164" fontId="5" fillId="2" borderId="0" xfId="0" applyNumberFormat="1" applyFont="1" applyFill="1"/>
    <xf numFmtId="168" fontId="0" fillId="0" borderId="0" xfId="0" applyNumberFormat="1"/>
    <xf numFmtId="164" fontId="0" fillId="0" borderId="0" xfId="0" applyNumberFormat="1" applyAlignment="1">
      <alignment horizontal="right"/>
    </xf>
    <xf numFmtId="164" fontId="1" fillId="3" borderId="0" xfId="0" applyNumberFormat="1" applyFont="1" applyFill="1" applyAlignment="1">
      <alignment horizontal="right"/>
    </xf>
    <xf numFmtId="165" fontId="4" fillId="0" borderId="0" xfId="0" applyNumberFormat="1" applyFont="1"/>
    <xf numFmtId="168" fontId="0" fillId="0" borderId="0" xfId="0" applyNumberFormat="1" applyAlignment="1">
      <alignment horizontal="left" indent="1"/>
    </xf>
    <xf numFmtId="164" fontId="1" fillId="4" borderId="0" xfId="0" applyNumberFormat="1" applyFont="1" applyFill="1" applyAlignment="1">
      <alignment horizontal="right"/>
    </xf>
    <xf numFmtId="164" fontId="3" fillId="0" borderId="0" xfId="0" applyNumberFormat="1" applyFont="1"/>
    <xf numFmtId="168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8" fontId="3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5" borderId="1" xfId="0" applyNumberFormat="1" applyFont="1" applyFill="1" applyBorder="1" applyAlignment="1">
      <alignment horizontal="center"/>
    </xf>
    <xf numFmtId="164" fontId="14" fillId="0" borderId="0" xfId="0" applyNumberFormat="1" applyFont="1"/>
    <xf numFmtId="168" fontId="3" fillId="0" borderId="0" xfId="0" applyNumberFormat="1" applyFont="1" applyAlignment="1">
      <alignment horizontal="right"/>
    </xf>
    <xf numFmtId="170" fontId="0" fillId="0" borderId="0" xfId="0" applyNumberFormat="1"/>
    <xf numFmtId="164" fontId="3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4" fontId="11" fillId="4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left" indent="1"/>
    </xf>
    <xf numFmtId="171" fontId="0" fillId="0" borderId="0" xfId="0" applyNumberFormat="1"/>
    <xf numFmtId="171" fontId="0" fillId="0" borderId="0" xfId="0" applyNumberFormat="1" applyAlignment="1">
      <alignment horizontal="left" indent="1"/>
    </xf>
    <xf numFmtId="169" fontId="0" fillId="0" borderId="0" xfId="0" applyNumberFormat="1"/>
    <xf numFmtId="8" fontId="0" fillId="0" borderId="0" xfId="0" applyNumberFormat="1"/>
    <xf numFmtId="164" fontId="18" fillId="0" borderId="0" xfId="2" applyNumberFormat="1" applyFont="1"/>
    <xf numFmtId="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9" fillId="6" borderId="1" xfId="0" applyNumberFormat="1" applyFont="1" applyFill="1" applyBorder="1" applyAlignment="1" applyProtection="1">
      <alignment horizontal="center"/>
      <protection locked="0"/>
    </xf>
    <xf numFmtId="167" fontId="9" fillId="6" borderId="1" xfId="0" applyNumberFormat="1" applyFont="1" applyFill="1" applyBorder="1" applyAlignment="1" applyProtection="1">
      <alignment horizontal="center"/>
      <protection locked="0"/>
    </xf>
    <xf numFmtId="172" fontId="9" fillId="6" borderId="0" xfId="0" applyNumberFormat="1" applyFont="1" applyFill="1" applyAlignment="1" applyProtection="1">
      <alignment horizontal="right"/>
      <protection locked="0"/>
    </xf>
    <xf numFmtId="8" fontId="19" fillId="0" borderId="0" xfId="0" applyNumberFormat="1" applyFont="1" applyAlignment="1" applyProtection="1">
      <alignment horizontal="left"/>
      <protection locked="0"/>
    </xf>
    <xf numFmtId="169" fontId="9" fillId="0" borderId="0" xfId="0" applyNumberFormat="1" applyFont="1" applyProtection="1">
      <protection locked="0"/>
    </xf>
    <xf numFmtId="168" fontId="9" fillId="0" borderId="0" xfId="0" applyNumberFormat="1" applyFont="1" applyProtection="1">
      <protection locked="0"/>
    </xf>
    <xf numFmtId="164" fontId="17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 indent="1"/>
      <protection locked="0"/>
    </xf>
    <xf numFmtId="168" fontId="0" fillId="0" borderId="0" xfId="0" applyNumberFormat="1" applyAlignment="1" applyProtection="1">
      <alignment horizontal="right"/>
      <protection locked="0"/>
    </xf>
    <xf numFmtId="170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Protection="1">
      <protection locked="0"/>
    </xf>
    <xf numFmtId="164" fontId="11" fillId="0" borderId="0" xfId="0" applyNumberFormat="1" applyFont="1" applyProtection="1"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73" fontId="0" fillId="0" borderId="0" xfId="0" applyNumberFormat="1" applyProtection="1">
      <protection locked="0"/>
    </xf>
    <xf numFmtId="168" fontId="17" fillId="0" borderId="0" xfId="0" applyNumberFormat="1" applyFont="1" applyProtection="1">
      <protection locked="0"/>
    </xf>
    <xf numFmtId="168" fontId="0" fillId="0" borderId="4" xfId="0" applyNumberFormat="1" applyBorder="1" applyProtection="1">
      <protection locked="0"/>
    </xf>
    <xf numFmtId="165" fontId="11" fillId="0" borderId="0" xfId="0" applyNumberFormat="1" applyFont="1" applyProtection="1">
      <protection locked="0"/>
    </xf>
    <xf numFmtId="168" fontId="11" fillId="0" borderId="0" xfId="0" applyNumberFormat="1" applyFont="1" applyProtection="1">
      <protection locked="0"/>
    </xf>
    <xf numFmtId="8" fontId="11" fillId="0" borderId="0" xfId="0" applyNumberFormat="1" applyFont="1" applyProtection="1">
      <protection locked="0"/>
    </xf>
    <xf numFmtId="172" fontId="11" fillId="0" borderId="0" xfId="0" applyNumberFormat="1" applyFont="1" applyAlignment="1" applyProtection="1">
      <alignment horizontal="left"/>
      <protection locked="0"/>
    </xf>
    <xf numFmtId="164" fontId="12" fillId="0" borderId="0" xfId="0" applyNumberFormat="1" applyFont="1" applyProtection="1">
      <protection locked="0"/>
    </xf>
    <xf numFmtId="164" fontId="13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4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171" fontId="0" fillId="0" borderId="0" xfId="0" applyNumberFormat="1" applyProtection="1"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5" fontId="10" fillId="0" borderId="0" xfId="0" applyNumberFormat="1" applyFont="1" applyProtection="1">
      <protection locked="0"/>
    </xf>
    <xf numFmtId="171" fontId="3" fillId="0" borderId="0" xfId="0" applyNumberFormat="1" applyFont="1" applyProtection="1">
      <protection locked="0"/>
    </xf>
    <xf numFmtId="164" fontId="1" fillId="4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4" fontId="1" fillId="3" borderId="0" xfId="0" applyNumberFormat="1" applyFont="1" applyFill="1" applyAlignment="1" applyProtection="1">
      <alignment horizontal="right"/>
      <protection locked="0"/>
    </xf>
    <xf numFmtId="164" fontId="2" fillId="3" borderId="0" xfId="0" applyNumberFormat="1" applyFont="1" applyFill="1" applyAlignment="1" applyProtection="1">
      <alignment horizontal="right"/>
      <protection locked="0"/>
    </xf>
    <xf numFmtId="164" fontId="6" fillId="2" borderId="0" xfId="0" applyNumberFormat="1" applyFont="1" applyFill="1" applyProtection="1">
      <protection locked="0"/>
    </xf>
    <xf numFmtId="164" fontId="15" fillId="2" borderId="0" xfId="0" applyNumberFormat="1" applyFont="1" applyFill="1"/>
    <xf numFmtId="169" fontId="11" fillId="4" borderId="4" xfId="0" applyNumberFormat="1" applyFont="1" applyFill="1" applyBorder="1" applyProtection="1">
      <protection locked="0"/>
    </xf>
    <xf numFmtId="168" fontId="11" fillId="4" borderId="2" xfId="0" applyNumberFormat="1" applyFont="1" applyFill="1" applyBorder="1" applyProtection="1">
      <protection locked="0"/>
    </xf>
    <xf numFmtId="8" fontId="11" fillId="0" borderId="3" xfId="0" applyNumberFormat="1" applyFont="1" applyBorder="1"/>
    <xf numFmtId="8" fontId="11" fillId="0" borderId="4" xfId="0" applyNumberFormat="1" applyFont="1" applyBorder="1"/>
    <xf numFmtId="8" fontId="11" fillId="0" borderId="2" xfId="0" applyNumberFormat="1" applyFont="1" applyBorder="1"/>
    <xf numFmtId="8" fontId="11" fillId="0" borderId="0" xfId="0" applyNumberFormat="1" applyFont="1"/>
    <xf numFmtId="170" fontId="11" fillId="4" borderId="4" xfId="0" applyNumberFormat="1" applyFont="1" applyFill="1" applyBorder="1" applyProtection="1">
      <protection locked="0"/>
    </xf>
    <xf numFmtId="8" fontId="20" fillId="4" borderId="3" xfId="0" applyNumberFormat="1" applyFont="1" applyFill="1" applyBorder="1"/>
  </cellXfs>
  <cellStyles count="3">
    <cellStyle name="Hyperlink" xfId="2" builtinId="8"/>
    <cellStyle name="Normal" xfId="0" builtinId="0"/>
    <cellStyle name="Normal 2" xfId="1" xr:uid="{0D5C57CA-0725-4450-9419-9A36FC26A15C}"/>
  </cellStyles>
  <dxfs count="1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2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872</v>
    <v t="i">873</v>
    <v t="i">876</v>
    <v t="i">877</v>
    <v t="i">879</v>
    <v t="i">880</v>
    <v t="i">883</v>
    <v t="i">884</v>
    <v t="i">885</v>
    <v t="i">887</v>
    <v t="i">890</v>
    <v t="i">891</v>
    <v t="i">892</v>
    <v t="i">893</v>
    <v t="i">894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1048</v>
    <v t="i">1051</v>
    <v t="i">1052</v>
    <v t="i">1053</v>
    <v t="i">1054</v>
    <v t="i">1055</v>
    <v t="i">1058</v>
    <v t="i">1059</v>
    <v t="i">1060</v>
    <v t="i">1061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</a>
  <a r="1" c="752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  <v>632.78</v>
  </a>
</arrayData>
</file>

<file path=xl/richData/rdrichvalue.xml><?xml version="1.0" encoding="utf-8"?>
<rvData xmlns="http://schemas.microsoft.com/office/spreadsheetml/2017/richdata" count="1">
  <rv s="0">
    <v>0</v>
    <v>^SPY</v>
    <v>Daily</v>
    <v>44780</v>
    <v>45876</v>
    <v>0</v>
    <v>1</v>
    <v>638900352000000000,638901219915331444,0</v>
    <v>0</v>
    <v>a23hqh</v>
    <v>ARCX:SPY</v>
    <v>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6BE-57BE-4364-A46F-42BDB032BC98}">
  <dimension ref="A1:S350"/>
  <sheetViews>
    <sheetView showGridLines="0" tabSelected="1" zoomScaleNormal="100" workbookViewId="0"/>
  </sheetViews>
  <sheetFormatPr defaultColWidth="17.7109375" defaultRowHeight="15" outlineLevelRow="1" x14ac:dyDescent="0.25"/>
  <cols>
    <col min="1" max="1" width="1.7109375" style="40" customWidth="1"/>
    <col min="2" max="2" width="1.7109375" style="41" customWidth="1"/>
    <col min="3" max="3" width="55.7109375" style="1" customWidth="1"/>
    <col min="4" max="7" width="17.7109375" style="1"/>
    <col min="8" max="16384" width="17.7109375" style="15"/>
  </cols>
  <sheetData>
    <row r="1" spans="1:19" s="1" customFormat="1" x14ac:dyDescent="0.25">
      <c r="A1" s="40"/>
      <c r="B1" s="41"/>
    </row>
    <row r="2" spans="1:19" s="73" customFormat="1" ht="18.75" x14ac:dyDescent="0.3">
      <c r="A2" s="72" t="str">
        <f>""</f>
        <v/>
      </c>
      <c r="B2" s="72"/>
      <c r="C2" s="4" t="e" cm="1">
        <f t="array" aca="1" ref="C2" ca="1">_xlfn.TEXTBEFORE(INDIRECT("Consensus!A2"),"|")&amp;"- Financial Model"</f>
        <v>#REF!</v>
      </c>
      <c r="D2" s="73" cm="1">
        <f t="array" aca="1" ref="D2" ca="1">IFERROR(--(D9:OFFSET(D9,0,F6-D9)&lt;($D$6+3)),1)</f>
        <v>1</v>
      </c>
    </row>
    <row r="3" spans="1:19" s="11" customFormat="1" x14ac:dyDescent="0.25">
      <c r="A3" s="50"/>
      <c r="B3" s="41"/>
      <c r="C3" s="59" t="e" cm="1">
        <f t="array" aca="1" ref="C3" ca="1">INDIRECT("Consensus!A3")</f>
        <v>#REF!</v>
      </c>
      <c r="D3" s="11" t="e">
        <f ca="1">TRIM(_xlfn.TEXTBEFORE(_xlfn.TEXTAFTER(C3,":")," "))</f>
        <v>#REF!</v>
      </c>
      <c r="E3" s="11">
        <f ca="1">IFERROR(1-(DATE(C6,MONTH(D7),DAY(D7))&lt;D12),1)</f>
        <v>1</v>
      </c>
      <c r="F3" s="11" t="e" cm="1">
        <f t="array" aca="1" ref="F3" ca="1">_xlfn.XLOOKUP(F8,H5:K5,_xlfn.ANCHORARRAY(D5))</f>
        <v>#VALUE!</v>
      </c>
      <c r="G3" s="22" cm="1">
        <f t="array" aca="1" ref="G3" ca="1">IF(ISERROR(C3),1,_xlfn.SEQUENCE(,12))</f>
        <v>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s="11" customFormat="1" x14ac:dyDescent="0.25">
      <c r="A4" s="50"/>
      <c r="B4" s="41"/>
      <c r="C4" s="60" t="e" cm="1">
        <f t="array" aca="1" ref="C4" ca="1">_xlfn.TEXTBEFORE(INDIRECT("Consensus!A11")," (")&amp;", Except for per share data"</f>
        <v>#REF!</v>
      </c>
      <c r="E4" s="14">
        <f ca="1">IFERROR(YEARFRAC(DATE(D6-1,MONTH(D12),DAY(D12)),D7,3),1)</f>
        <v>1.6</v>
      </c>
      <c r="F4" s="14">
        <f ca="1">IFERROR(YEARFRAC(D7,DATE(D6,MONTH(D12),DAY(D12)),3),1)</f>
        <v>0.59726027397260273</v>
      </c>
      <c r="G4" s="22" t="str">
        <f>"Jan"</f>
        <v>Jan</v>
      </c>
      <c r="H4" s="22" t="str">
        <f>"Feb"</f>
        <v>Feb</v>
      </c>
      <c r="I4" s="22" t="str">
        <f>"Mar"</f>
        <v>Mar</v>
      </c>
      <c r="J4" s="22" t="str">
        <f>"Apr"</f>
        <v>Apr</v>
      </c>
      <c r="K4" s="22" t="str">
        <f>"May"</f>
        <v>May</v>
      </c>
      <c r="L4" s="22" t="str">
        <f>"Jun"</f>
        <v>Jun</v>
      </c>
      <c r="M4" s="22" t="str">
        <f>"Jul"</f>
        <v>Jul</v>
      </c>
      <c r="N4" s="22" t="str">
        <f>"Aug"</f>
        <v>Aug</v>
      </c>
      <c r="O4" s="22" t="str">
        <f>"Sep"</f>
        <v>Sep</v>
      </c>
      <c r="P4" s="22" t="str">
        <f>"Oct"</f>
        <v>Oct</v>
      </c>
      <c r="Q4" s="22" t="str">
        <f>"Nov"</f>
        <v>Nov</v>
      </c>
      <c r="R4" s="22" t="str">
        <f>"Dec"</f>
        <v>Dec</v>
      </c>
    </row>
    <row r="5" spans="1:19" x14ac:dyDescent="0.25">
      <c r="A5" s="50"/>
      <c r="C5" s="60" t="e" cm="1">
        <f t="array" aca="1" ref="C5" ca="1">_xlfn.TEXTAFTER(INDIRECT("Consensus!A15"),"|   ")</f>
        <v>#REF!</v>
      </c>
      <c r="D5" s="11" cm="1">
        <f t="array" aca="1" ref="D5" ca="1">IF(ISERROR(C3),1,_xlfn.SEQUENCE(,4))</f>
        <v>1</v>
      </c>
      <c r="E5" s="11"/>
      <c r="F5" s="11"/>
      <c r="G5" s="11"/>
      <c r="H5" s="11" t="str">
        <f>C103</f>
        <v>Analyst's Case</v>
      </c>
      <c r="I5" s="11" t="str">
        <f>C132</f>
        <v>Street Case</v>
      </c>
      <c r="J5" s="11" t="str">
        <f>C161</f>
        <v>Optimistic Case</v>
      </c>
      <c r="K5" s="22" t="str">
        <f>C190</f>
        <v>Conservative Case</v>
      </c>
      <c r="L5" s="15" t="str">
        <f>"Current Share Price"</f>
        <v>Current Share Price</v>
      </c>
      <c r="N5" s="57" t="e">
        <f ca="1">IF(O5,O5,AVERAGE(S6:S8))</f>
        <v>#DIV/0!</v>
      </c>
      <c r="O5" s="36"/>
      <c r="P5" s="15" t="str">
        <f>"Exit Multiple (EBITDA)"</f>
        <v>Exit Multiple (EBITDA)</v>
      </c>
      <c r="R5" s="37" cm="1">
        <f t="array" aca="1" ref="R5" ca="1">IFERROR(INDEX(_xlfn.ANCHORARRAY(D72),,COUNTA(_xlfn.ANCHORARRAY(D72))),8)</f>
        <v>8</v>
      </c>
    </row>
    <row r="6" spans="1:19" x14ac:dyDescent="0.25">
      <c r="A6" s="50"/>
      <c r="C6" s="11" t="e" cm="1">
        <f t="array" aca="1" ref="C6" ca="1">IF(G8,G8,_xlfn.NUMBERVALUE(_xlfn.TEXTBEFORE(_xlfn.TEXTAFTER(INDIRECT("Consensus!B18"),"FY ")," ")))</f>
        <v>#REF!</v>
      </c>
      <c r="D6" s="11">
        <f ca="1">IFERROR(MIN(_xlfn.NUMBERVALUE(_xlfn.TEXTBEFORE(_xlfn.TEXTAFTER(C5,"FY "),")"))+E3,_xlfn.XLOOKUP(D7,_xlfn.ANCHORARRAY(D13),$D$9:OFFSET($D$9,0,$F$6-$D$9))),YEAR(D7))</f>
        <v>2025</v>
      </c>
      <c r="E6" s="11" t="e" cm="1">
        <f t="array" aca="1" ref="E6" ca="1">_xlfn.NUMBERVALUE(_xlfn.TEXTBEFORE(_xlfn.TEXTAFTER(OFFSET(INDIRECT("Consensus!A18"),0,COUNTA(INDIRECT("Consensus!18:18"))-1),"FY ")," "))</f>
        <v>#REF!</v>
      </c>
      <c r="F6" s="11">
        <f ca="1">IFERROR(IF(I8,I8,D6+9),1)</f>
        <v>2034</v>
      </c>
      <c r="G6" s="11" t="e" cm="1">
        <f t="array" aca="1" ref="G6" ca="1">_xlfn.NUMBERVALUE(INDEX(_xlfn.TEXTSPLIT(C5,"-"),,2))</f>
        <v>#REF!</v>
      </c>
      <c r="H6" s="11" t="e" cm="1">
        <f t="array" aca="1" ref="H6" ca="1">_xlfn.XLOOKUP(_xlfn.TEXTAFTER(_xlfn.TEXTBEFORE(C5,"-"),": "),$G$4:$R$4,_xlfn.ANCHORARRAY($G$3))</f>
        <v>#REF!</v>
      </c>
      <c r="I6" s="11" t="s">
        <v>0</v>
      </c>
      <c r="J6" s="11" t="e">
        <f ca="1">_xlfn.XMATCH(I6,INDIRECT("'Public Company'!A:A"))</f>
        <v>#REF!</v>
      </c>
      <c r="K6" s="11" t="e" cm="1">
        <f t="array" aca="1" ref="K6" ca="1">INDIRECT("'Public Company'!C"&amp;J6)</f>
        <v>#REF!</v>
      </c>
      <c r="L6" s="15" t="str">
        <f>"DCF ("&amp;_xlfn.TEXTAFTER(C229,"(")</f>
        <v>DCF (Exit Multiple)</v>
      </c>
      <c r="N6" s="57">
        <f ca="1">IFERROR(D243,1)</f>
        <v>1</v>
      </c>
      <c r="O6" s="58">
        <f ca="1">IFERROR(D245,1)</f>
        <v>1</v>
      </c>
      <c r="P6" s="15" t="str">
        <f>"Terminal Growth Rate"</f>
        <v>Terminal Growth Rate</v>
      </c>
      <c r="R6" s="38">
        <f>2.5%</f>
        <v>2.5000000000000001E-2</v>
      </c>
      <c r="S6" s="11" t="str" cm="1">
        <f t="array" aca="1" ref="S6" ca="1">IF(SUM(--(ISNUMBER(S7:S8)))&gt;0,AVERAGE(S7:S8),IFERROR(_xlfn.XLOOKUP(D7,13:13,68:68),"NA"))</f>
        <v>NA</v>
      </c>
    </row>
    <row r="7" spans="1:19" x14ac:dyDescent="0.25">
      <c r="A7" s="50"/>
      <c r="C7" s="15" t="str">
        <f>"Valuation Date"</f>
        <v>Valuation Date</v>
      </c>
      <c r="D7" s="55">
        <f ca="1">TODAY()</f>
        <v>45876</v>
      </c>
      <c r="E7" s="11" t="e" cm="1">
        <f t="array" aca="1" ref="E7" ca="1">_xlfn.TEXTBEFORE(ADDRESS(1,_xlfn.XMATCH(C6,_xlfn.NUMBERVALUE(_xlfn.TEXTBEFORE(_xlfn.TEXTAFTER(INDIRECT("Consensus!18:18"),"FY ")," "))),4),1)</f>
        <v>#REF!</v>
      </c>
      <c r="F7" s="24" t="str">
        <f>"Scenario"</f>
        <v>Scenario</v>
      </c>
      <c r="G7" s="18" t="str">
        <f>"Actuals Start"</f>
        <v>Actuals Start</v>
      </c>
      <c r="H7" s="18" t="str">
        <f>"Estimates Start"</f>
        <v>Estimates Start</v>
      </c>
      <c r="I7" s="18" t="str">
        <f>"Estimates End"</f>
        <v>Estimates End</v>
      </c>
      <c r="J7" s="19" t="str">
        <f>"Default: All actuals, 10Y estimates"</f>
        <v>Default: All actuals, 10Y estimates</v>
      </c>
      <c r="L7" s="15" t="str">
        <f>"DCF ("&amp;_xlfn.TEXTAFTER(C247,"(")</f>
        <v>DCF (Perpetuity)</v>
      </c>
      <c r="N7" s="57">
        <f ca="1">IFERROR(D261,1)</f>
        <v>1</v>
      </c>
      <c r="O7" s="58">
        <f ca="1">IFERROR(D263,1)</f>
        <v>1</v>
      </c>
      <c r="P7" s="15" t="str">
        <f>"Nebt Debt"</f>
        <v>Nebt Debt</v>
      </c>
      <c r="R7" s="39">
        <f ca="1">IFERROR(_xlfn.XLOOKUP(D7,13:13,58:58),1)</f>
        <v>1</v>
      </c>
      <c r="S7" s="11" t="str">
        <f ca="1">IFERROR(K6,"NA")</f>
        <v>NA</v>
      </c>
    </row>
    <row r="8" spans="1:19" x14ac:dyDescent="0.25">
      <c r="A8" s="50"/>
      <c r="C8" s="15" t="str">
        <f>"Weighted-Average Cost of Capital"</f>
        <v>Weighted-Average Cost of Capital</v>
      </c>
      <c r="D8" s="56">
        <f ca="1">IF(N8,N8,D288)</f>
        <v>4.2619999999999998E-2</v>
      </c>
      <c r="E8" s="11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33" t="str">
        <f>"Street Case"</f>
        <v>Street Case</v>
      </c>
      <c r="G8" s="33"/>
      <c r="H8" s="34"/>
      <c r="I8" s="34"/>
      <c r="J8" s="19" t="str">
        <f>"Overwrite years"</f>
        <v>Overwrite years</v>
      </c>
      <c r="L8" s="15" t="str">
        <f>"WACC (Overwrite)"</f>
        <v>WACC (Overwrite)</v>
      </c>
      <c r="N8" s="35">
        <f ca="1">IFERROR(D288,10%)</f>
        <v>4.2619999999999998E-2</v>
      </c>
      <c r="P8" s="15" t="str">
        <f>"Diluted Shares"</f>
        <v>Diluted Shares</v>
      </c>
      <c r="R8" s="39">
        <f ca="1">IFERROR(_xlfn.XLOOKUP(D7,13:13,53:53),1)</f>
        <v>1</v>
      </c>
      <c r="S8" s="11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11" customFormat="1" x14ac:dyDescent="0.25">
      <c r="A9" s="41"/>
      <c r="B9" s="41"/>
      <c r="D9" s="11" t="e">
        <f ca="1">C6</f>
        <v>#REF!</v>
      </c>
      <c r="E9" s="11" cm="1">
        <f t="array" aca="1" ref="E9" ca="1">IFERROR(_xlfn.SEQUENCE(,F6-D9)+D9,1)</f>
        <v>1</v>
      </c>
    </row>
    <row r="10" spans="1:19" s="11" customFormat="1" x14ac:dyDescent="0.25">
      <c r="A10" s="50"/>
      <c r="B10" s="41"/>
      <c r="C10" s="16" t="str">
        <f>"Consensus Estimates"</f>
        <v>Consensus Estimates</v>
      </c>
      <c r="D10" s="11" cm="1">
        <f t="array" aca="1" ref="D10" ca="1">IFERROR(--(D9:OFFSET(D9,0,F6-D9)&lt;$D$6),1)</f>
        <v>1</v>
      </c>
    </row>
    <row r="11" spans="1:19" s="10" customFormat="1" x14ac:dyDescent="0.25">
      <c r="A11" s="68" t="str">
        <f>""</f>
        <v/>
      </c>
      <c r="B11" s="69"/>
      <c r="D11" s="10" cm="1">
        <f t="array" aca="1" ref="D11" ca="1">IFERROR(IF($D$9:OFFSET($D$9,0,$F$6-$D$9)&lt;$D$6,TEXT($D$9:OFFSET($D$9,0,$F$6-$D$9),"0A"),TEXT($D$9:OFFSET($D$9,0,$F$6-$D$9),"0")&amp;"E"),1)</f>
        <v>1</v>
      </c>
    </row>
    <row r="12" spans="1:19" s="8" customFormat="1" x14ac:dyDescent="0.25">
      <c r="A12" s="62"/>
      <c r="B12" s="66"/>
      <c r="C12" s="3" t="str">
        <f>"Fiscal Year"</f>
        <v>Fiscal Year</v>
      </c>
      <c r="D12" s="8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8" customFormat="1" x14ac:dyDescent="0.25">
      <c r="A13" s="62"/>
      <c r="B13" s="66"/>
      <c r="C13" s="3" t="str">
        <f>"Valuation Date"</f>
        <v>Valuation Date</v>
      </c>
      <c r="D13" s="8" cm="1">
        <f t="array" aca="1" ref="D13" ca="1">IFERROR(DATE(D9:OFFSET(D9,0,F6-D9)-E3,MONTH(D7),DAY(D7)),1)</f>
        <v>1</v>
      </c>
    </row>
    <row r="14" spans="1:19" s="1" customFormat="1" x14ac:dyDescent="0.25">
      <c r="A14" s="40"/>
      <c r="B14" s="41"/>
    </row>
    <row r="15" spans="1:19" s="6" customFormat="1" x14ac:dyDescent="0.25">
      <c r="A15" s="40"/>
      <c r="B15" s="41"/>
      <c r="C15" s="1" t="str">
        <f>"Revenue"</f>
        <v>Revenue</v>
      </c>
      <c r="D15" s="6" t="str" cm="1">
        <f t="array" aca="1" ref="D15" ca="1">IFERROR(_xlfn.NUMBERVALUE(_xlfn.TEXTBEFORE(INDIRECT("Consensus!"&amp;$E$7&amp;B16&amp;":"&amp;$E$8&amp;B16)," ")),"NA")</f>
        <v>NA</v>
      </c>
    </row>
    <row r="16" spans="1:19" s="12" customFormat="1" x14ac:dyDescent="0.25">
      <c r="A16" s="43"/>
      <c r="B16" s="41" t="e">
        <f ca="1">_xlfn.XMATCH(C15,INDIRECT("Consensus!A:A"))</f>
        <v>#REF!</v>
      </c>
      <c r="C16" s="9" t="str">
        <f>"% growth"</f>
        <v>% growth</v>
      </c>
      <c r="E16" s="12" t="str" cm="1">
        <f t="array" aca="1" ref="E16" ca="1">IFERROR(E15:OFFSET(E15,,F6-D9-1)/D15:OFFSET(D15,,F6-D9-1)-1,"NA ")</f>
        <v xml:space="preserve">NA </v>
      </c>
    </row>
    <row r="17" spans="1:4" s="6" customFormat="1" x14ac:dyDescent="0.25">
      <c r="A17" s="40"/>
      <c r="B17" s="41"/>
      <c r="C17" s="1"/>
    </row>
    <row r="18" spans="1:4" s="6" customFormat="1" x14ac:dyDescent="0.25">
      <c r="A18" s="40"/>
      <c r="B18" s="41"/>
      <c r="C18" s="1" t="str">
        <f>"EBITDA"</f>
        <v>EBITDA</v>
      </c>
      <c r="D18" s="6" t="str" cm="1">
        <f t="array" aca="1" ref="D18" ca="1">IFERROR(_xlfn.NUMBERVALUE(_xlfn.TEXTBEFORE(INDIRECT("Consensus!"&amp;$E$7&amp;B19&amp;":"&amp;$E$8&amp;B19)," ")),"NA")</f>
        <v>NA</v>
      </c>
    </row>
    <row r="19" spans="1:4" s="12" customFormat="1" x14ac:dyDescent="0.25">
      <c r="A19" s="43"/>
      <c r="B19" s="41" t="e">
        <f ca="1">_xlfn.XMATCH(C18,INDIRECT("Consensus!A:A"))</f>
        <v>#REF!</v>
      </c>
      <c r="C19" s="9" t="str">
        <f>"% of Revenue"</f>
        <v>% of Revenue</v>
      </c>
      <c r="D19" s="12" t="str" cm="1">
        <f t="array" aca="1" ref="D19" ca="1">IFERROR(D18:OFFSET(D18,0,$F$6-$D$9)/D$15:OFFSET(D$15,0,$F$6-$D$9),"NA ")</f>
        <v xml:space="preserve">NA </v>
      </c>
    </row>
    <row r="20" spans="1:4" s="6" customFormat="1" x14ac:dyDescent="0.25">
      <c r="A20" s="40"/>
      <c r="B20" s="41"/>
      <c r="C20" s="1"/>
    </row>
    <row r="21" spans="1:4" s="6" customFormat="1" x14ac:dyDescent="0.25">
      <c r="A21" s="40"/>
      <c r="B21" s="41"/>
      <c r="C21" s="1" t="str">
        <f>"EBIT"</f>
        <v>EBIT</v>
      </c>
      <c r="D21" s="6" t="str" cm="1">
        <f t="array" aca="1" ref="D21" ca="1">IFERROR(_xlfn.NUMBERVALUE(_xlfn.TEXTBEFORE(INDIRECT("Consensus!"&amp;$E$7&amp;B22&amp;":"&amp;$E$8&amp;B22)," ")),"NA")</f>
        <v>NA</v>
      </c>
    </row>
    <row r="22" spans="1:4" s="12" customFormat="1" x14ac:dyDescent="0.25">
      <c r="A22" s="43"/>
      <c r="B22" s="41" t="e">
        <f ca="1">_xlfn.XMATCH(C21,INDIRECT("Consensus!A:A"))</f>
        <v>#REF!</v>
      </c>
      <c r="C22" s="9" t="str">
        <f>"% of Revenue"</f>
        <v>% of Revenue</v>
      </c>
      <c r="D22" s="12" t="str" cm="1">
        <f t="array" aca="1" ref="D22" ca="1">IFERROR(D21:OFFSET(D21,0,$F$6-$D$9)/D$15:OFFSET(D$15,0,$F$6-$D$9),"NA ")</f>
        <v xml:space="preserve">NA </v>
      </c>
    </row>
    <row r="23" spans="1:4" s="6" customFormat="1" x14ac:dyDescent="0.25">
      <c r="A23" s="40"/>
      <c r="B23" s="41"/>
      <c r="C23" s="1"/>
    </row>
    <row r="24" spans="1:4" s="6" customFormat="1" x14ac:dyDescent="0.25">
      <c r="A24" s="40"/>
      <c r="B24" s="41"/>
      <c r="C24" s="1" t="str">
        <f>"Depreciation &amp; Amortization"</f>
        <v>Depreciation &amp; Amortization</v>
      </c>
      <c r="D24" s="6" t="str" cm="1">
        <f t="array" aca="1" ref="D24" ca="1">IFERROR(_xlfn.NUMBERVALUE(_xlfn.TEXTBEFORE(INDIRECT("Consensus!"&amp;$E$7&amp;B25&amp;":"&amp;$E$8&amp;B25)," ")),"NA")</f>
        <v>NA</v>
      </c>
    </row>
    <row r="25" spans="1:4" s="12" customFormat="1" x14ac:dyDescent="0.25">
      <c r="A25" s="43"/>
      <c r="B25" s="41" t="e">
        <f ca="1">_xlfn.XMATCH(C24,INDIRECT("Consensus!A:A"))</f>
        <v>#REF!</v>
      </c>
      <c r="C25" s="9" t="str">
        <f>"% of Revenue"</f>
        <v>% of Revenue</v>
      </c>
      <c r="D25" s="12" t="str" cm="1">
        <f t="array" aca="1" ref="D25" ca="1">IFERROR(D24:OFFSET(D24,0,$F$6-$D$9)/D$15:OFFSET(D$15,0,$F$6-$D$9),"NA ")</f>
        <v xml:space="preserve">NA </v>
      </c>
    </row>
    <row r="26" spans="1:4" s="6" customFormat="1" x14ac:dyDescent="0.25">
      <c r="A26" s="40"/>
      <c r="B26" s="41"/>
      <c r="C26" s="1"/>
    </row>
    <row r="27" spans="1:4" s="6" customFormat="1" x14ac:dyDescent="0.25">
      <c r="A27" s="40"/>
      <c r="B27" s="41"/>
      <c r="C27" s="1" t="str">
        <f>"Capital Expenditures"</f>
        <v>Capital Expenditures</v>
      </c>
      <c r="D27" s="6" t="str" cm="1">
        <f t="array" aca="1" ref="D27" ca="1">IFERROR(-_xlfn.NUMBERVALUE(_xlfn.TEXTBEFORE(INDIRECT("Consensus!"&amp;$E$7&amp;B28&amp;":"&amp;$E$8&amp;B28)," ")),"NA")</f>
        <v>NA</v>
      </c>
    </row>
    <row r="28" spans="1:4" s="12" customFormat="1" x14ac:dyDescent="0.25">
      <c r="A28" s="43"/>
      <c r="B28" s="41" t="e">
        <f ca="1">_xlfn.XMATCH(C27,INDIRECT("Consensus!A:A"))</f>
        <v>#REF!</v>
      </c>
      <c r="C28" s="9" t="str">
        <f>"% of Revenue"</f>
        <v>% of Revenue</v>
      </c>
      <c r="D28" s="12" t="str" cm="1">
        <f t="array" aca="1" ref="D28" ca="1">IFERROR(-D27:OFFSET(D27,0,$F$6-$D$9)/D$15:OFFSET(D$15,0,$F$6-$D$9),"NA ")</f>
        <v xml:space="preserve">NA </v>
      </c>
    </row>
    <row r="29" spans="1:4" s="6" customFormat="1" x14ac:dyDescent="0.25">
      <c r="A29" s="40"/>
      <c r="B29" s="41"/>
      <c r="C29" s="1"/>
    </row>
    <row r="30" spans="1:4" s="6" customFormat="1" x14ac:dyDescent="0.25">
      <c r="A30" s="40"/>
      <c r="B30" s="41"/>
      <c r="C30" s="1" t="e" cm="1">
        <f t="array" aca="1" ref="C30" ca="1">INDIRECT("Consensus!A"&amp;B31)</f>
        <v>#REF!</v>
      </c>
      <c r="D30" s="6" t="str" cm="1">
        <f t="array" aca="1" ref="D30" ca="1">IFERROR(_xlfn.NUMBERVALUE(_xlfn.TEXTBEFORE(INDIRECT("Consensus!"&amp;$E$7&amp;B31&amp;":"&amp;$E$8&amp;B31)," ")),"NA")</f>
        <v>NA</v>
      </c>
    </row>
    <row r="31" spans="1:4" s="12" customFormat="1" x14ac:dyDescent="0.25">
      <c r="A31" s="43"/>
      <c r="B31" s="41" t="e" cm="1">
        <f t="array" aca="1" ref="B31" ca="1">_xlfn.XMATCH(1,SEARCH("Net Income (",INDIRECT("Consensus!A:A")))</f>
        <v>#REF!</v>
      </c>
      <c r="C31" s="9" t="str">
        <f>"% of Revenue"</f>
        <v>% of Revenue</v>
      </c>
      <c r="D31" s="12" t="str" cm="1">
        <f t="array" aca="1" ref="D31" ca="1">IFERROR(D30:OFFSET(D30,0,$F$6-$D$9)/D$15:OFFSET(D$15,0,$F$6-$D$9),"NA ")</f>
        <v xml:space="preserve">NA </v>
      </c>
    </row>
    <row r="32" spans="1:4" s="6" customFormat="1" x14ac:dyDescent="0.25">
      <c r="A32" s="40"/>
      <c r="B32" s="41"/>
      <c r="C32" s="1"/>
    </row>
    <row r="33" spans="1:5" s="6" customFormat="1" x14ac:dyDescent="0.25">
      <c r="A33" s="40"/>
      <c r="B33" s="41"/>
      <c r="C33" s="1" t="str">
        <f>"Cash From Operations"</f>
        <v>Cash From Operations</v>
      </c>
      <c r="D33" s="6" t="str" cm="1">
        <f t="array" aca="1" ref="D33" ca="1">IFERROR(_xlfn.NUMBERVALUE(_xlfn.TEXTBEFORE(INDIRECT("Consensus!"&amp;$E$7&amp;B34&amp;":"&amp;$E$8&amp;B34)," ")),"NA")</f>
        <v>NA</v>
      </c>
    </row>
    <row r="34" spans="1:5" s="12" customFormat="1" x14ac:dyDescent="0.25">
      <c r="A34" s="43"/>
      <c r="B34" s="41" t="e">
        <f ca="1">_xlfn.XMATCH(C33,INDIRECT("Consensus!A:A"))</f>
        <v>#REF!</v>
      </c>
      <c r="C34" s="9" t="str">
        <f>"% of Revenue"</f>
        <v>% of Revenue</v>
      </c>
      <c r="D34" s="12" t="str" cm="1">
        <f t="array" aca="1" ref="D34" ca="1">IFERROR(D33:OFFSET(D33,0,$F$6-$D$9)/D$15:OFFSET(D$15,0,$F$6-$D$9),"NA ")</f>
        <v xml:space="preserve">NA </v>
      </c>
    </row>
    <row r="35" spans="1:5" s="6" customFormat="1" x14ac:dyDescent="0.25">
      <c r="A35" s="40"/>
      <c r="B35" s="41"/>
      <c r="C35" s="1"/>
    </row>
    <row r="36" spans="1:5" s="6" customFormat="1" x14ac:dyDescent="0.25">
      <c r="A36" s="40"/>
      <c r="B36" s="41"/>
      <c r="C36" s="1" t="str">
        <f>"Change in Working Capital &amp; Other Non-Cash Expenses"</f>
        <v>Change in Working Capital &amp; Other Non-Cash Expenses</v>
      </c>
      <c r="D36" s="6" t="str" cm="1">
        <f t="array" aca="1" ref="D36" ca="1">IFERROR(D33:OFFSET(D33,0,$F$6-$D$9)-D30:OFFSET(D30,0,$F$6-$D$9)-D24:OFFSET(D24,0,$F$6-$D$9),"NA")</f>
        <v>NA</v>
      </c>
    </row>
    <row r="37" spans="1:5" s="12" customFormat="1" x14ac:dyDescent="0.25">
      <c r="A37" s="43"/>
      <c r="B37" s="41"/>
      <c r="C37" s="9" t="str">
        <f>"% of Revenue"</f>
        <v>% of Revenue</v>
      </c>
      <c r="D37" s="12" t="str" cm="1">
        <f t="array" aca="1" ref="D37" ca="1">IFERROR(D36:OFFSET(D36,0,$F$6-$D$9)/D$15:OFFSET(D$15,0,$F$6-$D$9),"NA ")</f>
        <v xml:space="preserve">NA </v>
      </c>
    </row>
    <row r="38" spans="1:5" s="12" customFormat="1" x14ac:dyDescent="0.25">
      <c r="A38" s="43"/>
      <c r="B38" s="49"/>
      <c r="C38" s="9" t="str">
        <f>"% of Change in Revenue"</f>
        <v>% of Change in Revenue</v>
      </c>
      <c r="E38" s="12" t="str" cm="1">
        <f t="array" aca="1" ref="E38" ca="1">IFERROR(E36:OFFSET(E36,,$F$6-$D$9-1)/($E$15:OFFSET($E$15,,$F$6-$D$9-1)-$D$15:OFFSET($D$15,,$F$6-$D$9-1)),"NA ")</f>
        <v xml:space="preserve">NA </v>
      </c>
    </row>
    <row r="39" spans="1:5" s="6" customFormat="1" x14ac:dyDescent="0.25">
      <c r="A39" s="40"/>
      <c r="B39" s="41"/>
      <c r="C39" s="1"/>
    </row>
    <row r="40" spans="1:5" s="6" customFormat="1" x14ac:dyDescent="0.25">
      <c r="A40" s="40"/>
      <c r="B40" s="41"/>
      <c r="C40" s="1" t="str">
        <f>"Normalized Taxes"</f>
        <v>Normalized Taxes</v>
      </c>
      <c r="D40" s="6" t="str" cm="1">
        <f t="array" aca="1" ref="D40" ca="1">IFERROR(-D41:OFFSET(D41,0,$F$6-$D$9)*D21:OFFSET(D21,0,$F$6-$D$9),"NA")</f>
        <v>NA</v>
      </c>
    </row>
    <row r="41" spans="1:5" s="12" customFormat="1" x14ac:dyDescent="0.25">
      <c r="A41" s="43"/>
      <c r="B41" s="49"/>
      <c r="C41" s="9" t="str">
        <f>"Effective Tax Rate (%)"</f>
        <v>Effective Tax Rate (%)</v>
      </c>
      <c r="D41" s="12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6" customFormat="1" x14ac:dyDescent="0.25">
      <c r="A42" s="40"/>
      <c r="B42" s="41" t="e">
        <f ca="1">_xlfn.XMATCH(C41,INDIRECT("Consensus!A:A"))</f>
        <v>#REF!</v>
      </c>
      <c r="C42" s="1"/>
    </row>
    <row r="43" spans="1:5" s="6" customFormat="1" x14ac:dyDescent="0.25">
      <c r="A43" s="40"/>
      <c r="B43" s="41"/>
      <c r="C43" s="1" t="str">
        <f>"EBIAT/NOPAT"</f>
        <v>EBIAT/NOPAT</v>
      </c>
      <c r="D43" s="6" t="str" cm="1">
        <f t="array" aca="1" ref="D43" ca="1">IFERROR(D21:OFFSET(D21,0,$F$6-$D$9)+D40:OFFSET(D40,0,$F$6-$D$9),"NA")</f>
        <v>NA</v>
      </c>
    </row>
    <row r="44" spans="1:5" s="12" customFormat="1" x14ac:dyDescent="0.25">
      <c r="A44" s="43"/>
      <c r="B44" s="49"/>
      <c r="C44" s="9" t="str">
        <f>"% of Revenue"</f>
        <v>% of Revenue</v>
      </c>
      <c r="D44" s="12" t="str" cm="1">
        <f t="array" aca="1" ref="D44" ca="1">IFERROR(D43:OFFSET(D43,0,$F$6-$D$9)/D$15:OFFSET(D$15,0,$F$6-$D$9),"NA ")</f>
        <v xml:space="preserve">NA </v>
      </c>
    </row>
    <row r="45" spans="1:5" s="6" customFormat="1" x14ac:dyDescent="0.25">
      <c r="A45" s="40"/>
      <c r="B45" s="41"/>
      <c r="C45" s="1"/>
    </row>
    <row r="46" spans="1:5" s="6" customFormat="1" x14ac:dyDescent="0.25">
      <c r="A46" s="40"/>
      <c r="B46" s="41"/>
      <c r="C46" s="1" t="str">
        <f>"Unlevered Free Cash Flow"</f>
        <v>Unlevered Free Cash Flow</v>
      </c>
      <c r="D46" s="6" t="str" cm="1">
        <f t="array" aca="1" ref="D46" ca="1">IFERROR(D43:OFFSET(D43,0,$F$6-$D$9)+D24:OFFSET(D24,0,$F$6-$D$9)+D36:OFFSET(D36,0,$F$6-$D$9)+D27:OFFSET(D27,0,$F$6-$D$9),"NA")</f>
        <v>NA</v>
      </c>
    </row>
    <row r="47" spans="1:5" s="12" customFormat="1" x14ac:dyDescent="0.25">
      <c r="A47" s="43"/>
      <c r="B47" s="49"/>
      <c r="C47" s="9" t="str">
        <f>"% of Revenue"</f>
        <v>% of Revenue</v>
      </c>
      <c r="D47" s="12" t="str" cm="1">
        <f t="array" aca="1" ref="D47" ca="1">IFERROR(D46:OFFSET(D46,0,$F$6-$D$9)/D$15:OFFSET(D$15,0,$F$6-$D$9),"NA ")</f>
        <v xml:space="preserve">NA </v>
      </c>
    </row>
    <row r="48" spans="1:5" s="6" customFormat="1" x14ac:dyDescent="0.25">
      <c r="A48" s="40"/>
      <c r="B48" s="41"/>
      <c r="C48" s="1"/>
    </row>
    <row r="49" spans="1:4" s="6" customFormat="1" x14ac:dyDescent="0.25">
      <c r="A49" s="40"/>
      <c r="B49" s="41"/>
      <c r="C49" s="1" t="str">
        <f>"Avg. Diluted Shares Outstanding"</f>
        <v>Avg. Diluted Shares Outstanding</v>
      </c>
      <c r="D49" s="6" t="str" cm="1">
        <f t="array" aca="1" ref="D49" ca="1">IFERROR(_xlfn.NUMBERVALUE(_xlfn.TEXTBEFORE(INDIRECT("Consensus!"&amp;$E$7&amp;B50&amp;":"&amp;$E$8&amp;B50)," ")),"NA")</f>
        <v>NA</v>
      </c>
    </row>
    <row r="50" spans="1:4" s="6" customFormat="1" x14ac:dyDescent="0.25">
      <c r="A50" s="40"/>
      <c r="B50" s="41" t="e">
        <f ca="1">_xlfn.XMATCH(C49,INDIRECT("Consensus!A:A"))</f>
        <v>#REF!</v>
      </c>
      <c r="C50" s="1"/>
    </row>
    <row r="51" spans="1:4" s="6" customFormat="1" x14ac:dyDescent="0.25">
      <c r="A51" s="40"/>
      <c r="B51" s="41"/>
      <c r="C51" s="1" t="str">
        <f>"Diluted Shares Outstanding as of Fiscal Year End"</f>
        <v>Diluted Shares Outstanding as of Fiscal Year End</v>
      </c>
      <c r="D51" s="6" t="str" cm="1">
        <f t="array" aca="1" ref="D51" ca="1">IFERROR((D49:OFFSET(D49,0,$F$6-$D$9)+E49:OFFSET(E49,0,$F$6-$D$9))/2,"NA")</f>
        <v>NA</v>
      </c>
    </row>
    <row r="52" spans="1:4" s="6" customFormat="1" x14ac:dyDescent="0.25">
      <c r="A52" s="40"/>
      <c r="B52" s="41"/>
      <c r="C52" s="1"/>
    </row>
    <row r="53" spans="1:4" s="6" customFormat="1" x14ac:dyDescent="0.25">
      <c r="A53" s="40"/>
      <c r="B53" s="41"/>
      <c r="C53" s="1" t="str">
        <f>"Diluted Shares Outstanding as of Valuation Date"</f>
        <v>Diluted Shares Outstanding as of Valuation Date</v>
      </c>
      <c r="D53" s="6" t="str" cm="1">
        <f t="array" aca="1" ref="D53" ca="1">IFERROR(C51:OFFSET(C51,0,$F$6-$D$9)*(1-$E$4)+D51:OFFSET(D51,0,$F$6-$D$9)*(1-$F$4),"NA")</f>
        <v>NA</v>
      </c>
    </row>
    <row r="54" spans="1:4" s="6" customFormat="1" x14ac:dyDescent="0.25">
      <c r="A54" s="40"/>
      <c r="B54" s="41"/>
      <c r="C54" s="1"/>
    </row>
    <row r="55" spans="1:4" s="6" customFormat="1" x14ac:dyDescent="0.25">
      <c r="A55" s="40"/>
      <c r="B55" s="41"/>
      <c r="C55" s="1" t="str">
        <f>"Net Debt"</f>
        <v>Net Debt</v>
      </c>
      <c r="D55" s="6" t="str" cm="1">
        <f t="array" aca="1" ref="D55" ca="1">IFERROR(_xlfn.NUMBERVALUE(_xlfn.TEXTBEFORE(INDIRECT("Consensus!"&amp;$E$7&amp;B56&amp;":"&amp;$E$8&amp;B56)," ")),"NA")</f>
        <v>NA</v>
      </c>
    </row>
    <row r="56" spans="1:4" s="12" customFormat="1" x14ac:dyDescent="0.25">
      <c r="A56" s="43"/>
      <c r="B56" s="41" t="e">
        <f ca="1">_xlfn.XMATCH(C55,INDIRECT("Consensus!A:A"))</f>
        <v>#REF!</v>
      </c>
      <c r="C56" s="9" t="str">
        <f>"% of Revenue"</f>
        <v>% of Revenue</v>
      </c>
      <c r="D56" s="12" t="str" cm="1">
        <f t="array" aca="1" ref="D56" ca="1">IFERROR(D55:OFFSET(D55,0,$F$6-$D$9)/D$15:OFFSET(D$15,0,$F$6-$D$9),"NA ")</f>
        <v xml:space="preserve">NA </v>
      </c>
    </row>
    <row r="57" spans="1:4" s="6" customFormat="1" x14ac:dyDescent="0.25">
      <c r="A57" s="40"/>
      <c r="B57" s="41"/>
      <c r="C57" s="1"/>
    </row>
    <row r="58" spans="1:4" s="6" customFormat="1" x14ac:dyDescent="0.25">
      <c r="A58" s="40"/>
      <c r="B58" s="41"/>
      <c r="C58" s="1" t="str">
        <f>"Net Debt as of Valuation Date"</f>
        <v>Net Debt as of Valuation Date</v>
      </c>
      <c r="D58" s="6" t="str" cm="1">
        <f t="array" aca="1" ref="D58" ca="1">IFERROR(C55:OFFSET(C55,0,$F$6-$D$9)*(1-$E$4)+D55:OFFSET(D55,0,$F$6-$D$9)*(1-$F$4),"NA")</f>
        <v>NA</v>
      </c>
    </row>
    <row r="59" spans="1:4" s="6" customFormat="1" x14ac:dyDescent="0.25">
      <c r="A59" s="40"/>
      <c r="B59" s="41"/>
      <c r="C59" s="1"/>
    </row>
    <row r="60" spans="1:4" s="6" customFormat="1" x14ac:dyDescent="0.25">
      <c r="A60" s="40"/>
      <c r="B60" s="41"/>
      <c r="C60" s="1" t="str">
        <f>"Interest Expense"</f>
        <v>Interest Expense</v>
      </c>
      <c r="D60" s="6" t="str" cm="1">
        <f t="array" aca="1" ref="D60" ca="1">IFERROR(_xlfn.NUMBERVALUE(_xlfn.TEXTBEFORE(INDIRECT("Consensus!"&amp;$E$7&amp;B61&amp;":"&amp;$E$8&amp;B61)," ")),"NA")</f>
        <v>NA</v>
      </c>
    </row>
    <row r="61" spans="1:4" s="6" customFormat="1" x14ac:dyDescent="0.25">
      <c r="A61" s="40"/>
      <c r="B61" s="41" t="e">
        <f ca="1">_xlfn.XMATCH(C60,INDIRECT("Consensus!A:A"))</f>
        <v>#REF!</v>
      </c>
      <c r="C61" s="1"/>
    </row>
    <row r="62" spans="1:4" s="6" customFormat="1" x14ac:dyDescent="0.25">
      <c r="A62" s="40"/>
      <c r="B62" s="41"/>
      <c r="C62" s="1" t="str">
        <f>"TEV"</f>
        <v>TEV</v>
      </c>
      <c r="D62" s="6" t="str" cm="1">
        <f t="array" aca="1" ref="D62" ca="1">IFERROR(_xlfn.NUMBERVALUE(_xlfn.TEXTBEFORE(INDIRECT("Consensus!"&amp;$E$7&amp;B63&amp;":"&amp;$E$8&amp;B63)," ")),"NA")</f>
        <v>NA</v>
      </c>
    </row>
    <row r="63" spans="1:4" s="6" customFormat="1" x14ac:dyDescent="0.25">
      <c r="A63" s="40"/>
      <c r="B63" s="41" t="e">
        <f ca="1">_xlfn.XMATCH(C62,INDIRECT("Consensus!A:A"))</f>
        <v>#REF!</v>
      </c>
      <c r="C63" s="1"/>
    </row>
    <row r="64" spans="1:4" s="6" customFormat="1" x14ac:dyDescent="0.25">
      <c r="A64" s="40"/>
      <c r="B64" s="41"/>
      <c r="C64" s="1" t="str">
        <f>"Equity Value"</f>
        <v>Equity Value</v>
      </c>
      <c r="D64" s="6" t="str" cm="1">
        <f t="array" aca="1" ref="D64" ca="1">IFERROR(_xlfn.ANCHORARRAY(D62)-_xlfn.ANCHORARRAY(D55),"NA")</f>
        <v>NA</v>
      </c>
    </row>
    <row r="65" spans="1:18" s="6" customFormat="1" x14ac:dyDescent="0.25">
      <c r="A65" s="40"/>
      <c r="B65" s="41"/>
      <c r="C65" s="1"/>
    </row>
    <row r="66" spans="1:18" s="6" customFormat="1" x14ac:dyDescent="0.25">
      <c r="A66" s="40"/>
      <c r="B66" s="41"/>
      <c r="C66" s="1" t="str">
        <f>"Equity Value as of Valuation Date"</f>
        <v>Equity Value as of Valuation Date</v>
      </c>
      <c r="D66" s="6" t="str" cm="1">
        <f t="array" aca="1" ref="D66" ca="1">IFERROR(C64:OFFSET(C64,0,$F$6-$D$9)*(1-$E$4)+D64:OFFSET(D64,0,$F$6-$D$9)*(1-$F$4),"NA")</f>
        <v>NA</v>
      </c>
    </row>
    <row r="67" spans="1:18" s="6" customFormat="1" x14ac:dyDescent="0.25">
      <c r="A67" s="40"/>
      <c r="B67" s="41"/>
      <c r="C67" s="1"/>
    </row>
    <row r="68" spans="1:18" s="31" customFormat="1" x14ac:dyDescent="0.25">
      <c r="A68" s="40"/>
      <c r="B68" s="40"/>
      <c r="C68" s="1" t="str">
        <f>"Implied Share Price"</f>
        <v>Implied Share Price</v>
      </c>
      <c r="D68" s="31" t="str" cm="1">
        <f t="array" aca="1" ref="D68" ca="1">IFERROR(_xlfn.ANCHORARRAY(D66)/_xlfn.ANCHORARRAY(D53),"NA ")</f>
        <v xml:space="preserve">NA </v>
      </c>
    </row>
    <row r="69" spans="1:18" s="31" customFormat="1" x14ac:dyDescent="0.25">
      <c r="A69" s="40"/>
      <c r="B69" s="40"/>
      <c r="C69" s="1"/>
    </row>
    <row r="70" spans="1:18" s="32" customFormat="1" x14ac:dyDescent="0.25">
      <c r="A70" s="63"/>
      <c r="B70" s="63"/>
      <c r="C70" s="28" t="str">
        <f>"Implied EV/EBITDA Multiple"</f>
        <v>Implied EV/EBITDA Multiple</v>
      </c>
      <c r="D70" s="32" t="str" cm="1">
        <f t="array" aca="1" ref="D70" ca="1">IFERROR(_xlfn.ANCHORARRAY(D62)/_xlfn.ANCHORARRAY(D18),"NA")</f>
        <v>NA</v>
      </c>
    </row>
    <row r="71" spans="1:18" s="32" customFormat="1" x14ac:dyDescent="0.25">
      <c r="A71" s="63"/>
      <c r="B71" s="63"/>
      <c r="C71" s="28"/>
    </row>
    <row r="72" spans="1:18" s="32" customFormat="1" x14ac:dyDescent="0.25">
      <c r="A72" s="63"/>
      <c r="B72" s="63"/>
      <c r="C72" s="1" t="str">
        <f>"EV/EBITDA Multiple as of Valuation Date"</f>
        <v>EV/EBITDA Multiple as of Valuation Date</v>
      </c>
      <c r="D72" s="32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6" customFormat="1" x14ac:dyDescent="0.25">
      <c r="A73" s="40"/>
      <c r="B73" s="41"/>
      <c r="C73" s="1"/>
    </row>
    <row r="74" spans="1:18" s="1" customFormat="1" x14ac:dyDescent="0.25">
      <c r="A74" s="40"/>
      <c r="B74" s="41"/>
      <c r="C74" s="2" t="str">
        <f>"Discounted Cash Flow - "&amp;F8</f>
        <v>Discounted Cash Flow - Street Case</v>
      </c>
    </row>
    <row r="75" spans="1:18" s="10" customFormat="1" x14ac:dyDescent="0.25">
      <c r="A75" s="68" t="str">
        <f>""</f>
        <v/>
      </c>
      <c r="B75" s="69"/>
      <c r="D75" s="10" cm="1">
        <f t="array" aca="1" ref="D75" ca="1">IFERROR(IF($D$9:OFFSET($D$9,0,$F$6-$D$9)&lt;$D$6,TEXT($D$9:OFFSET($D$9,0,$F$6-$D$9),"0A"),TEXT($D$9:OFFSET($D$9,0,$F$6-$D$9),"0")&amp;"E"),1)</f>
        <v>1</v>
      </c>
    </row>
    <row r="76" spans="1:18" s="8" customFormat="1" x14ac:dyDescent="0.25">
      <c r="A76" s="62"/>
      <c r="B76" s="66"/>
      <c r="C76" s="3" t="str">
        <f>"Fiscal Year"</f>
        <v>Fiscal Year</v>
      </c>
      <c r="D76" s="8" cm="1">
        <f t="array" aca="1" ref="D76" ca="1">IFERROR(DATE($D$9:OFFSET($D$9,0,$F$6-$D$9),_xlfn.XLOOKUP(_xlfn.TEXTAFTER(_xlfn.TEXTBEFORE($C$5,"-"),": "),$G$4:$R$4,_xlfn.ANCHORARRAY($G$3)),$G$6),1)</f>
        <v>1</v>
      </c>
    </row>
    <row r="77" spans="1:18" s="1" customFormat="1" x14ac:dyDescent="0.25">
      <c r="A77" s="40"/>
      <c r="B77" s="41"/>
    </row>
    <row r="78" spans="1:18" s="17" customFormat="1" x14ac:dyDescent="0.25">
      <c r="A78" s="50"/>
      <c r="B78" s="41"/>
      <c r="C78" s="15" t="str">
        <f>$C$15</f>
        <v>Revenue</v>
      </c>
      <c r="D78" s="17" t="e">
        <f ca="1">CHOOSE($F$3,D107,D136,D165,D194)</f>
        <v>#VALUE!</v>
      </c>
      <c r="E78" s="17" cm="1">
        <f t="array" aca="1" ref="E78" ca="1">IFERROR(CHOOSE($F$3,_xlfn.ANCHORARRAY(E107),_xlfn.ANCHORARRAY(E136),_xlfn.ANCHORARRAY(E165),_xlfn.ANCHORARRAY(E194)),1)</f>
        <v>1</v>
      </c>
    </row>
    <row r="79" spans="1:18" s="12" customFormat="1" x14ac:dyDescent="0.25">
      <c r="A79" s="43"/>
      <c r="B79" s="41"/>
      <c r="C79" s="9" t="str">
        <f>$C$16</f>
        <v>% growth</v>
      </c>
      <c r="D79" s="23"/>
      <c r="E79" s="23" cm="1">
        <f t="array" aca="1" ref="E79" ca="1">IFERROR(CHOOSE($F$3,_xlfn.ANCHORARRAY(E108),_xlfn.ANCHORARRAY(E137),_xlfn.ANCHORARRAY(E166),_xlfn.ANCHORARRAY(E195)),1)</f>
        <v>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s="6" customFormat="1" x14ac:dyDescent="0.25">
      <c r="A80" s="40"/>
      <c r="B80" s="41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6" customFormat="1" x14ac:dyDescent="0.25">
      <c r="A81" s="40"/>
      <c r="B81" s="41"/>
      <c r="C81" s="1" t="str">
        <f>$C$21</f>
        <v>EBIT</v>
      </c>
      <c r="D81" s="17" cm="1">
        <f t="array" aca="1" ref="D81" ca="1">IFERROR(CHOOSE($F$3,_xlfn.ANCHORARRAY(D110),_xlfn.ANCHORARRAY(D139),_xlfn.ANCHORARRAY(D168),_xlfn.ANCHORARRAY(D197)),1)</f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2" customFormat="1" x14ac:dyDescent="0.25">
      <c r="A82" s="43"/>
      <c r="B82" s="41"/>
      <c r="C82" s="9" t="str">
        <f>$C$22</f>
        <v>% of Revenue</v>
      </c>
      <c r="D82" s="23" cm="1">
        <f t="array" aca="1" ref="D82" ca="1">IFERROR(CHOOSE($F$3,_xlfn.ANCHORARRAY(D111),_xlfn.ANCHORARRAY(D140),_xlfn.ANCHORARRAY(D169),_xlfn.ANCHORARRAY(D198)),1)</f>
        <v>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s="6" customFormat="1" x14ac:dyDescent="0.25">
      <c r="A83" s="40"/>
      <c r="B83" s="41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6" customFormat="1" x14ac:dyDescent="0.25">
      <c r="A84" s="40"/>
      <c r="B84" s="41"/>
      <c r="C84" s="1" t="str">
        <f>$C$24</f>
        <v>Depreciation &amp; Amortization</v>
      </c>
      <c r="D84" s="17" cm="1">
        <f t="array" aca="1" ref="D84" ca="1">IFERROR(CHOOSE($F$3,_xlfn.ANCHORARRAY(D113),_xlfn.ANCHORARRAY(D142),_xlfn.ANCHORARRAY(D171),_xlfn.ANCHORARRAY(D200)),1)</f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2" customFormat="1" x14ac:dyDescent="0.25">
      <c r="A85" s="43"/>
      <c r="B85" s="41"/>
      <c r="C85" s="9" t="str">
        <f>$C$25</f>
        <v>% of Revenue</v>
      </c>
      <c r="D85" s="23" cm="1">
        <f t="array" aca="1" ref="D85" ca="1">IFERROR(CHOOSE($F$3,_xlfn.ANCHORARRAY(D114),_xlfn.ANCHORARRAY(D143),_xlfn.ANCHORARRAY(D172),_xlfn.ANCHORARRAY(D201)),1)</f>
        <v>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s="6" customFormat="1" x14ac:dyDescent="0.25">
      <c r="A86" s="40"/>
      <c r="B86" s="41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6" customFormat="1" x14ac:dyDescent="0.25">
      <c r="A87" s="40"/>
      <c r="B87" s="41"/>
      <c r="C87" s="1" t="str">
        <f>$C$27</f>
        <v>Capital Expenditures</v>
      </c>
      <c r="D87" s="17" cm="1">
        <f t="array" aca="1" ref="D87" ca="1">IFERROR(CHOOSE($F$3,_xlfn.ANCHORARRAY(D116),_xlfn.ANCHORARRAY(D145),_xlfn.ANCHORARRAY(D174),_xlfn.ANCHORARRAY(D203)),1)</f>
        <v>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2" customFormat="1" x14ac:dyDescent="0.25">
      <c r="A88" s="43"/>
      <c r="B88" s="41"/>
      <c r="C88" s="9" t="str">
        <f>$C$28</f>
        <v>% of Revenue</v>
      </c>
      <c r="D88" s="23" cm="1">
        <f t="array" aca="1" ref="D88" ca="1">IFERROR(CHOOSE($F$3,_xlfn.ANCHORARRAY(D117),_xlfn.ANCHORARRAY(D146),_xlfn.ANCHORARRAY(D175),_xlfn.ANCHORARRAY(D204)),1)</f>
        <v>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s="6" customFormat="1" x14ac:dyDescent="0.25">
      <c r="A89" s="40"/>
      <c r="B89" s="41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6" customFormat="1" x14ac:dyDescent="0.25">
      <c r="A90" s="40"/>
      <c r="B90" s="41"/>
      <c r="C90" s="1" t="str">
        <f>$C$36</f>
        <v>Change in Working Capital &amp; Other Non-Cash Expenses</v>
      </c>
      <c r="D90" s="17" cm="1">
        <f t="array" aca="1" ref="D90" ca="1">IFERROR(CHOOSE($F$3,_xlfn.ANCHORARRAY(D119),_xlfn.ANCHORARRAY(D148),_xlfn.ANCHORARRAY(D177),_xlfn.ANCHORARRAY(D206)),1)</f>
        <v>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2" customFormat="1" x14ac:dyDescent="0.25">
      <c r="A91" s="43"/>
      <c r="B91" s="41"/>
      <c r="C91" s="9" t="str">
        <f>$C$37</f>
        <v>% of Revenue</v>
      </c>
      <c r="D91" s="23" cm="1">
        <f t="array" aca="1" ref="D91" ca="1">IFERROR(CHOOSE($F$3,_xlfn.ANCHORARRAY(D120),_xlfn.ANCHORARRAY(D149),_xlfn.ANCHORARRAY(D178),_xlfn.ANCHORARRAY(D207)),1)</f>
        <v>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s="12" customFormat="1" x14ac:dyDescent="0.25">
      <c r="A92" s="43"/>
      <c r="B92" s="49"/>
      <c r="C92" s="9" t="str">
        <f>$C$38</f>
        <v>% of Change in Revenue</v>
      </c>
      <c r="D92" s="23"/>
      <c r="E92" s="23" t="e" cm="1">
        <f t="array" aca="1" ref="E92" ca="1">CHOOSE($F$3,_xlfn.ANCHORARRAY(E121),_xlfn.ANCHORARRAY(E150),_xlfn.ANCHORARRAY(E179),_xlfn.ANCHORARRAY(E208))</f>
        <v>#VALUE!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s="6" customFormat="1" x14ac:dyDescent="0.25">
      <c r="A93" s="40"/>
      <c r="B93" s="41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6" customFormat="1" x14ac:dyDescent="0.25">
      <c r="A94" s="40"/>
      <c r="B94" s="41"/>
      <c r="C94" s="1" t="str">
        <f>$C$40</f>
        <v>Normalized Taxes</v>
      </c>
      <c r="D94" s="17" cm="1">
        <f t="array" aca="1" ref="D94" ca="1">IFERROR(CHOOSE($F$3,_xlfn.ANCHORARRAY(D123),_xlfn.ANCHORARRAY(D152),_xlfn.ANCHORARRAY(D181),_xlfn.ANCHORARRAY(D210)),1)</f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2" customFormat="1" x14ac:dyDescent="0.25">
      <c r="A95" s="43"/>
      <c r="B95" s="49"/>
      <c r="C95" s="9" t="str">
        <f>$C$41</f>
        <v>Effective Tax Rate (%)</v>
      </c>
      <c r="D95" s="23" cm="1">
        <f t="array" aca="1" ref="D95" ca="1">IFERROR(CHOOSE($F$3,_xlfn.ANCHORARRAY(D124),_xlfn.ANCHORARRAY(D153),_xlfn.ANCHORARRAY(D182),_xlfn.ANCHORARRAY(D211)),1)</f>
        <v>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s="6" customFormat="1" x14ac:dyDescent="0.25">
      <c r="A96" s="40"/>
      <c r="B96" s="41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6" customFormat="1" x14ac:dyDescent="0.25">
      <c r="A97" s="40"/>
      <c r="B97" s="41"/>
      <c r="C97" s="1" t="str">
        <f>$C$43</f>
        <v>EBIAT/NOPAT</v>
      </c>
      <c r="D97" s="17" cm="1">
        <f t="array" aca="1" ref="D97" ca="1">IFERROR(CHOOSE($F$3,_xlfn.ANCHORARRAY(D126),_xlfn.ANCHORARRAY(D155),_xlfn.ANCHORARRAY(D184),_xlfn.ANCHORARRAY(D213)),1)</f>
        <v>1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2" customFormat="1" x14ac:dyDescent="0.25">
      <c r="A98" s="43"/>
      <c r="B98" s="49"/>
      <c r="C98" s="9" t="str">
        <f>$C$44</f>
        <v>% of Revenue</v>
      </c>
      <c r="D98" s="23" t="e" cm="1">
        <f t="array" aca="1" ref="D98" ca="1">CHOOSE($F$3,_xlfn.ANCHORARRAY(D127),_xlfn.ANCHORARRAY(D156),_xlfn.ANCHORARRAY(D185),_xlfn.ANCHORARRAY(D214))</f>
        <v>#VALUE!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s="6" customFormat="1" x14ac:dyDescent="0.25">
      <c r="A99" s="40"/>
      <c r="B99" s="41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6" customFormat="1" x14ac:dyDescent="0.25">
      <c r="A100" s="40"/>
      <c r="B100" s="41"/>
      <c r="C100" s="1" t="str">
        <f>$C$46</f>
        <v>Unlevered Free Cash Flow</v>
      </c>
      <c r="D100" s="17" cm="1">
        <f t="array" aca="1" ref="D100" ca="1">IFERROR(CHOOSE($F$3,_xlfn.ANCHORARRAY(D129),_xlfn.ANCHORARRAY(D158),_xlfn.ANCHORARRAY(D187),_xlfn.ANCHORARRAY(D216)),1)</f>
        <v>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2" customFormat="1" x14ac:dyDescent="0.25">
      <c r="A101" s="43"/>
      <c r="B101" s="49"/>
      <c r="C101" s="9" t="str">
        <f>$C$47</f>
        <v>% of Revenue</v>
      </c>
      <c r="D101" s="23" t="e" cm="1">
        <f t="array" aca="1" ref="D101" ca="1">CHOOSE($F$3,_xlfn.ANCHORARRAY(D130),_xlfn.ANCHORARRAY(D159),_xlfn.ANCHORARRAY(D188),_xlfn.ANCHORARRAY(D217))</f>
        <v>#VALUE!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s="1" customFormat="1" x14ac:dyDescent="0.25">
      <c r="A102" s="40"/>
      <c r="B102" s="41"/>
    </row>
    <row r="103" spans="1:18" s="1" customFormat="1" outlineLevel="1" x14ac:dyDescent="0.25">
      <c r="A103" s="40"/>
      <c r="B103" s="41"/>
      <c r="C103" s="2" t="str">
        <f>"Analyst's Case"</f>
        <v>Analyst's Case</v>
      </c>
    </row>
    <row r="104" spans="1:18" s="7" customFormat="1" outlineLevel="1" x14ac:dyDescent="0.25">
      <c r="A104" s="70" t="str">
        <f>""</f>
        <v/>
      </c>
      <c r="B104" s="71"/>
      <c r="D104" s="7" cm="1">
        <f t="array" aca="1" ref="D104" ca="1">IFERROR(IF($D$9:OFFSET($D$9,0,$F$6-$D$9)&lt;$D$6,TEXT($D$9:OFFSET($D$9,0,$F$6-$D$9),"0A"),TEXT($D$9:OFFSET($D$9,0,$F$6-$D$9),"0")&amp;"E"),1)</f>
        <v>1</v>
      </c>
    </row>
    <row r="105" spans="1:18" s="8" customFormat="1" outlineLevel="1" x14ac:dyDescent="0.25">
      <c r="A105" s="62"/>
      <c r="B105" s="66"/>
      <c r="C105" s="3" t="str">
        <f>"Fiscal Year"</f>
        <v>Fiscal Year</v>
      </c>
      <c r="D105" s="8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s="1" customFormat="1" outlineLevel="1" x14ac:dyDescent="0.25">
      <c r="A106" s="40"/>
      <c r="B106" s="41"/>
    </row>
    <row r="107" spans="1:18" s="6" customFormat="1" outlineLevel="1" x14ac:dyDescent="0.25">
      <c r="A107" s="40"/>
      <c r="B107" s="41"/>
      <c r="C107" s="1" t="str">
        <f>$C$15</f>
        <v>Revenue</v>
      </c>
      <c r="D107" s="6" t="str">
        <f ca="1">D136</f>
        <v>NA</v>
      </c>
      <c r="E107" s="6" cm="1">
        <f t="array" aca="1" ref="E107" ca="1">IFERROR(_xlfn.LET(
  _xlpm.base, D107,
  _xlpm.growths,_xlfn.ANCHORARRAY( E108),
  _xlpm.result, _xlfn.SCAN(_xlpm.base, _xlpm.growths, _xlfn.LAMBDA(_xlpm.a,_xlpm.b, _xlpm.a * (1 + _xlpm.b))),
  _xlpm.result
),1)</f>
        <v>1</v>
      </c>
    </row>
    <row r="108" spans="1:18" s="12" customFormat="1" outlineLevel="1" x14ac:dyDescent="0.25">
      <c r="A108" s="43"/>
      <c r="B108" s="41"/>
      <c r="C108" s="9" t="str">
        <f>$C$16</f>
        <v>% growth</v>
      </c>
      <c r="E108" s="12" cm="1">
        <f t="array" aca="1" ref="E108" ca="1">_xlfn.LET(_xlpm.x,_xlfn.LET(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),IF(D136="NA",1,_xlpm.x))</f>
        <v>1</v>
      </c>
    </row>
    <row r="109" spans="1:18" s="12" customFormat="1" outlineLevel="1" x14ac:dyDescent="0.25">
      <c r="A109" s="43"/>
      <c r="B109" s="49"/>
      <c r="C109" s="5"/>
    </row>
    <row r="110" spans="1:18" s="6" customFormat="1" outlineLevel="1" x14ac:dyDescent="0.25">
      <c r="A110" s="40"/>
      <c r="B110" s="41"/>
      <c r="C110" s="1" t="str">
        <f>$C$21</f>
        <v>EBIT</v>
      </c>
      <c r="D110" s="6" cm="1">
        <f t="array" aca="1" ref="D110" ca="1">IFERROR(_xlfn.ANCHORARRAY(D111)*D$107:OFFSET(D$107,0,$F$6-$D$9),1)</f>
        <v>1</v>
      </c>
    </row>
    <row r="111" spans="1:18" s="12" customFormat="1" outlineLevel="1" x14ac:dyDescent="0.25">
      <c r="A111" s="43"/>
      <c r="B111" s="41"/>
      <c r="C111" s="9" t="str">
        <f>$C$22</f>
        <v>% of Revenue</v>
      </c>
      <c r="D111" s="12" cm="1">
        <f t="array" aca="1" ref="D111" ca="1">IFERROR(_xlfn.ANCHORARRAY(D140),1)</f>
        <v>1</v>
      </c>
    </row>
    <row r="112" spans="1:18" s="6" customFormat="1" outlineLevel="1" x14ac:dyDescent="0.25">
      <c r="A112" s="40"/>
      <c r="B112" s="41"/>
      <c r="C112" s="21"/>
    </row>
    <row r="113" spans="1:5" s="6" customFormat="1" outlineLevel="1" x14ac:dyDescent="0.25">
      <c r="A113" s="40"/>
      <c r="B113" s="41"/>
      <c r="C113" s="1" t="str">
        <f>$C$24</f>
        <v>Depreciation &amp; Amortization</v>
      </c>
      <c r="D113" s="6" cm="1">
        <f t="array" aca="1" ref="D113" ca="1">IFERROR(_xlfn.ANCHORARRAY(D114)*D$107:OFFSET(D$107,0,$F$6-$D$9),1)</f>
        <v>1</v>
      </c>
    </row>
    <row r="114" spans="1:5" s="12" customFormat="1" outlineLevel="1" x14ac:dyDescent="0.25">
      <c r="A114" s="43"/>
      <c r="B114" s="41"/>
      <c r="C114" s="9" t="str">
        <f>$C$25</f>
        <v>% of Revenue</v>
      </c>
      <c r="D114" s="12" cm="1">
        <f t="array" aca="1" ref="D114" ca="1">IFERROR(_xlfn.ANCHORARRAY(D143),1)</f>
        <v>1</v>
      </c>
    </row>
    <row r="115" spans="1:5" s="6" customFormat="1" outlineLevel="1" x14ac:dyDescent="0.25">
      <c r="A115" s="40"/>
      <c r="B115" s="41"/>
      <c r="C115" s="1"/>
    </row>
    <row r="116" spans="1:5" s="6" customFormat="1" outlineLevel="1" x14ac:dyDescent="0.25">
      <c r="A116" s="40"/>
      <c r="B116" s="41"/>
      <c r="C116" s="1" t="str">
        <f>$C$27</f>
        <v>Capital Expenditures</v>
      </c>
      <c r="D116" s="6" cm="1">
        <f t="array" aca="1" ref="D116" ca="1">IFERROR(-_xlfn.ANCHORARRAY(D117)*D$107:OFFSET(D$107,0,$F$6-$D$9),1)</f>
        <v>1</v>
      </c>
    </row>
    <row r="117" spans="1:5" s="12" customFormat="1" outlineLevel="1" x14ac:dyDescent="0.25">
      <c r="A117" s="43"/>
      <c r="B117" s="41"/>
      <c r="C117" s="9" t="str">
        <f>$C$28</f>
        <v>% of Revenue</v>
      </c>
      <c r="D117" s="12" cm="1">
        <f t="array" aca="1" ref="D117" ca="1">IFERROR(_xlfn.ANCHORARRAY(D146),1)</f>
        <v>1</v>
      </c>
    </row>
    <row r="118" spans="1:5" s="6" customFormat="1" outlineLevel="1" x14ac:dyDescent="0.25">
      <c r="A118" s="40"/>
      <c r="B118" s="41"/>
      <c r="C118" s="1"/>
    </row>
    <row r="119" spans="1:5" s="6" customFormat="1" outlineLevel="1" x14ac:dyDescent="0.25">
      <c r="A119" s="40"/>
      <c r="B119" s="41"/>
      <c r="C119" s="1" t="str">
        <f>$C$36</f>
        <v>Change in Working Capital &amp; Other Non-Cash Expenses</v>
      </c>
      <c r="D119" s="6" cm="1">
        <f t="array" aca="1" ref="D119" ca="1">IFERROR(_xlfn.ANCHORARRAY(D120)*D$107:OFFSET(D$107,0,$F$6-$D$9),1)</f>
        <v>1</v>
      </c>
    </row>
    <row r="120" spans="1:5" s="12" customFormat="1" outlineLevel="1" x14ac:dyDescent="0.25">
      <c r="A120" s="43"/>
      <c r="B120" s="41"/>
      <c r="C120" s="9" t="str">
        <f>$C$37</f>
        <v>% of Revenue</v>
      </c>
      <c r="D120" s="12" cm="1">
        <f t="array" aca="1" ref="D120" ca="1">IFERROR(_xlfn.ANCHORARRAY(D149),1)</f>
        <v>1</v>
      </c>
    </row>
    <row r="121" spans="1:5" s="12" customFormat="1" outlineLevel="1" x14ac:dyDescent="0.25">
      <c r="A121" s="43"/>
      <c r="B121" s="49"/>
      <c r="C121" s="9" t="str">
        <f>$C$38</f>
        <v>% of Change in Revenue</v>
      </c>
      <c r="E121" s="12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6" customFormat="1" outlineLevel="1" x14ac:dyDescent="0.25">
      <c r="A122" s="40"/>
      <c r="B122" s="41"/>
      <c r="C122" s="1"/>
    </row>
    <row r="123" spans="1:5" s="6" customFormat="1" outlineLevel="1" x14ac:dyDescent="0.25">
      <c r="A123" s="40"/>
      <c r="B123" s="41"/>
      <c r="C123" s="1" t="str">
        <f>$C$40</f>
        <v>Normalized Taxes</v>
      </c>
      <c r="D123" s="6" cm="1">
        <f t="array" aca="1" ref="D123" ca="1">IFERROR(-_xlfn.ANCHORARRAY(D211)*D$110:OFFSET(D$110,0,$F$6-$D$9),1)</f>
        <v>1</v>
      </c>
    </row>
    <row r="124" spans="1:5" s="12" customFormat="1" outlineLevel="1" x14ac:dyDescent="0.25">
      <c r="A124" s="43"/>
      <c r="B124" s="49"/>
      <c r="C124" s="9" t="str">
        <f>$C$41</f>
        <v>Effective Tax Rate (%)</v>
      </c>
      <c r="D124" s="12" cm="1">
        <f t="array" aca="1" ref="D124" ca="1">IFERROR(_xlfn.ANCHORARRAY(D153),1)</f>
        <v>1</v>
      </c>
    </row>
    <row r="125" spans="1:5" s="6" customFormat="1" outlineLevel="1" x14ac:dyDescent="0.25">
      <c r="A125" s="40"/>
      <c r="B125" s="41"/>
      <c r="C125" s="1"/>
    </row>
    <row r="126" spans="1:5" s="6" customFormat="1" outlineLevel="1" x14ac:dyDescent="0.25">
      <c r="A126" s="40"/>
      <c r="B126" s="41"/>
      <c r="C126" s="1" t="str">
        <f>$C$43</f>
        <v>EBIAT/NOPAT</v>
      </c>
      <c r="D126" s="6" cm="1">
        <f t="array" aca="1" ref="D126" ca="1">IFERROR(_xlfn.ANCHORARRAY(D110)+_xlfn.ANCHORARRAY(D123),1)</f>
        <v>2</v>
      </c>
    </row>
    <row r="127" spans="1:5" s="12" customFormat="1" outlineLevel="1" x14ac:dyDescent="0.25">
      <c r="A127" s="43"/>
      <c r="B127" s="41"/>
      <c r="C127" s="9" t="str">
        <f>"% of Revenue"</f>
        <v>% of Revenue</v>
      </c>
      <c r="D127" s="12" t="str" cm="1">
        <f t="array" aca="1" ref="D127" ca="1">IFERROR(D126:OFFSET(D126,0,$F$6-$D$9)/D$107:OFFSET(D$107,0,$F$6-$D$9),"NA ")</f>
        <v xml:space="preserve">NA </v>
      </c>
    </row>
    <row r="128" spans="1:5" s="12" customFormat="1" outlineLevel="1" x14ac:dyDescent="0.25">
      <c r="A128" s="43"/>
      <c r="B128" s="49"/>
      <c r="C128" s="5"/>
    </row>
    <row r="129" spans="1:5" s="6" customFormat="1" outlineLevel="1" x14ac:dyDescent="0.25">
      <c r="A129" s="40"/>
      <c r="B129" s="41"/>
      <c r="C129" s="1" t="str">
        <f>$C$46</f>
        <v>Unlevered Free Cash Flow</v>
      </c>
      <c r="D129" s="6" cm="1">
        <f t="array" aca="1" ref="D129" ca="1">IFERROR(_xlfn.ANCHORARRAY(D126)+_xlfn.ANCHORARRAY(D119)+_xlfn.ANCHORARRAY(D116)+_xlfn.ANCHORARRAY(D113),1)</f>
        <v>5</v>
      </c>
    </row>
    <row r="130" spans="1:5" s="12" customFormat="1" outlineLevel="1" x14ac:dyDescent="0.25">
      <c r="A130" s="43"/>
      <c r="B130" s="41"/>
      <c r="C130" s="9" t="str">
        <f>"% of Revenue"</f>
        <v>% of Revenue</v>
      </c>
      <c r="D130" s="12" t="str" cm="1">
        <f t="array" aca="1" ref="D130" ca="1">IFERROR(D129:OFFSET(D129,0,$F$6-$D$9)/D$107:OFFSET(D$107,0,$F$6-$D$9),"NA ")</f>
        <v xml:space="preserve">NA </v>
      </c>
    </row>
    <row r="131" spans="1:5" s="1" customFormat="1" outlineLevel="1" x14ac:dyDescent="0.25">
      <c r="A131" s="40"/>
      <c r="B131" s="41"/>
    </row>
    <row r="132" spans="1:5" s="1" customFormat="1" outlineLevel="1" x14ac:dyDescent="0.25">
      <c r="A132" s="40"/>
      <c r="B132" s="41"/>
      <c r="C132" s="2" t="str">
        <f>"Street Case"</f>
        <v>Street Case</v>
      </c>
    </row>
    <row r="133" spans="1:5" s="7" customFormat="1" outlineLevel="1" x14ac:dyDescent="0.25">
      <c r="A133" s="70" t="str">
        <f>""</f>
        <v/>
      </c>
      <c r="B133" s="71"/>
      <c r="D133" s="7" cm="1">
        <f t="array" aca="1" ref="D133" ca="1">IFERROR(IF($D$9:OFFSET($D$9,0,$F$6-$D$9)&lt;$D$6,TEXT($D$9:OFFSET($D$9,0,$F$6-$D$9),"0A"),TEXT($D$9:OFFSET($D$9,0,$F$6-$D$9),"0")&amp;"E"),1)</f>
        <v>1</v>
      </c>
    </row>
    <row r="134" spans="1:5" s="8" customFormat="1" outlineLevel="1" x14ac:dyDescent="0.25">
      <c r="A134" s="62"/>
      <c r="B134" s="66"/>
      <c r="C134" s="3" t="str">
        <f>"Fiscal Year"</f>
        <v>Fiscal Year</v>
      </c>
      <c r="D134" s="8" cm="1">
        <f t="array" aca="1" ref="D134" ca="1">IFERROR(DATE($D$9:OFFSET($D$9,0,$F$6-$D$9),_xlfn.XLOOKUP(_xlfn.TEXTAFTER(_xlfn.TEXTBEFORE($C$5,"-"),": "),$G$4:$R$4,_xlfn.ANCHORARRAY($G$3)),$G$6),1)</f>
        <v>1</v>
      </c>
    </row>
    <row r="135" spans="1:5" s="1" customFormat="1" outlineLevel="1" x14ac:dyDescent="0.25">
      <c r="A135" s="40"/>
      <c r="B135" s="41"/>
    </row>
    <row r="136" spans="1:5" s="6" customFormat="1" outlineLevel="1" x14ac:dyDescent="0.25">
      <c r="A136" s="40"/>
      <c r="B136" s="41"/>
      <c r="C136" s="1" t="str">
        <f>$C$15</f>
        <v>Revenue</v>
      </c>
      <c r="D136" s="6" t="str">
        <f ca="1">D15</f>
        <v>NA</v>
      </c>
      <c r="E136" s="6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12" customFormat="1" outlineLevel="1" x14ac:dyDescent="0.25">
      <c r="A137" s="43"/>
      <c r="B137" s="41"/>
      <c r="C137" s="9" t="str">
        <f>$C$16</f>
        <v>% growth</v>
      </c>
      <c r="D137" s="20"/>
      <c r="E137" s="12" cm="1">
        <f t="array" aca="1" ref="E137" ca="1">IFERROR(IF(_xlfn.ANCHORARRAY(E16)="NA ",LOOKUP(2,1/(ISNUMBER(_xlfn.ANCHORARRAY(E16))),_xlfn.ANCHORARRAY(E16)),_xlfn.ANCHORARRAY(E16)),1)</f>
        <v>1</v>
      </c>
    </row>
    <row r="138" spans="1:5" s="6" customFormat="1" outlineLevel="1" x14ac:dyDescent="0.25">
      <c r="A138" s="40"/>
      <c r="B138" s="41"/>
      <c r="C138" s="1"/>
    </row>
    <row r="139" spans="1:5" s="6" customFormat="1" outlineLevel="1" x14ac:dyDescent="0.25">
      <c r="A139" s="40"/>
      <c r="B139" s="41"/>
      <c r="C139" s="1" t="str">
        <f>$C$21</f>
        <v>EBIT</v>
      </c>
      <c r="D139" s="6" cm="1">
        <f t="array" aca="1" ref="D139" ca="1">IFERROR(_xlfn.ANCHORARRAY(D140)*D$136:OFFSET(D$136,0,$F$6-$D$9),1)</f>
        <v>1</v>
      </c>
    </row>
    <row r="140" spans="1:5" s="12" customFormat="1" outlineLevel="1" x14ac:dyDescent="0.25">
      <c r="A140" s="43"/>
      <c r="B140" s="41"/>
      <c r="C140" s="9" t="str">
        <f>$C$22</f>
        <v>% of Revenue</v>
      </c>
      <c r="D140" s="12" cm="1">
        <f t="array" aca="1" ref="D140" ca="1">IFERROR(IF(_xlfn.ANCHORARRAY(D22)="NA ",LOOKUP(2,1/(ISNUMBER(_xlfn.ANCHORARRAY(D22))),_xlfn.ANCHORARRAY(D22)),_xlfn.ANCHORARRAY(D22)),1)</f>
        <v>1</v>
      </c>
    </row>
    <row r="141" spans="1:5" s="6" customFormat="1" outlineLevel="1" x14ac:dyDescent="0.25">
      <c r="A141" s="40"/>
      <c r="B141" s="41"/>
      <c r="C141" s="1"/>
    </row>
    <row r="142" spans="1:5" s="6" customFormat="1" outlineLevel="1" x14ac:dyDescent="0.25">
      <c r="A142" s="40"/>
      <c r="B142" s="41"/>
      <c r="C142" s="1" t="str">
        <f>$C$24</f>
        <v>Depreciation &amp; Amortization</v>
      </c>
      <c r="D142" s="6" cm="1">
        <f t="array" aca="1" ref="D142" ca="1">IFERROR(_xlfn.ANCHORARRAY(D143)*D$136:OFFSET(D$136,0,$F$6-$D$9),1)</f>
        <v>1</v>
      </c>
    </row>
    <row r="143" spans="1:5" s="12" customFormat="1" outlineLevel="1" x14ac:dyDescent="0.25">
      <c r="A143" s="43"/>
      <c r="B143" s="41"/>
      <c r="C143" s="9" t="str">
        <f>$C$25</f>
        <v>% of Revenue</v>
      </c>
      <c r="D143" s="12" cm="1">
        <f t="array" aca="1" ref="D143" ca="1">IFERROR(IF(_xlfn.ANCHORARRAY(D25)="NA ",LOOKUP(2,1/(ISNUMBER(_xlfn.ANCHORARRAY(D25))),_xlfn.ANCHORARRAY(D25)),_xlfn.ANCHORARRAY(D25)),1)</f>
        <v>1</v>
      </c>
    </row>
    <row r="144" spans="1:5" s="6" customFormat="1" outlineLevel="1" x14ac:dyDescent="0.25">
      <c r="A144" s="40"/>
      <c r="B144" s="41"/>
      <c r="C144" s="1"/>
    </row>
    <row r="145" spans="1:5" s="6" customFormat="1" outlineLevel="1" x14ac:dyDescent="0.25">
      <c r="A145" s="40"/>
      <c r="B145" s="41"/>
      <c r="C145" s="1" t="str">
        <f>$C$27</f>
        <v>Capital Expenditures</v>
      </c>
      <c r="D145" s="6" cm="1">
        <f t="array" aca="1" ref="D145" ca="1">IFERROR(-_xlfn.ANCHORARRAY(D146)*D$136:OFFSET(D$136,0,$F$6-$D$9),1)</f>
        <v>1</v>
      </c>
    </row>
    <row r="146" spans="1:5" s="12" customFormat="1" outlineLevel="1" x14ac:dyDescent="0.25">
      <c r="A146" s="43"/>
      <c r="B146" s="41"/>
      <c r="C146" s="9" t="str">
        <f>$C$28</f>
        <v>% of Revenue</v>
      </c>
      <c r="D146" s="12" cm="1">
        <f t="array" aca="1" ref="D146" ca="1">IFERROR(IF(_xlfn.ANCHORARRAY(D28)="NA ",LOOKUP(2,1/(ISNUMBER(_xlfn.ANCHORARRAY(D28))),_xlfn.ANCHORARRAY(D28)),_xlfn.ANCHORARRAY(D28)),1)</f>
        <v>1</v>
      </c>
    </row>
    <row r="147" spans="1:5" s="6" customFormat="1" outlineLevel="1" x14ac:dyDescent="0.25">
      <c r="A147" s="40"/>
      <c r="B147" s="41"/>
      <c r="C147" s="1"/>
    </row>
    <row r="148" spans="1:5" s="6" customFormat="1" outlineLevel="1" x14ac:dyDescent="0.25">
      <c r="A148" s="40"/>
      <c r="B148" s="41"/>
      <c r="C148" s="1" t="str">
        <f>$C$36</f>
        <v>Change in Working Capital &amp; Other Non-Cash Expenses</v>
      </c>
      <c r="D148" s="6" cm="1">
        <f t="array" aca="1" ref="D148" ca="1">IFERROR(_xlfn.ANCHORARRAY(D149)*D$136:OFFSET(D$136,0,$F$6-$D$9),1)</f>
        <v>1</v>
      </c>
    </row>
    <row r="149" spans="1:5" s="12" customFormat="1" outlineLevel="1" x14ac:dyDescent="0.25">
      <c r="A149" s="43"/>
      <c r="B149" s="41"/>
      <c r="C149" s="9" t="str">
        <f>$C$37</f>
        <v>% of Revenue</v>
      </c>
      <c r="D149" s="12" cm="1">
        <f t="array" aca="1" ref="D149" ca="1">IFERROR(IF(_xlfn.ANCHORARRAY(D37)="NA ",LOOKUP(2,1/(ISNUMBER(_xlfn.ANCHORARRAY(D37))),_xlfn.ANCHORARRAY(D37)),_xlfn.ANCHORARRAY(D37)),1)</f>
        <v>1</v>
      </c>
    </row>
    <row r="150" spans="1:5" s="12" customFormat="1" outlineLevel="1" x14ac:dyDescent="0.25">
      <c r="A150" s="43"/>
      <c r="B150" s="49"/>
      <c r="C150" s="9" t="str">
        <f>"% of Change in Revenue"</f>
        <v>% of Change in Revenue</v>
      </c>
      <c r="E150" s="12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6" customFormat="1" outlineLevel="1" x14ac:dyDescent="0.25">
      <c r="A151" s="40"/>
      <c r="B151" s="41"/>
      <c r="C151" s="1"/>
    </row>
    <row r="152" spans="1:5" s="6" customFormat="1" outlineLevel="1" x14ac:dyDescent="0.25">
      <c r="A152" s="40"/>
      <c r="B152" s="41"/>
      <c r="C152" s="1" t="str">
        <f>$C$40</f>
        <v>Normalized Taxes</v>
      </c>
      <c r="D152" s="6" cm="1">
        <f t="array" aca="1" ref="D152" ca="1">IFERROR(-_xlfn.ANCHORARRAY(D153)*D$139:OFFSET(D$139,0,$F$6-$D$9),1)</f>
        <v>1</v>
      </c>
    </row>
    <row r="153" spans="1:5" s="12" customFormat="1" outlineLevel="1" x14ac:dyDescent="0.25">
      <c r="A153" s="43"/>
      <c r="B153" s="49"/>
      <c r="C153" s="9" t="str">
        <f>$C$41</f>
        <v>Effective Tax Rate (%)</v>
      </c>
      <c r="D153" s="12" cm="1">
        <f t="array" aca="1" ref="D153" ca="1">IFERROR(IF(_xlfn.ANCHORARRAY(D41)="NA ",LOOKUP(2,1/(ISNUMBER(_xlfn.ANCHORARRAY(D41))),_xlfn.ANCHORARRAY(D41)),_xlfn.ANCHORARRAY(D41)),1)</f>
        <v>1</v>
      </c>
    </row>
    <row r="154" spans="1:5" s="6" customFormat="1" outlineLevel="1" x14ac:dyDescent="0.25">
      <c r="A154" s="40"/>
      <c r="B154" s="41"/>
      <c r="C154" s="1"/>
    </row>
    <row r="155" spans="1:5" s="6" customFormat="1" outlineLevel="1" x14ac:dyDescent="0.25">
      <c r="A155" s="40"/>
      <c r="B155" s="41"/>
      <c r="C155" s="1" t="str">
        <f>$C$43</f>
        <v>EBIAT/NOPAT</v>
      </c>
      <c r="D155" s="6" cm="1">
        <f t="array" aca="1" ref="D155" ca="1">IFERROR(_xlfn.ANCHORARRAY(D139)+_xlfn.ANCHORARRAY(D152),1)</f>
        <v>2</v>
      </c>
    </row>
    <row r="156" spans="1:5" s="12" customFormat="1" outlineLevel="1" x14ac:dyDescent="0.25">
      <c r="A156" s="43"/>
      <c r="B156" s="41"/>
      <c r="C156" s="9" t="str">
        <f>"% of Revenue"</f>
        <v>% of Revenue</v>
      </c>
      <c r="D156" s="12" t="str" cm="1">
        <f t="array" aca="1" ref="D156" ca="1">IFERROR(D155:OFFSET(D155,0,$F$6-$D$9)/D$136:OFFSET(D$136,0,$F$6-$D$9),"NA ")</f>
        <v xml:space="preserve">NA </v>
      </c>
    </row>
    <row r="157" spans="1:5" s="6" customFormat="1" outlineLevel="1" x14ac:dyDescent="0.25">
      <c r="A157" s="40"/>
      <c r="B157" s="41"/>
      <c r="C157" s="1"/>
    </row>
    <row r="158" spans="1:5" s="6" customFormat="1" outlineLevel="1" x14ac:dyDescent="0.25">
      <c r="A158" s="40"/>
      <c r="B158" s="41"/>
      <c r="C158" s="1" t="str">
        <f>$C$46</f>
        <v>Unlevered Free Cash Flow</v>
      </c>
      <c r="D158" s="6" cm="1">
        <f t="array" aca="1" ref="D158" ca="1">IFERROR(_xlfn.ANCHORARRAY(D155)+_xlfn.ANCHORARRAY(D148)+_xlfn.ANCHORARRAY(D145)+_xlfn.ANCHORARRAY(D142),1)</f>
        <v>5</v>
      </c>
    </row>
    <row r="159" spans="1:5" s="12" customFormat="1" outlineLevel="1" x14ac:dyDescent="0.25">
      <c r="A159" s="43"/>
      <c r="B159" s="41"/>
      <c r="C159" s="9" t="str">
        <f>"% of Revenue"</f>
        <v>% of Revenue</v>
      </c>
      <c r="D159" s="12" t="str" cm="1">
        <f t="array" aca="1" ref="D159" ca="1">IFERROR(D158:OFFSET(D158,0,$F$6-$D$9)/D$136:OFFSET(D$136,0,$F$6-$D$9),"NA ")</f>
        <v xml:space="preserve">NA </v>
      </c>
    </row>
    <row r="160" spans="1:5" s="1" customFormat="1" outlineLevel="1" x14ac:dyDescent="0.25">
      <c r="A160" s="40"/>
      <c r="B160" s="41"/>
    </row>
    <row r="161" spans="1:18" s="1" customFormat="1" outlineLevel="1" x14ac:dyDescent="0.25">
      <c r="A161" s="40"/>
      <c r="B161" s="41"/>
      <c r="C161" s="2" t="str">
        <f>"Optimistic Case"</f>
        <v>Optimistic Case</v>
      </c>
    </row>
    <row r="162" spans="1:18" s="7" customFormat="1" outlineLevel="1" x14ac:dyDescent="0.25">
      <c r="A162" s="70" t="str">
        <f>""</f>
        <v/>
      </c>
      <c r="B162" s="71"/>
      <c r="D162" s="7" cm="1">
        <f t="array" aca="1" ref="D162" ca="1">IFERROR(IF($D$9:OFFSET($D$9,0,$F$6-$D$9)&lt;$D$6,TEXT($D$9:OFFSET($D$9,0,$F$6-$D$9),"0A"),TEXT($D$9:OFFSET($D$9,0,$F$6-$D$9),"0")&amp;"E"),1)</f>
        <v>1</v>
      </c>
    </row>
    <row r="163" spans="1:18" s="8" customFormat="1" outlineLevel="1" x14ac:dyDescent="0.25">
      <c r="A163" s="62"/>
      <c r="B163" s="66"/>
      <c r="C163" s="3" t="str">
        <f>"Fiscal Year"</f>
        <v>Fiscal Year</v>
      </c>
      <c r="D163" s="8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s="1" customFormat="1" outlineLevel="1" x14ac:dyDescent="0.25">
      <c r="A164" s="40"/>
      <c r="B164" s="41"/>
    </row>
    <row r="165" spans="1:18" s="42" customFormat="1" outlineLevel="1" x14ac:dyDescent="0.25">
      <c r="A165" s="40"/>
      <c r="B165" s="41"/>
      <c r="C165" s="40" t="str">
        <f>$C$15</f>
        <v>Revenue</v>
      </c>
      <c r="D165" s="42" t="str">
        <f ca="1">D136</f>
        <v>NA</v>
      </c>
      <c r="E165" s="42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45" customFormat="1" outlineLevel="1" x14ac:dyDescent="0.25">
      <c r="A166" s="43"/>
      <c r="B166" s="41"/>
      <c r="C166" s="44" t="str">
        <f>$C$16</f>
        <v>% growth</v>
      </c>
      <c r="E166" s="45" cm="1">
        <f t="array" aca="1" ref="E166" ca="1">IFERROR(_xlfn.ANCHORARRAY(E137)+E167:OFFSET(E167,,$F$6-$C$6-1),1)</f>
        <v>1</v>
      </c>
    </row>
    <row r="167" spans="1:18" s="48" customFormat="1" outlineLevel="1" x14ac:dyDescent="0.25">
      <c r="A167" s="41"/>
      <c r="B167" s="41"/>
      <c r="C167" s="46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47" t="e" cm="1">
        <f t="array" aca="1" ref="D167" ca="1">(1-_xlfn.ANCHORARRAY($D$10))*C167</f>
        <v>#DIV/0!</v>
      </c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1:18" s="42" customFormat="1" outlineLevel="1" x14ac:dyDescent="0.25">
      <c r="A168" s="40"/>
      <c r="B168" s="41"/>
      <c r="C168" s="40" t="str">
        <f>$C$21</f>
        <v>EBIT</v>
      </c>
      <c r="D168" s="42" cm="1">
        <f t="array" aca="1" ref="D168" ca="1">IFERROR(_xlfn.ANCHORARRAY(D169)*D$165:OFFSET(D$165,0,$F$6-$D$9),1)</f>
        <v>1</v>
      </c>
    </row>
    <row r="169" spans="1:18" s="45" customFormat="1" outlineLevel="1" x14ac:dyDescent="0.25">
      <c r="A169" s="43"/>
      <c r="B169" s="41"/>
      <c r="C169" s="44" t="str">
        <f>$C$22</f>
        <v>% of Revenue</v>
      </c>
      <c r="D169" s="45" cm="1">
        <f t="array" aca="1" ref="D169" ca="1">IFERROR(_xlfn.ANCHORARRAY(D140)+_xlfn.ANCHORARRAY(D170),1)</f>
        <v>1</v>
      </c>
    </row>
    <row r="170" spans="1:18" s="48" customFormat="1" outlineLevel="1" x14ac:dyDescent="0.25">
      <c r="A170" s="41"/>
      <c r="B170" s="41"/>
      <c r="C170" s="46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47" t="e" cm="1">
        <f t="array" aca="1" ref="D170" ca="1">(1-_xlfn.ANCHORARRAY($D$10))*C170</f>
        <v>#DIV/0!</v>
      </c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1:18" s="42" customFormat="1" outlineLevel="1" x14ac:dyDescent="0.25">
      <c r="A171" s="40"/>
      <c r="B171" s="41"/>
      <c r="C171" s="40" t="str">
        <f>$C$24</f>
        <v>Depreciation &amp; Amortization</v>
      </c>
      <c r="D171" s="42" cm="1">
        <f t="array" aca="1" ref="D171" ca="1">IFERROR(_xlfn.ANCHORARRAY(D172)*D$165:OFFSET(D$165,0,$F$6-$D$9),1)</f>
        <v>1</v>
      </c>
    </row>
    <row r="172" spans="1:18" s="45" customFormat="1" outlineLevel="1" x14ac:dyDescent="0.25">
      <c r="A172" s="43"/>
      <c r="B172" s="41"/>
      <c r="C172" s="44" t="str">
        <f>$C$25</f>
        <v>% of Revenue</v>
      </c>
      <c r="D172" s="45" cm="1">
        <f t="array" aca="1" ref="D172" ca="1">IFERROR(_xlfn.ANCHORARRAY(D143)+_xlfn.ANCHORARRAY(D173),1)</f>
        <v>1</v>
      </c>
    </row>
    <row r="173" spans="1:18" s="48" customFormat="1" outlineLevel="1" x14ac:dyDescent="0.25">
      <c r="A173" s="41"/>
      <c r="B173" s="41"/>
      <c r="C173" s="46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47" t="e" cm="1">
        <f t="array" aca="1" ref="D173" ca="1">(1-_xlfn.ANCHORARRAY($D$10))*C173</f>
        <v>#DIV/0!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1:18" s="42" customFormat="1" outlineLevel="1" x14ac:dyDescent="0.25">
      <c r="A174" s="40"/>
      <c r="B174" s="41"/>
      <c r="C174" s="40" t="str">
        <f>$C$27</f>
        <v>Capital Expenditures</v>
      </c>
      <c r="D174" s="42" cm="1">
        <f t="array" aca="1" ref="D174" ca="1">IFERROR(-_xlfn.ANCHORARRAY(D175)*D$165:OFFSET(D$165,0,$F$6-$D$9),1)</f>
        <v>1</v>
      </c>
    </row>
    <row r="175" spans="1:18" s="45" customFormat="1" outlineLevel="1" x14ac:dyDescent="0.25">
      <c r="A175" s="43"/>
      <c r="B175" s="41"/>
      <c r="C175" s="44" t="str">
        <f>$C$28</f>
        <v>% of Revenue</v>
      </c>
      <c r="D175" s="45" cm="1">
        <f t="array" aca="1" ref="D175" ca="1">IFERROR(_xlfn.ANCHORARRAY(D146)-_xlfn.ANCHORARRAY(D176),1)</f>
        <v>1</v>
      </c>
    </row>
    <row r="176" spans="1:18" s="48" customFormat="1" outlineLevel="1" x14ac:dyDescent="0.25">
      <c r="A176" s="41"/>
      <c r="B176" s="41"/>
      <c r="C176" s="46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47" t="e" cm="1">
        <f t="array" aca="1" ref="D176" ca="1">(1-_xlfn.ANCHORARRAY($D$10))*C176</f>
        <v>#DIV/0!</v>
      </c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1:18" s="42" customFormat="1" outlineLevel="1" x14ac:dyDescent="0.25">
      <c r="A177" s="40"/>
      <c r="B177" s="41"/>
      <c r="C177" s="40" t="str">
        <f>$C$36</f>
        <v>Change in Working Capital &amp; Other Non-Cash Expenses</v>
      </c>
      <c r="D177" s="42" cm="1">
        <f t="array" aca="1" ref="D177" ca="1">IFERROR(_xlfn.ANCHORARRAY(D178)*D$165:OFFSET(D$165,0,$F$6-$D$9),1)</f>
        <v>1</v>
      </c>
    </row>
    <row r="178" spans="1:18" s="45" customFormat="1" outlineLevel="1" x14ac:dyDescent="0.25">
      <c r="A178" s="43"/>
      <c r="B178" s="41"/>
      <c r="C178" s="44" t="str">
        <f>$C$37</f>
        <v>% of Revenue</v>
      </c>
      <c r="D178" s="45" cm="1">
        <f t="array" aca="1" ref="D178" ca="1">IFERROR(_xlfn.ANCHORARRAY(D149)+_xlfn.ANCHORARRAY(D180),1)</f>
        <v>1</v>
      </c>
    </row>
    <row r="179" spans="1:18" s="45" customFormat="1" outlineLevel="1" x14ac:dyDescent="0.25">
      <c r="A179" s="43"/>
      <c r="B179" s="49"/>
      <c r="C179" s="44" t="str">
        <f>"% of Change in Revenue"</f>
        <v>% of Change in Revenue</v>
      </c>
      <c r="E179" s="45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48" customFormat="1" outlineLevel="1" x14ac:dyDescent="0.25">
      <c r="A180" s="41"/>
      <c r="B180" s="41"/>
      <c r="C180" s="46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47" t="e" cm="1">
        <f t="array" aca="1" ref="D180" ca="1">(1-_xlfn.ANCHORARRAY($D$10))*C180</f>
        <v>#DIV/0!</v>
      </c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1:18" s="42" customFormat="1" outlineLevel="1" x14ac:dyDescent="0.25">
      <c r="A181" s="40"/>
      <c r="B181" s="41"/>
      <c r="C181" s="40" t="str">
        <f>$C$40</f>
        <v>Normalized Taxes</v>
      </c>
      <c r="D181" s="42" cm="1">
        <f t="array" aca="1" ref="D181" ca="1">IFERROR(-_xlfn.ANCHORARRAY(D182)*D$168:OFFSET(D$168,0,$F$6-$D$9),1)</f>
        <v>1</v>
      </c>
    </row>
    <row r="182" spans="1:18" s="45" customFormat="1" outlineLevel="1" x14ac:dyDescent="0.25">
      <c r="A182" s="43"/>
      <c r="B182" s="49"/>
      <c r="C182" s="44" t="str">
        <f>$C$41</f>
        <v>Effective Tax Rate (%)</v>
      </c>
      <c r="D182" s="45" cm="1">
        <f t="array" aca="1" ref="D182" ca="1">IFERROR(-_xlfn.ANCHORARRAY(D183)+_xlfn.ANCHORARRAY(D153),1)</f>
        <v>1</v>
      </c>
    </row>
    <row r="183" spans="1:18" s="48" customFormat="1" outlineLevel="1" x14ac:dyDescent="0.25">
      <c r="A183" s="41"/>
      <c r="B183" s="41"/>
      <c r="C183" s="46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47" t="e" cm="1">
        <f t="array" aca="1" ref="D183" ca="1">(1-_xlfn.ANCHORARRAY($D$10))*C183</f>
        <v>#DIV/0!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1:18" s="42" customFormat="1" outlineLevel="1" x14ac:dyDescent="0.25">
      <c r="A184" s="40"/>
      <c r="B184" s="41"/>
      <c r="C184" s="40" t="str">
        <f>$C$43</f>
        <v>EBIAT/NOPAT</v>
      </c>
      <c r="D184" s="42" cm="1">
        <f t="array" aca="1" ref="D184" ca="1">IFERROR(_xlfn.ANCHORARRAY(D168)+_xlfn.ANCHORARRAY(D181),1)</f>
        <v>2</v>
      </c>
    </row>
    <row r="185" spans="1:18" s="45" customFormat="1" outlineLevel="1" x14ac:dyDescent="0.25">
      <c r="A185" s="43"/>
      <c r="B185" s="41"/>
      <c r="C185" s="44" t="str">
        <f>"% of Revenue"</f>
        <v>% of Revenue</v>
      </c>
      <c r="D185" s="45" t="str" cm="1">
        <f t="array" aca="1" ref="D185" ca="1">IFERROR(D184:OFFSET(D184,0,$F$6-$D$9)/D$165:OFFSET(D$165,0,$F$6-$D$9),"NA ")</f>
        <v xml:space="preserve">NA </v>
      </c>
    </row>
    <row r="186" spans="1:18" s="51" customFormat="1" outlineLevel="1" x14ac:dyDescent="0.25">
      <c r="A186" s="50"/>
      <c r="B186" s="41"/>
      <c r="C186" s="50"/>
    </row>
    <row r="187" spans="1:18" s="42" customFormat="1" outlineLevel="1" x14ac:dyDescent="0.25">
      <c r="A187" s="40"/>
      <c r="B187" s="41"/>
      <c r="C187" s="40" t="str">
        <f>$C$46</f>
        <v>Unlevered Free Cash Flow</v>
      </c>
      <c r="D187" s="42" cm="1">
        <f t="array" aca="1" ref="D187" ca="1">IFERROR(_xlfn.ANCHORARRAY(D184)+_xlfn.ANCHORARRAY(D177)+_xlfn.ANCHORARRAY(D174)+_xlfn.ANCHORARRAY(D171),1)</f>
        <v>5</v>
      </c>
    </row>
    <row r="188" spans="1:18" s="45" customFormat="1" outlineLevel="1" x14ac:dyDescent="0.25">
      <c r="A188" s="43"/>
      <c r="B188" s="41"/>
      <c r="C188" s="44" t="str">
        <f>"% of Revenue"</f>
        <v>% of Revenue</v>
      </c>
      <c r="D188" s="45" t="str" cm="1">
        <f t="array" aca="1" ref="D188" ca="1">IFERROR(D187:OFFSET(D187,0,$F$6-$D$9)/D$165:OFFSET(D$165,0,$F$6-$D$9),"NA ")</f>
        <v xml:space="preserve">NA </v>
      </c>
    </row>
    <row r="189" spans="1:18" s="1" customFormat="1" outlineLevel="1" x14ac:dyDescent="0.25">
      <c r="A189" s="40"/>
      <c r="B189" s="41"/>
    </row>
    <row r="190" spans="1:18" s="1" customFormat="1" outlineLevel="1" x14ac:dyDescent="0.25">
      <c r="A190" s="40"/>
      <c r="B190" s="41"/>
      <c r="C190" s="2" t="str">
        <f>"Conservative Case"</f>
        <v>Conservative Case</v>
      </c>
    </row>
    <row r="191" spans="1:18" s="7" customFormat="1" outlineLevel="1" x14ac:dyDescent="0.25">
      <c r="A191" s="70" t="str">
        <f>""</f>
        <v/>
      </c>
      <c r="B191" s="71"/>
      <c r="D191" s="7" cm="1">
        <f t="array" aca="1" ref="D191" ca="1">IFERROR(IF($D$9:OFFSET($D$9,0,$F$6-$D$9)&lt;$D$6,TEXT($D$9:OFFSET($D$9,0,$F$6-$D$9),"0A"),TEXT($D$9:OFFSET($D$9,0,$F$6-$D$9),"0")&amp;"E"),1)</f>
        <v>1</v>
      </c>
    </row>
    <row r="192" spans="1:18" s="8" customFormat="1" outlineLevel="1" x14ac:dyDescent="0.25">
      <c r="A192" s="62"/>
      <c r="B192" s="66"/>
      <c r="C192" s="3" t="str">
        <f>"Fiscal Year"</f>
        <v>Fiscal Year</v>
      </c>
      <c r="D192" s="8" cm="1">
        <f t="array" aca="1" ref="D192" ca="1">IFERROR(DATE($D$9:OFFSET($D$9,0,$F$6-$D$9),_xlfn.XLOOKUP(_xlfn.TEXTAFTER(_xlfn.TEXTBEFORE($C$5,"-"),": "),$G$4:$R$4,_xlfn.ANCHORARRAY($G$3)),$G$6),1)</f>
        <v>1</v>
      </c>
    </row>
    <row r="193" spans="1:5" s="1" customFormat="1" outlineLevel="1" x14ac:dyDescent="0.25">
      <c r="A193" s="40"/>
      <c r="B193" s="41"/>
    </row>
    <row r="194" spans="1:5" s="6" customFormat="1" outlineLevel="1" x14ac:dyDescent="0.25">
      <c r="A194" s="40"/>
      <c r="B194" s="41"/>
      <c r="C194" s="1" t="str">
        <f>$C$15</f>
        <v>Revenue</v>
      </c>
      <c r="D194" s="6" t="str">
        <f ca="1">D136</f>
        <v>NA</v>
      </c>
      <c r="E194" s="6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12" customFormat="1" outlineLevel="1" x14ac:dyDescent="0.25">
      <c r="A195" s="43"/>
      <c r="B195" s="41"/>
      <c r="C195" s="9" t="str">
        <f>$C$16</f>
        <v>% growth</v>
      </c>
      <c r="D195" s="20"/>
      <c r="E195" s="12" cm="1">
        <f t="array" aca="1" ref="E195" ca="1">IFERROR(_xlfn.ANCHORARRAY(E137)+E196:OFFSET(E196,,F6-C6-1),1)</f>
        <v>1</v>
      </c>
    </row>
    <row r="196" spans="1:5" s="20" customFormat="1" outlineLevel="1" x14ac:dyDescent="0.25">
      <c r="A196" s="49"/>
      <c r="B196" s="49"/>
      <c r="C196" s="14"/>
      <c r="D196" s="20" t="e" cm="1">
        <f t="array" aca="1" ref="D196" ca="1">-_xlfn.ANCHORARRAY(D167)</f>
        <v>#DIV/0!</v>
      </c>
    </row>
    <row r="197" spans="1:5" s="6" customFormat="1" outlineLevel="1" x14ac:dyDescent="0.25">
      <c r="A197" s="40"/>
      <c r="B197" s="41"/>
      <c r="C197" s="1" t="str">
        <f>$C$21</f>
        <v>EBIT</v>
      </c>
      <c r="D197" s="6" cm="1">
        <f t="array" aca="1" ref="D197" ca="1">IFERROR(_xlfn.ANCHORARRAY(D198)*D$194:OFFSET(D$194,0,$F$6-$D$9),1)</f>
        <v>1</v>
      </c>
    </row>
    <row r="198" spans="1:5" s="12" customFormat="1" outlineLevel="1" x14ac:dyDescent="0.25">
      <c r="A198" s="43"/>
      <c r="B198" s="41"/>
      <c r="C198" s="9" t="str">
        <f>$C$22</f>
        <v>% of Revenue</v>
      </c>
      <c r="D198" s="12" cm="1">
        <f t="array" aca="1" ref="D198" ca="1">IFERROR(_xlfn.ANCHORARRAY(D140)+_xlfn.ANCHORARRAY(D199),1)</f>
        <v>1</v>
      </c>
    </row>
    <row r="199" spans="1:5" s="20" customFormat="1" outlineLevel="1" x14ac:dyDescent="0.25">
      <c r="A199" s="49"/>
      <c r="B199" s="49"/>
      <c r="C199" s="14"/>
      <c r="D199" s="20" t="e" cm="1">
        <f t="array" aca="1" ref="D199" ca="1">-_xlfn.ANCHORARRAY(D170)</f>
        <v>#DIV/0!</v>
      </c>
    </row>
    <row r="200" spans="1:5" s="6" customFormat="1" outlineLevel="1" x14ac:dyDescent="0.25">
      <c r="A200" s="40"/>
      <c r="B200" s="41"/>
      <c r="C200" s="1" t="str">
        <f>$C$24</f>
        <v>Depreciation &amp; Amortization</v>
      </c>
      <c r="D200" s="6" cm="1">
        <f t="array" aca="1" ref="D200" ca="1">IFERROR(_xlfn.ANCHORARRAY(D201)*D$194:OFFSET(D$194,0,$F$6-$D$9),1)</f>
        <v>1</v>
      </c>
    </row>
    <row r="201" spans="1:5" s="12" customFormat="1" outlineLevel="1" x14ac:dyDescent="0.25">
      <c r="A201" s="43"/>
      <c r="B201" s="41"/>
      <c r="C201" s="9" t="str">
        <f>$C$25</f>
        <v>% of Revenue</v>
      </c>
      <c r="D201" s="12" cm="1">
        <f t="array" aca="1" ref="D201" ca="1">IFERROR(_xlfn.ANCHORARRAY(D143)+_xlfn.ANCHORARRAY(D202),1)</f>
        <v>1</v>
      </c>
    </row>
    <row r="202" spans="1:5" s="20" customFormat="1" outlineLevel="1" x14ac:dyDescent="0.25">
      <c r="A202" s="49"/>
      <c r="B202" s="49"/>
      <c r="C202" s="14"/>
      <c r="D202" s="20" t="e" cm="1">
        <f t="array" aca="1" ref="D202" ca="1">-_xlfn.ANCHORARRAY(D173)</f>
        <v>#DIV/0!</v>
      </c>
    </row>
    <row r="203" spans="1:5" s="6" customFormat="1" outlineLevel="1" x14ac:dyDescent="0.25">
      <c r="A203" s="40"/>
      <c r="B203" s="41"/>
      <c r="C203" s="1" t="str">
        <f>$C$27</f>
        <v>Capital Expenditures</v>
      </c>
      <c r="D203" s="6" cm="1">
        <f t="array" aca="1" ref="D203" ca="1">IFERROR(-_xlfn.ANCHORARRAY(D204)*D$194:OFFSET(D$194,0,$F$6-$D$9),1)</f>
        <v>1</v>
      </c>
    </row>
    <row r="204" spans="1:5" s="12" customFormat="1" outlineLevel="1" x14ac:dyDescent="0.25">
      <c r="A204" s="43"/>
      <c r="B204" s="41"/>
      <c r="C204" s="9" t="str">
        <f>$C$28</f>
        <v>% of Revenue</v>
      </c>
      <c r="D204" s="12" cm="1">
        <f t="array" aca="1" ref="D204" ca="1">IFERROR(_xlfn.ANCHORARRAY(D146)-_xlfn.ANCHORARRAY(D205),1)</f>
        <v>1</v>
      </c>
    </row>
    <row r="205" spans="1:5" s="20" customFormat="1" outlineLevel="1" x14ac:dyDescent="0.25">
      <c r="A205" s="49"/>
      <c r="B205" s="49"/>
      <c r="C205" s="14"/>
      <c r="D205" s="20" t="e" cm="1">
        <f t="array" aca="1" ref="D205" ca="1">-_xlfn.ANCHORARRAY(D176)</f>
        <v>#DIV/0!</v>
      </c>
    </row>
    <row r="206" spans="1:5" s="6" customFormat="1" outlineLevel="1" x14ac:dyDescent="0.25">
      <c r="A206" s="40"/>
      <c r="B206" s="41"/>
      <c r="C206" s="1" t="str">
        <f>$C$36</f>
        <v>Change in Working Capital &amp; Other Non-Cash Expenses</v>
      </c>
      <c r="D206" s="6" cm="1">
        <f t="array" aca="1" ref="D206" ca="1">IFERROR(_xlfn.ANCHORARRAY(D207)*D$194:OFFSET(D$194,0,$F$6-$D$9),1)</f>
        <v>1</v>
      </c>
    </row>
    <row r="207" spans="1:5" s="12" customFormat="1" outlineLevel="1" x14ac:dyDescent="0.25">
      <c r="A207" s="43"/>
      <c r="B207" s="41"/>
      <c r="C207" s="9" t="str">
        <f>$C$37</f>
        <v>% of Revenue</v>
      </c>
      <c r="D207" s="12" cm="1">
        <f t="array" aca="1" ref="D207" ca="1">IFERROR(_xlfn.ANCHORARRAY(D149)+_xlfn.ANCHORARRAY(D209),1)</f>
        <v>1</v>
      </c>
    </row>
    <row r="208" spans="1:5" s="12" customFormat="1" outlineLevel="1" x14ac:dyDescent="0.25">
      <c r="A208" s="43"/>
      <c r="B208" s="49"/>
      <c r="C208" s="9" t="str">
        <f>$C$38</f>
        <v>% of Change in Revenue</v>
      </c>
      <c r="E208" s="12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20" customFormat="1" outlineLevel="1" x14ac:dyDescent="0.25">
      <c r="A209" s="49"/>
      <c r="B209" s="49"/>
      <c r="C209" s="14"/>
      <c r="D209" s="20" t="e" cm="1">
        <f t="array" aca="1" ref="D209" ca="1">-_xlfn.ANCHORARRAY(D180)</f>
        <v>#DIV/0!</v>
      </c>
    </row>
    <row r="210" spans="1:4" s="6" customFormat="1" outlineLevel="1" x14ac:dyDescent="0.25">
      <c r="A210" s="40"/>
      <c r="B210" s="41"/>
      <c r="C210" s="1" t="str">
        <f>$C$40</f>
        <v>Normalized Taxes</v>
      </c>
      <c r="D210" s="6" cm="1">
        <f t="array" aca="1" ref="D210" ca="1">IFERROR(-_xlfn.ANCHORARRAY(D211)*D$197:OFFSET(D$197,0,$F$6-$D$9),1)</f>
        <v>1</v>
      </c>
    </row>
    <row r="211" spans="1:4" s="12" customFormat="1" outlineLevel="1" x14ac:dyDescent="0.25">
      <c r="A211" s="43"/>
      <c r="B211" s="49"/>
      <c r="C211" s="9" t="str">
        <f>$C$41</f>
        <v>Effective Tax Rate (%)</v>
      </c>
      <c r="D211" s="12" cm="1">
        <f t="array" aca="1" ref="D211" ca="1">IFERROR(-_xlfn.ANCHORARRAY(D212)+_xlfn.ANCHORARRAY(D153),1)</f>
        <v>1</v>
      </c>
    </row>
    <row r="212" spans="1:4" s="20" customFormat="1" outlineLevel="1" x14ac:dyDescent="0.25">
      <c r="A212" s="49"/>
      <c r="B212" s="49"/>
      <c r="C212" s="14"/>
      <c r="D212" s="20" t="e" cm="1">
        <f t="array" aca="1" ref="D212" ca="1">-_xlfn.ANCHORARRAY(D183)</f>
        <v>#DIV/0!</v>
      </c>
    </row>
    <row r="213" spans="1:4" s="6" customFormat="1" outlineLevel="1" x14ac:dyDescent="0.25">
      <c r="A213" s="40"/>
      <c r="B213" s="41"/>
      <c r="C213" s="1" t="str">
        <f>$C$43</f>
        <v>EBIAT/NOPAT</v>
      </c>
      <c r="D213" s="6" cm="1">
        <f t="array" aca="1" ref="D213" ca="1">IFERROR(_xlfn.ANCHORARRAY(D197)+_xlfn.ANCHORARRAY(D210),1)</f>
        <v>2</v>
      </c>
    </row>
    <row r="214" spans="1:4" s="12" customFormat="1" outlineLevel="1" x14ac:dyDescent="0.25">
      <c r="A214" s="43"/>
      <c r="B214" s="41"/>
      <c r="C214" s="9" t="str">
        <f>"% of Revenue"</f>
        <v>% of Revenue</v>
      </c>
      <c r="D214" s="12" t="str" cm="1">
        <f t="array" aca="1" ref="D214" ca="1">IFERROR(D213:OFFSET(D213,0,$F$6-$D$9)/D$165:OFFSET(D$165,0,$F$6-$D$9),"NA ")</f>
        <v xml:space="preserve">NA </v>
      </c>
    </row>
    <row r="215" spans="1:4" s="12" customFormat="1" outlineLevel="1" x14ac:dyDescent="0.25">
      <c r="A215" s="43"/>
      <c r="B215" s="49"/>
      <c r="C215" s="5"/>
    </row>
    <row r="216" spans="1:4" s="6" customFormat="1" outlineLevel="1" x14ac:dyDescent="0.25">
      <c r="A216" s="40"/>
      <c r="B216" s="41"/>
      <c r="C216" s="1" t="str">
        <f>$C$46</f>
        <v>Unlevered Free Cash Flow</v>
      </c>
      <c r="D216" s="6" cm="1">
        <f t="array" aca="1" ref="D216" ca="1">IFERROR(_xlfn.ANCHORARRAY(D213)+_xlfn.ANCHORARRAY(D206)+_xlfn.ANCHORARRAY(D203)+_xlfn.ANCHORARRAY(D200),1)</f>
        <v>5</v>
      </c>
    </row>
    <row r="217" spans="1:4" s="12" customFormat="1" outlineLevel="1" x14ac:dyDescent="0.25">
      <c r="A217" s="43"/>
      <c r="B217" s="41"/>
      <c r="C217" s="9" t="str">
        <f>"% of Revenue"</f>
        <v>% of Revenue</v>
      </c>
      <c r="D217" s="12" t="str" cm="1">
        <f t="array" aca="1" ref="D217" ca="1">IFERROR(D216:OFFSET(D216,0,$F$6-$D$9)/D$165:OFFSET(D$165,0,$F$6-$D$9),"NA ")</f>
        <v xml:space="preserve">NA </v>
      </c>
    </row>
    <row r="218" spans="1:4" s="1" customFormat="1" outlineLevel="1" x14ac:dyDescent="0.25">
      <c r="A218" s="40"/>
      <c r="B218" s="41"/>
    </row>
    <row r="219" spans="1:4" s="1" customFormat="1" x14ac:dyDescent="0.25">
      <c r="A219" s="40"/>
      <c r="B219" s="41"/>
      <c r="C219" s="2" t="str">
        <f>"Present Value of Free Cash Flow Calculations"</f>
        <v>Present Value of Free Cash Flow Calculations</v>
      </c>
    </row>
    <row r="220" spans="1:4" s="10" customFormat="1" x14ac:dyDescent="0.25">
      <c r="A220" s="68" t="str">
        <f>""</f>
        <v/>
      </c>
      <c r="B220" s="69"/>
      <c r="D220" s="10" cm="1">
        <f t="array" aca="1" ref="D220" ca="1">IFERROR(IF($D$9:OFFSET($D$9,0,$F$6-$D$9)&lt;$D$6,TEXT($D$9:OFFSET($D$9,0,$F$6-$D$9),"0A"),TEXT($D$9:OFFSET($D$9,0,$F$6-$D$9),"0")&amp;"E"),1)</f>
        <v>1</v>
      </c>
    </row>
    <row r="221" spans="1:4" s="8" customFormat="1" x14ac:dyDescent="0.25">
      <c r="A221" s="62"/>
      <c r="B221" s="66"/>
      <c r="C221" s="3" t="str">
        <f>"Fiscal Year"</f>
        <v>Fiscal Year</v>
      </c>
      <c r="D221" s="8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8" customFormat="1" x14ac:dyDescent="0.25">
      <c r="A222" s="62"/>
      <c r="B222" s="66"/>
      <c r="C222" s="3" t="str">
        <f>"Date of Free Cash Flow"</f>
        <v>Date of Free Cash Flow</v>
      </c>
      <c r="D222" s="8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3" spans="1:4" s="1" customFormat="1" x14ac:dyDescent="0.25">
      <c r="A223" s="40"/>
      <c r="B223" s="41"/>
    </row>
    <row r="224" spans="1:4" s="1" customFormat="1" x14ac:dyDescent="0.25">
      <c r="A224" s="40"/>
      <c r="B224" s="41"/>
      <c r="C224" s="1" t="str">
        <f>C100</f>
        <v>Unlevered Free Cash Flow</v>
      </c>
      <c r="D224" s="1" t="str" cm="1">
        <f t="array" aca="1" ref="D224" ca="1">IFERROR(_xlfn.LET(_xlpm.x,_xlfn.ANCHORARRAY(D100)*(1-_xlfn.ANCHORARRAY(D10)),IF(_xlfn.ANCHORARRAY(D222)="","",_xlpm.x)),1)</f>
        <v/>
      </c>
    </row>
    <row r="225" spans="1:19" s="26" customFormat="1" x14ac:dyDescent="0.25">
      <c r="A225" s="64"/>
      <c r="B225" s="67"/>
      <c r="C225" s="27" t="str">
        <f>"Stub-Adjustment"</f>
        <v>Stub-Adjustment</v>
      </c>
      <c r="D225" s="26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6" spans="1:19" s="1" customFormat="1" x14ac:dyDescent="0.25">
      <c r="A226" s="40"/>
      <c r="B226" s="41"/>
    </row>
    <row r="227" spans="1:19" s="1" customFormat="1" x14ac:dyDescent="0.25">
      <c r="A227" s="40"/>
      <c r="B227" s="41"/>
      <c r="C227" s="1" t="str">
        <f>"Stub-Adjusted Free Cash Flow"</f>
        <v>Stub-Adjusted Free Cash Flow</v>
      </c>
      <c r="D227" s="1" t="str" cm="1">
        <f t="array" aca="1" ref="D227" ca="1">IFERROR(_xlfn.ANCHORARRAY(D224)*_xlfn.ANCHORARRAY(D225),"")</f>
        <v/>
      </c>
    </row>
    <row r="228" spans="1:19" s="1" customFormat="1" x14ac:dyDescent="0.25">
      <c r="A228" s="40"/>
      <c r="B228" s="41"/>
    </row>
    <row r="229" spans="1:19" s="1" customFormat="1" collapsed="1" x14ac:dyDescent="0.25">
      <c r="A229" s="40"/>
      <c r="B229" s="41"/>
      <c r="C229" s="2" t="str">
        <f>"Terminal Value (Exit Multiple)"</f>
        <v>Terminal Value (Exit Multiple)</v>
      </c>
      <c r="F229" s="2" t="str">
        <f>"Sensitivity Analysis (Exit Multiple)"</f>
        <v>Sensitivity Analysis (Exit Multiple)</v>
      </c>
    </row>
    <row r="230" spans="1:19" s="13" customFormat="1" x14ac:dyDescent="0.25">
      <c r="A230" s="61" t="str">
        <f>""</f>
        <v/>
      </c>
      <c r="B230" s="65"/>
      <c r="C230" s="10"/>
      <c r="D230" s="10"/>
      <c r="F230" s="10"/>
      <c r="G230" s="10"/>
      <c r="H230" s="10"/>
      <c r="I230" s="10"/>
      <c r="J230" s="10"/>
      <c r="K230" s="10"/>
      <c r="L230" s="10"/>
      <c r="M230" s="10"/>
      <c r="N230" s="1"/>
      <c r="O230" s="1"/>
      <c r="P230" s="1"/>
      <c r="Q230" s="1"/>
      <c r="R230" s="1"/>
      <c r="S230" s="1"/>
    </row>
    <row r="231" spans="1:19" s="8" customFormat="1" x14ac:dyDescent="0.25">
      <c r="A231" s="62"/>
      <c r="B231" s="66"/>
      <c r="C231" s="3"/>
      <c r="N231" s="1"/>
      <c r="O231" s="1"/>
      <c r="P231" s="1"/>
      <c r="Q231" s="1"/>
      <c r="R231" s="1"/>
      <c r="S231" s="1"/>
    </row>
    <row r="232" spans="1:19" s="1" customFormat="1" x14ac:dyDescent="0.25">
      <c r="A232" s="40"/>
      <c r="B232" s="41"/>
      <c r="C232" s="1" t="str">
        <f>P5</f>
        <v>Exit Multiple (EBITDA)</v>
      </c>
      <c r="D232" s="28">
        <f ca="1">R5</f>
        <v>8</v>
      </c>
      <c r="K232" s="2" t="str">
        <f>C232</f>
        <v>Exit Multiple (EBITDA)</v>
      </c>
    </row>
    <row r="233" spans="1:19" x14ac:dyDescent="0.25">
      <c r="C233" s="1" t="str">
        <f ca="1">"FY"&amp;F6&amp;" EBITDA"</f>
        <v>FY2034 EBITDA</v>
      </c>
      <c r="D233" s="1" cm="1">
        <f t="array" aca="1" ref="D233" ca="1">IFERROR(INDEX(_xlfn.ANCHORARRAY(D81),,COUNTA(_xlfn.ANCHORARRAY(D81)))+INDEX(_xlfn.ANCHORARRAY(D84),,COUNTA(_xlfn.ANCHORARRAY(D84))),1)</f>
        <v>2</v>
      </c>
      <c r="H233" s="81">
        <f ca="1">D243</f>
        <v>1</v>
      </c>
      <c r="I233" s="74">
        <f>J233-2</f>
        <v>6</v>
      </c>
      <c r="J233" s="74">
        <f>K233-2</f>
        <v>8</v>
      </c>
      <c r="K233" s="74">
        <f>10</f>
        <v>10</v>
      </c>
      <c r="L233" s="74">
        <f>K233+2</f>
        <v>12</v>
      </c>
      <c r="M233" s="74">
        <f>L233+2</f>
        <v>14</v>
      </c>
    </row>
    <row r="234" spans="1:19" x14ac:dyDescent="0.25">
      <c r="C234" s="1" t="str">
        <f>"Terminal Value"</f>
        <v>Terminal Value</v>
      </c>
      <c r="D234" s="1">
        <f ca="1">IFERROR(D232*D233,1)</f>
        <v>16</v>
      </c>
      <c r="H234" s="75">
        <f>H235+0.25%</f>
        <v>0.11250000000000002</v>
      </c>
      <c r="I234" s="76">
        <f t="dataTable" ref="I234:M245" dt2D="1" dtr="1" r1="D232" r2="D8" ca="1"/>
        <v>1</v>
      </c>
      <c r="J234" s="77">
        <v>1</v>
      </c>
      <c r="K234" s="77">
        <v>1</v>
      </c>
      <c r="L234" s="77">
        <v>1</v>
      </c>
      <c r="M234" s="77">
        <v>1</v>
      </c>
    </row>
    <row r="235" spans="1:19" x14ac:dyDescent="0.25">
      <c r="C235" s="1" t="str">
        <f>"Present Value of Terminal Value"</f>
        <v>Present Value of Terminal Value</v>
      </c>
      <c r="D235" s="1">
        <f ca="1">IFERROR(D234/((1+$D$8)^YEARFRAC($D$7,INDEX(_xlfn.ANCHORARRAY($D$222),,COUNTA(_xlfn.ANCHORARRAY($D$222))),3)),1)</f>
        <v>1</v>
      </c>
      <c r="H235" s="75">
        <f>H236+0.25%</f>
        <v>0.11000000000000001</v>
      </c>
      <c r="I235" s="78">
        <v>1</v>
      </c>
      <c r="J235" s="79">
        <v>1</v>
      </c>
      <c r="K235" s="79">
        <v>1</v>
      </c>
      <c r="L235" s="79">
        <v>1</v>
      </c>
      <c r="M235" s="79">
        <v>1</v>
      </c>
    </row>
    <row r="236" spans="1:19" x14ac:dyDescent="0.25">
      <c r="C236" s="1" t="str">
        <f>"Sum of Present Value of Free Cash Flows"</f>
        <v>Sum of Present Value of Free Cash Flows</v>
      </c>
      <c r="D236" s="1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75">
        <f>H237+0.25%</f>
        <v>0.10750000000000001</v>
      </c>
      <c r="I236" s="78">
        <v>1</v>
      </c>
      <c r="J236" s="79">
        <v>1</v>
      </c>
      <c r="K236" s="79">
        <v>1</v>
      </c>
      <c r="L236" s="79">
        <v>1</v>
      </c>
      <c r="M236" s="79">
        <v>1</v>
      </c>
    </row>
    <row r="237" spans="1:19" x14ac:dyDescent="0.25">
      <c r="G237" s="6"/>
      <c r="H237" s="75">
        <f>H238+0.25%</f>
        <v>0.10500000000000001</v>
      </c>
      <c r="I237" s="78">
        <v>1</v>
      </c>
      <c r="J237" s="79">
        <v>1</v>
      </c>
      <c r="K237" s="79">
        <v>1</v>
      </c>
      <c r="L237" s="79">
        <v>1</v>
      </c>
      <c r="M237" s="79">
        <v>1</v>
      </c>
    </row>
    <row r="238" spans="1:19" x14ac:dyDescent="0.25">
      <c r="C238" s="1" t="str">
        <f>"Enterprise Value"</f>
        <v>Enterprise Value</v>
      </c>
      <c r="D238" s="1">
        <f ca="1">IFERROR(SUM(D235:D236),1)</f>
        <v>2</v>
      </c>
      <c r="H238" s="75">
        <f>H239+0.25%</f>
        <v>0.10250000000000001</v>
      </c>
      <c r="I238" s="78">
        <v>1</v>
      </c>
      <c r="J238" s="79">
        <v>1</v>
      </c>
      <c r="K238" s="79">
        <v>1</v>
      </c>
      <c r="L238" s="79">
        <v>1</v>
      </c>
      <c r="M238" s="79">
        <v>1</v>
      </c>
    </row>
    <row r="239" spans="1:19" x14ac:dyDescent="0.25">
      <c r="C239" s="1" t="str">
        <f>$C$55</f>
        <v>Net Debt</v>
      </c>
      <c r="D239" s="1" cm="1">
        <f t="array" aca="1" ref="D239" ca="1">IFERROR(_xlfn.XLOOKUP(D7,_xlfn.ANCHORARRAY($D$13),_xlfn.ANCHORARRAY(D58)),1)</f>
        <v>1</v>
      </c>
      <c r="G239" s="13" t="str">
        <f>$C$8</f>
        <v>Weighted-Average Cost of Capital</v>
      </c>
      <c r="H239" s="75">
        <f>10%</f>
        <v>0.1</v>
      </c>
      <c r="I239" s="78">
        <v>1</v>
      </c>
      <c r="J239" s="79">
        <v>1</v>
      </c>
      <c r="K239" s="79">
        <v>1</v>
      </c>
      <c r="L239" s="79">
        <v>1</v>
      </c>
      <c r="M239" s="79">
        <v>1</v>
      </c>
    </row>
    <row r="240" spans="1:19" x14ac:dyDescent="0.25">
      <c r="C240" s="1" t="str">
        <f>"Equity Value"</f>
        <v>Equity Value</v>
      </c>
      <c r="D240" s="1">
        <f ca="1">IFERROR(D238-D239,1)</f>
        <v>1</v>
      </c>
      <c r="H240" s="75">
        <f t="shared" ref="H240:H245" si="0">H239-0.25%</f>
        <v>9.7500000000000003E-2</v>
      </c>
      <c r="I240" s="78">
        <v>1</v>
      </c>
      <c r="J240" s="79">
        <v>1</v>
      </c>
      <c r="K240" s="79">
        <v>1</v>
      </c>
      <c r="L240" s="79">
        <v>1</v>
      </c>
      <c r="M240" s="79">
        <v>1</v>
      </c>
    </row>
    <row r="241" spans="1:19" x14ac:dyDescent="0.25">
      <c r="H241" s="75">
        <f t="shared" si="0"/>
        <v>9.5000000000000001E-2</v>
      </c>
      <c r="I241" s="78">
        <v>1</v>
      </c>
      <c r="J241" s="79">
        <v>1</v>
      </c>
      <c r="K241" s="79">
        <v>1</v>
      </c>
      <c r="L241" s="79">
        <v>1</v>
      </c>
      <c r="M241" s="79">
        <v>1</v>
      </c>
    </row>
    <row r="242" spans="1:19" x14ac:dyDescent="0.25">
      <c r="C242" s="1" t="str">
        <f>_xlfn.TEXTBEFORE($C$53," as")</f>
        <v>Diluted Shares Outstanding</v>
      </c>
      <c r="D242" s="1" cm="1">
        <f t="array" aca="1" ref="D242" ca="1">IFERROR(_xlfn.XLOOKUP(D7,_xlfn.ANCHORARRAY($D$13),_xlfn.ANCHORARRAY(D53)),1)</f>
        <v>1</v>
      </c>
      <c r="H242" s="75">
        <f t="shared" si="0"/>
        <v>9.2499999999999999E-2</v>
      </c>
      <c r="I242" s="78">
        <v>1</v>
      </c>
      <c r="J242" s="79">
        <v>1</v>
      </c>
      <c r="K242" s="79">
        <v>1</v>
      </c>
      <c r="L242" s="79">
        <v>1</v>
      </c>
      <c r="M242" s="79">
        <v>1</v>
      </c>
    </row>
    <row r="243" spans="1:19" x14ac:dyDescent="0.25">
      <c r="C243" s="1" t="str">
        <f>"Implied Share Price"</f>
        <v>Implied Share Price</v>
      </c>
      <c r="D243" s="29">
        <f ca="1">IFERROR(D240/D242,1)</f>
        <v>1</v>
      </c>
      <c r="H243" s="75">
        <f t="shared" si="0"/>
        <v>0.09</v>
      </c>
      <c r="I243" s="78">
        <v>1</v>
      </c>
      <c r="J243" s="79">
        <v>1</v>
      </c>
      <c r="K243" s="79">
        <v>1</v>
      </c>
      <c r="L243" s="79">
        <v>1</v>
      </c>
      <c r="M243" s="79">
        <v>1</v>
      </c>
    </row>
    <row r="244" spans="1:19" x14ac:dyDescent="0.25">
      <c r="C244" s="1" t="str">
        <f>"Current Share Price"</f>
        <v>Current Share Price</v>
      </c>
      <c r="D244" s="29" t="e">
        <f ca="1">$N$5</f>
        <v>#DIV/0!</v>
      </c>
      <c r="H244" s="75">
        <f t="shared" si="0"/>
        <v>8.7499999999999994E-2</v>
      </c>
      <c r="I244" s="78">
        <v>1</v>
      </c>
      <c r="J244" s="79">
        <v>1</v>
      </c>
      <c r="K244" s="79">
        <v>1</v>
      </c>
      <c r="L244" s="79">
        <v>1</v>
      </c>
      <c r="M244" s="79">
        <v>1</v>
      </c>
    </row>
    <row r="245" spans="1:19" x14ac:dyDescent="0.25">
      <c r="C245" s="25" t="str">
        <f>"Upside / Downside"</f>
        <v>Upside / Downside</v>
      </c>
      <c r="D245" s="5">
        <f ca="1">IFERROR(D243/D244-1,1)</f>
        <v>1</v>
      </c>
      <c r="H245" s="75">
        <f t="shared" si="0"/>
        <v>8.4999999999999992E-2</v>
      </c>
      <c r="I245" s="78">
        <v>1</v>
      </c>
      <c r="J245" s="79">
        <v>1</v>
      </c>
      <c r="K245" s="79">
        <v>1</v>
      </c>
      <c r="L245" s="79">
        <v>1</v>
      </c>
      <c r="M245" s="79">
        <v>1</v>
      </c>
    </row>
    <row r="246" spans="1:19" s="1" customFormat="1" x14ac:dyDescent="0.25">
      <c r="A246" s="40"/>
      <c r="B246" s="41"/>
    </row>
    <row r="247" spans="1:19" s="1" customFormat="1" collapsed="1" x14ac:dyDescent="0.25">
      <c r="A247" s="40"/>
      <c r="B247" s="41"/>
      <c r="C247" s="2" t="str">
        <f>"Terminal Value (Perpetuity)"</f>
        <v>Terminal Value (Perpetuity)</v>
      </c>
      <c r="F247" s="2" t="str">
        <f>"Sensitivity Analysis (Perpetuity)"</f>
        <v>Sensitivity Analysis (Perpetuity)</v>
      </c>
    </row>
    <row r="248" spans="1:19" s="13" customFormat="1" x14ac:dyDescent="0.25">
      <c r="A248" s="61" t="str">
        <f>""</f>
        <v/>
      </c>
      <c r="B248" s="65"/>
      <c r="C248" s="10"/>
      <c r="D248" s="10"/>
      <c r="F248" s="10"/>
      <c r="G248" s="10"/>
      <c r="H248" s="10"/>
      <c r="I248" s="10"/>
      <c r="J248" s="10"/>
      <c r="K248" s="10"/>
      <c r="L248" s="10"/>
      <c r="M248" s="10"/>
      <c r="N248" s="1"/>
      <c r="O248" s="1"/>
      <c r="P248" s="1"/>
      <c r="Q248" s="1"/>
      <c r="R248" s="1"/>
      <c r="S248" s="1"/>
    </row>
    <row r="249" spans="1:19" s="8" customFormat="1" x14ac:dyDescent="0.25">
      <c r="A249" s="62"/>
      <c r="B249" s="66"/>
      <c r="C249" s="3"/>
    </row>
    <row r="250" spans="1:19" s="1" customFormat="1" x14ac:dyDescent="0.25">
      <c r="A250" s="40"/>
      <c r="B250" s="41"/>
      <c r="C250" s="1" t="str">
        <f>P6</f>
        <v>Terminal Growth Rate</v>
      </c>
      <c r="D250" s="21">
        <f>R6</f>
        <v>2.5000000000000001E-2</v>
      </c>
      <c r="K250" s="2" t="str">
        <f>C250</f>
        <v>Terminal Growth Rate</v>
      </c>
    </row>
    <row r="251" spans="1:19" x14ac:dyDescent="0.25">
      <c r="C251" s="1" t="str">
        <f ca="1">"FY"&amp;F6+1&amp;" "&amp;C224</f>
        <v>FY2035 Unlevered Free Cash Flow</v>
      </c>
      <c r="D251" s="1" cm="1">
        <f t="array" aca="1" ref="D251" ca="1">IFERROR(INDEX(_xlfn.ANCHORARRAY(D224),,COUNTA(_xlfn.ANCHORARRAY(D224)))*(1+D250),1)</f>
        <v>1</v>
      </c>
      <c r="H251" s="81">
        <f ca="1">D261</f>
        <v>1</v>
      </c>
      <c r="I251" s="80">
        <f>J251-0.5%</f>
        <v>1.4999999999999999E-2</v>
      </c>
      <c r="J251" s="80">
        <f>K251-0.5%</f>
        <v>0.02</v>
      </c>
      <c r="K251" s="80">
        <f>2.5%</f>
        <v>2.5000000000000001E-2</v>
      </c>
      <c r="L251" s="80">
        <f>K251+0.5%</f>
        <v>3.0000000000000002E-2</v>
      </c>
      <c r="M251" s="80">
        <f>L251+0.5%</f>
        <v>3.5000000000000003E-2</v>
      </c>
    </row>
    <row r="252" spans="1:19" x14ac:dyDescent="0.25">
      <c r="C252" s="1" t="str">
        <f>"Terminal Value"</f>
        <v>Terminal Value</v>
      </c>
      <c r="D252" s="1">
        <f ca="1">IFERROR(D251/(D8-D250),1)</f>
        <v>56.753688989784344</v>
      </c>
      <c r="H252" s="75">
        <f>H253+0.25%</f>
        <v>0.11250000000000002</v>
      </c>
      <c r="I252" s="76">
        <f t="dataTable" ref="I252:M263" dt2D="1" dtr="1" r1="D250" r2="D8" ca="1"/>
        <v>1</v>
      </c>
      <c r="J252" s="77">
        <v>1</v>
      </c>
      <c r="K252" s="77">
        <v>1</v>
      </c>
      <c r="L252" s="77">
        <v>1</v>
      </c>
      <c r="M252" s="77">
        <v>1</v>
      </c>
    </row>
    <row r="253" spans="1:19" x14ac:dyDescent="0.25">
      <c r="C253" s="1" t="str">
        <f>"Present Value of Terminal Value"</f>
        <v>Present Value of Terminal Value</v>
      </c>
      <c r="D253" s="1">
        <f ca="1">IFERROR(D252/((1+$D$8)^YEARFRAC($D$7,INDEX(_xlfn.ANCHORARRAY($D$222),,COUNTA(_xlfn.ANCHORARRAY($D$222))),3)),1)</f>
        <v>1</v>
      </c>
      <c r="H253" s="75">
        <f>H254+0.25%</f>
        <v>0.11000000000000001</v>
      </c>
      <c r="I253" s="78">
        <v>1</v>
      </c>
      <c r="J253" s="79">
        <v>1</v>
      </c>
      <c r="K253" s="79">
        <v>1</v>
      </c>
      <c r="L253" s="79">
        <v>1</v>
      </c>
      <c r="M253" s="79">
        <v>1</v>
      </c>
    </row>
    <row r="254" spans="1:19" x14ac:dyDescent="0.25">
      <c r="C254" s="1" t="str">
        <f>"Sum of Present Value of Free Cash Flows"</f>
        <v>Sum of Present Value of Free Cash Flows</v>
      </c>
      <c r="D254" s="1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75">
        <f>H255+0.25%</f>
        <v>0.10750000000000001</v>
      </c>
      <c r="I254" s="78">
        <v>1</v>
      </c>
      <c r="J254" s="79">
        <v>1</v>
      </c>
      <c r="K254" s="79">
        <v>1</v>
      </c>
      <c r="L254" s="79">
        <v>1</v>
      </c>
      <c r="M254" s="79">
        <v>1</v>
      </c>
    </row>
    <row r="255" spans="1:19" x14ac:dyDescent="0.25">
      <c r="G255" s="6"/>
      <c r="H255" s="75">
        <f>H256+0.25%</f>
        <v>0.10500000000000001</v>
      </c>
      <c r="I255" s="78">
        <v>1</v>
      </c>
      <c r="J255" s="79">
        <v>1</v>
      </c>
      <c r="K255" s="79">
        <v>1</v>
      </c>
      <c r="L255" s="79">
        <v>1</v>
      </c>
      <c r="M255" s="79">
        <v>1</v>
      </c>
    </row>
    <row r="256" spans="1:19" x14ac:dyDescent="0.25">
      <c r="C256" s="1" t="str">
        <f>"Enterprise Value"</f>
        <v>Enterprise Value</v>
      </c>
      <c r="D256" s="1">
        <f ca="1">IFERROR(SUM(D253:D254),1)</f>
        <v>2</v>
      </c>
      <c r="H256" s="75">
        <f>H257+0.25%</f>
        <v>0.10250000000000001</v>
      </c>
      <c r="I256" s="78">
        <v>1</v>
      </c>
      <c r="J256" s="79">
        <v>1</v>
      </c>
      <c r="K256" s="79">
        <v>1</v>
      </c>
      <c r="L256" s="79">
        <v>1</v>
      </c>
      <c r="M256" s="79">
        <v>1</v>
      </c>
    </row>
    <row r="257" spans="1:13" x14ac:dyDescent="0.25">
      <c r="C257" s="1" t="str">
        <f>$C$55</f>
        <v>Net Debt</v>
      </c>
      <c r="D257" s="1" cm="1">
        <f t="array" aca="1" ref="D257" ca="1">IFERROR(_xlfn.XLOOKUP(D7,_xlfn.ANCHORARRAY($D$13),_xlfn.ANCHORARRAY(D58)),1)</f>
        <v>1</v>
      </c>
      <c r="G257" s="13" t="str">
        <f>$C$8</f>
        <v>Weighted-Average Cost of Capital</v>
      </c>
      <c r="H257" s="75">
        <f>10%</f>
        <v>0.1</v>
      </c>
      <c r="I257" s="78">
        <v>1</v>
      </c>
      <c r="J257" s="79">
        <v>1</v>
      </c>
      <c r="K257" s="79">
        <v>1</v>
      </c>
      <c r="L257" s="79">
        <v>1</v>
      </c>
      <c r="M257" s="79">
        <v>1</v>
      </c>
    </row>
    <row r="258" spans="1:13" x14ac:dyDescent="0.25">
      <c r="C258" s="1" t="str">
        <f>"Equity Value"</f>
        <v>Equity Value</v>
      </c>
      <c r="D258" s="1">
        <f ca="1">IFERROR(D256-D257,1)</f>
        <v>1</v>
      </c>
      <c r="H258" s="75">
        <f t="shared" ref="H258:H263" si="1">H257-0.25%</f>
        <v>9.7500000000000003E-2</v>
      </c>
      <c r="I258" s="78">
        <v>1</v>
      </c>
      <c r="J258" s="79">
        <v>1</v>
      </c>
      <c r="K258" s="79">
        <v>1</v>
      </c>
      <c r="L258" s="79">
        <v>1</v>
      </c>
      <c r="M258" s="79">
        <v>1</v>
      </c>
    </row>
    <row r="259" spans="1:13" x14ac:dyDescent="0.25">
      <c r="H259" s="75">
        <f t="shared" si="1"/>
        <v>9.5000000000000001E-2</v>
      </c>
      <c r="I259" s="78">
        <v>1</v>
      </c>
      <c r="J259" s="79">
        <v>1</v>
      </c>
      <c r="K259" s="79">
        <v>1</v>
      </c>
      <c r="L259" s="79">
        <v>1</v>
      </c>
      <c r="M259" s="79">
        <v>1</v>
      </c>
    </row>
    <row r="260" spans="1:13" x14ac:dyDescent="0.25">
      <c r="C260" s="1" t="str">
        <f>_xlfn.TEXTBEFORE($C$53," as")</f>
        <v>Diluted Shares Outstanding</v>
      </c>
      <c r="D260" s="1" cm="1">
        <f t="array" aca="1" ref="D260" ca="1">IFERROR(_xlfn.XLOOKUP(D7,_xlfn.ANCHORARRAY($D$13),_xlfn.ANCHORARRAY(D53)),1)</f>
        <v>1</v>
      </c>
      <c r="H260" s="75">
        <f t="shared" si="1"/>
        <v>9.2499999999999999E-2</v>
      </c>
      <c r="I260" s="78">
        <v>1</v>
      </c>
      <c r="J260" s="79">
        <v>1</v>
      </c>
      <c r="K260" s="79">
        <v>1</v>
      </c>
      <c r="L260" s="79">
        <v>1</v>
      </c>
      <c r="M260" s="79">
        <v>1</v>
      </c>
    </row>
    <row r="261" spans="1:13" x14ac:dyDescent="0.25">
      <c r="C261" s="1" t="str">
        <f>"Implied Share Price"</f>
        <v>Implied Share Price</v>
      </c>
      <c r="D261" s="29">
        <f ca="1">IFERROR(D258/D260,1)</f>
        <v>1</v>
      </c>
      <c r="H261" s="75">
        <f t="shared" si="1"/>
        <v>0.09</v>
      </c>
      <c r="I261" s="78">
        <v>1</v>
      </c>
      <c r="J261" s="79">
        <v>1</v>
      </c>
      <c r="K261" s="79">
        <v>1</v>
      </c>
      <c r="L261" s="79">
        <v>1</v>
      </c>
      <c r="M261" s="79">
        <v>1</v>
      </c>
    </row>
    <row r="262" spans="1:13" x14ac:dyDescent="0.25">
      <c r="C262" s="1" t="str">
        <f>"Current Share Price"</f>
        <v>Current Share Price</v>
      </c>
      <c r="D262" s="29" t="e">
        <f ca="1">$N$5</f>
        <v>#DIV/0!</v>
      </c>
      <c r="H262" s="75">
        <f t="shared" si="1"/>
        <v>8.7499999999999994E-2</v>
      </c>
      <c r="I262" s="78">
        <v>1</v>
      </c>
      <c r="J262" s="79">
        <v>1</v>
      </c>
      <c r="K262" s="79">
        <v>1</v>
      </c>
      <c r="L262" s="79">
        <v>1</v>
      </c>
      <c r="M262" s="79">
        <v>1</v>
      </c>
    </row>
    <row r="263" spans="1:13" x14ac:dyDescent="0.25">
      <c r="C263" s="25" t="str">
        <f>"Upside / Downside"</f>
        <v>Upside / Downside</v>
      </c>
      <c r="D263" s="5">
        <f ca="1">IFERROR(D261/D262-1,1)</f>
        <v>1</v>
      </c>
      <c r="H263" s="75">
        <f t="shared" si="1"/>
        <v>8.4999999999999992E-2</v>
      </c>
      <c r="I263" s="78">
        <v>1</v>
      </c>
      <c r="J263" s="79">
        <v>1</v>
      </c>
      <c r="K263" s="79">
        <v>1</v>
      </c>
      <c r="L263" s="79">
        <v>1</v>
      </c>
      <c r="M263" s="79">
        <v>1</v>
      </c>
    </row>
    <row r="264" spans="1:13" s="1" customFormat="1" x14ac:dyDescent="0.25">
      <c r="A264" s="40"/>
      <c r="B264" s="41"/>
    </row>
    <row r="265" spans="1:13" s="1" customFormat="1" outlineLevel="1" x14ac:dyDescent="0.25">
      <c r="A265" s="40"/>
      <c r="B265" s="41"/>
      <c r="C265" s="2" t="str">
        <f>C8</f>
        <v>Weighted-Average Cost of Capital</v>
      </c>
    </row>
    <row r="266" spans="1:13" s="1" customFormat="1" outlineLevel="1" x14ac:dyDescent="0.25">
      <c r="A266" s="61" t="str">
        <f>""</f>
        <v/>
      </c>
      <c r="B266" s="41"/>
      <c r="C266" s="10"/>
      <c r="D266" s="10"/>
    </row>
    <row r="267" spans="1:13" s="1" customFormat="1" outlineLevel="1" x14ac:dyDescent="0.25">
      <c r="A267" s="40"/>
      <c r="B267" s="41"/>
    </row>
    <row r="268" spans="1:13" s="1" customFormat="1" outlineLevel="1" x14ac:dyDescent="0.25">
      <c r="A268" s="40"/>
      <c r="B268" s="41"/>
      <c r="C268" s="1" t="str">
        <f>"Beta 3Y"</f>
        <v>Beta 3Y</v>
      </c>
      <c r="D268" s="52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s="1" customFormat="1" outlineLevel="1" x14ac:dyDescent="0.25">
      <c r="A269" s="40"/>
      <c r="B269" s="41" t="e">
        <f ca="1">_xlfn.XMATCH(C268,INDIRECT("'Public Company'!A:A"))</f>
        <v>#REF!</v>
      </c>
      <c r="C269" s="30" t="str">
        <f>"Risk-Free Rate"</f>
        <v>Risk-Free Rate</v>
      </c>
      <c r="D269" s="38">
        <f>4.194%</f>
        <v>4.1939999999999998E-2</v>
      </c>
    </row>
    <row r="270" spans="1:13" s="1" customFormat="1" outlineLevel="1" x14ac:dyDescent="0.25">
      <c r="A270" s="40"/>
      <c r="B270" s="41"/>
      <c r="C270" s="30" t="str">
        <f>"Market Risk Premium"</f>
        <v>Market Risk Premium</v>
      </c>
      <c r="D270" s="38">
        <f>4.33%</f>
        <v>4.3299999999999998E-2</v>
      </c>
    </row>
    <row r="271" spans="1:13" s="1" customFormat="1" outlineLevel="1" x14ac:dyDescent="0.25">
      <c r="A271" s="40"/>
      <c r="B271" s="41"/>
      <c r="C271" s="30" t="str">
        <f>"Country Risk Premium"</f>
        <v>Country Risk Premium</v>
      </c>
      <c r="D271" s="38">
        <f>0%</f>
        <v>0</v>
      </c>
    </row>
    <row r="272" spans="1:13" s="1" customFormat="1" outlineLevel="1" x14ac:dyDescent="0.25">
      <c r="A272" s="40"/>
      <c r="B272" s="41"/>
      <c r="C272" s="1" t="str">
        <f>"Capital Asset Pricing Model (CAPM)"</f>
        <v>Capital Asset Pricing Model (CAPM)</v>
      </c>
      <c r="D272" s="53">
        <f ca="1">D268*D270+D269+D271</f>
        <v>8.5239999999999996E-2</v>
      </c>
    </row>
    <row r="273" spans="1:4" s="1" customFormat="1" outlineLevel="1" x14ac:dyDescent="0.25">
      <c r="A273" s="40"/>
      <c r="B273" s="41"/>
    </row>
    <row r="274" spans="1:4" s="1" customFormat="1" outlineLevel="1" x14ac:dyDescent="0.25">
      <c r="A274" s="40"/>
      <c r="B274" s="41"/>
      <c r="C274" s="1" t="str">
        <f>"Total Debt/EBITDA (x)"</f>
        <v>Total Debt/EBITDA (x)</v>
      </c>
      <c r="D274" s="52" cm="1">
        <f t="array" aca="1" ref="D274" ca="1">IFERROR(INDIRECT("'Public Company'!B"&amp;B275),D239/D275)</f>
        <v>1</v>
      </c>
    </row>
    <row r="275" spans="1:4" s="1" customFormat="1" outlineLevel="1" x14ac:dyDescent="0.25">
      <c r="A275" s="40"/>
      <c r="B275" s="41" t="e">
        <f ca="1">_xlfn.XMATCH(C274,INDIRECT("'Public Company'!A:A"))</f>
        <v>#REF!</v>
      </c>
      <c r="C275" s="1" t="str">
        <f>"EBITDA"</f>
        <v>EBITDA</v>
      </c>
      <c r="D275" s="40">
        <f ca="1">IFERROR(_xlfn.XLOOKUP(D7,13:13,18:18),1)</f>
        <v>1</v>
      </c>
    </row>
    <row r="276" spans="1:4" s="1" customFormat="1" outlineLevel="1" x14ac:dyDescent="0.25">
      <c r="A276" s="40"/>
      <c r="B276" s="41"/>
      <c r="C276" s="1" t="str">
        <f>"Total Debt"</f>
        <v>Total Debt</v>
      </c>
      <c r="D276" s="40">
        <f ca="1">IFERROR(D274*D275,1)</f>
        <v>1</v>
      </c>
    </row>
    <row r="277" spans="1:4" s="1" customFormat="1" outlineLevel="1" x14ac:dyDescent="0.25">
      <c r="A277" s="40"/>
      <c r="B277" s="41"/>
      <c r="C277" s="1" t="str">
        <f>C60</f>
        <v>Interest Expense</v>
      </c>
      <c r="D277" s="40">
        <f ca="1">IFERROR(_xlfn.XLOOKUP(D7,13:13,60:60),1)</f>
        <v>1</v>
      </c>
    </row>
    <row r="278" spans="1:4" s="1" customFormat="1" outlineLevel="1" x14ac:dyDescent="0.25">
      <c r="A278" s="40"/>
      <c r="B278" s="41"/>
      <c r="C278" s="1" t="str">
        <f>"Long-Term Tax-RATE"</f>
        <v>Long-Term Tax-RATE</v>
      </c>
      <c r="D278" s="43" cm="1">
        <f t="array" aca="1" ref="D278" ca="1">IFERROR(INDEX(_xlfn.ANCHORARRAY(D95),,COUNTA(_xlfn.ANCHORARRAY(D95))),1)</f>
        <v>1</v>
      </c>
    </row>
    <row r="279" spans="1:4" s="1" customFormat="1" outlineLevel="1" x14ac:dyDescent="0.25">
      <c r="A279" s="40"/>
      <c r="B279" s="41"/>
      <c r="C279" s="1" t="str">
        <f>"After-Tax Cost of Debt"</f>
        <v>After-Tax Cost of Debt</v>
      </c>
      <c r="D279" s="43">
        <f ca="1">IFERROR((D277/D276)*(1-D278),1)</f>
        <v>0</v>
      </c>
    </row>
    <row r="280" spans="1:4" s="1" customFormat="1" outlineLevel="1" x14ac:dyDescent="0.25">
      <c r="A280" s="40"/>
      <c r="B280" s="41"/>
    </row>
    <row r="281" spans="1:4" s="1" customFormat="1" outlineLevel="1" x14ac:dyDescent="0.25">
      <c r="A281" s="40"/>
      <c r="B281" s="41"/>
      <c r="C281" s="1" t="str">
        <f>"Share Price"</f>
        <v>Share Price</v>
      </c>
      <c r="D281" s="40" t="e">
        <f ca="1">N5</f>
        <v>#DIV/0!</v>
      </c>
    </row>
    <row r="282" spans="1:4" s="1" customFormat="1" outlineLevel="1" x14ac:dyDescent="0.25">
      <c r="A282" s="40"/>
      <c r="B282" s="41"/>
      <c r="C282" s="1" t="str">
        <f>"Diluted Shares"</f>
        <v>Diluted Shares</v>
      </c>
      <c r="D282" s="40">
        <f ca="1">IFERROR(D260,1)</f>
        <v>1</v>
      </c>
    </row>
    <row r="283" spans="1:4" s="1" customFormat="1" outlineLevel="1" x14ac:dyDescent="0.25">
      <c r="A283" s="40"/>
      <c r="B283" s="41"/>
      <c r="C283" s="1" t="str">
        <f>"Market Capitalization"</f>
        <v>Market Capitalization</v>
      </c>
      <c r="D283" s="40">
        <f ca="1">IFERROR(D281*D282,1)</f>
        <v>1</v>
      </c>
    </row>
    <row r="284" spans="1:4" s="1" customFormat="1" outlineLevel="1" x14ac:dyDescent="0.25">
      <c r="A284" s="40"/>
      <c r="B284" s="41"/>
    </row>
    <row r="285" spans="1:4" s="1" customFormat="1" outlineLevel="1" x14ac:dyDescent="0.25">
      <c r="A285" s="40"/>
      <c r="B285" s="41"/>
      <c r="C285" s="1" t="str">
        <f>C257</f>
        <v>Net Debt</v>
      </c>
      <c r="D285" s="40">
        <f ca="1">IFERROR(D257,1)</f>
        <v>1</v>
      </c>
    </row>
    <row r="286" spans="1:4" s="1" customFormat="1" outlineLevel="1" x14ac:dyDescent="0.25">
      <c r="A286" s="40"/>
      <c r="B286" s="41"/>
      <c r="C286" s="1" t="str">
        <f>"% Equity"</f>
        <v>% Equity</v>
      </c>
      <c r="D286" s="43">
        <f ca="1">IFERROR(D283/(SUM($D$283:$D$285)),1)</f>
        <v>0.5</v>
      </c>
    </row>
    <row r="287" spans="1:4" s="1" customFormat="1" outlineLevel="1" x14ac:dyDescent="0.25">
      <c r="A287" s="40"/>
      <c r="B287" s="41"/>
      <c r="C287" s="1" t="str">
        <f>"% Debt"</f>
        <v>% Debt</v>
      </c>
      <c r="D287" s="43">
        <f ca="1">IFERROR(D285/(SUM($D$283:$D$285)),1)</f>
        <v>0.5</v>
      </c>
    </row>
    <row r="288" spans="1:4" s="1" customFormat="1" outlineLevel="1" x14ac:dyDescent="0.25">
      <c r="A288" s="40"/>
      <c r="B288" s="41"/>
      <c r="C288" s="1" t="str">
        <f>"Weighted-Average Cost of Capital"</f>
        <v>Weighted-Average Cost of Capital</v>
      </c>
      <c r="D288" s="54">
        <f ca="1">D286*D272+D287*D279</f>
        <v>4.2619999999999998E-2</v>
      </c>
    </row>
    <row r="289" spans="1:2" s="40" customFormat="1" outlineLevel="1" x14ac:dyDescent="0.25">
      <c r="B289" s="41"/>
    </row>
    <row r="290" spans="1:2" s="40" customFormat="1" x14ac:dyDescent="0.25">
      <c r="B290" s="41"/>
    </row>
    <row r="291" spans="1:2" s="1" customFormat="1" x14ac:dyDescent="0.25">
      <c r="A291" s="40"/>
      <c r="B291" s="41"/>
    </row>
    <row r="292" spans="1:2" s="1" customFormat="1" x14ac:dyDescent="0.25">
      <c r="A292" s="40"/>
      <c r="B292" s="41"/>
    </row>
    <row r="293" spans="1:2" s="1" customFormat="1" x14ac:dyDescent="0.25">
      <c r="A293" s="40"/>
      <c r="B293" s="41"/>
    </row>
    <row r="294" spans="1:2" s="1" customFormat="1" x14ac:dyDescent="0.25">
      <c r="A294" s="40"/>
      <c r="B294" s="41"/>
    </row>
    <row r="295" spans="1:2" s="1" customFormat="1" x14ac:dyDescent="0.25">
      <c r="A295" s="40"/>
      <c r="B295" s="41"/>
    </row>
    <row r="296" spans="1:2" s="1" customFormat="1" x14ac:dyDescent="0.25">
      <c r="A296" s="40"/>
      <c r="B296" s="41"/>
    </row>
    <row r="297" spans="1:2" s="1" customFormat="1" x14ac:dyDescent="0.25">
      <c r="A297" s="40"/>
      <c r="B297" s="41"/>
    </row>
    <row r="298" spans="1:2" s="1" customFormat="1" x14ac:dyDescent="0.25">
      <c r="A298" s="40"/>
      <c r="B298" s="41"/>
    </row>
    <row r="299" spans="1:2" s="1" customFormat="1" x14ac:dyDescent="0.25">
      <c r="A299" s="40"/>
      <c r="B299" s="41"/>
    </row>
    <row r="300" spans="1:2" s="1" customFormat="1" x14ac:dyDescent="0.25">
      <c r="A300" s="40"/>
      <c r="B300" s="41"/>
    </row>
    <row r="301" spans="1:2" s="1" customFormat="1" x14ac:dyDescent="0.25">
      <c r="A301" s="40"/>
      <c r="B301" s="41"/>
    </row>
    <row r="302" spans="1:2" s="1" customFormat="1" x14ac:dyDescent="0.25">
      <c r="A302" s="40"/>
      <c r="B302" s="41"/>
    </row>
    <row r="303" spans="1:2" s="1" customFormat="1" x14ac:dyDescent="0.25">
      <c r="A303" s="40"/>
      <c r="B303" s="41"/>
    </row>
    <row r="304" spans="1:2" s="1" customFormat="1" x14ac:dyDescent="0.25">
      <c r="A304" s="40"/>
      <c r="B304" s="41"/>
    </row>
    <row r="305" spans="1:2" s="1" customFormat="1" x14ac:dyDescent="0.25">
      <c r="A305" s="40"/>
      <c r="B305" s="41"/>
    </row>
    <row r="306" spans="1:2" s="1" customFormat="1" x14ac:dyDescent="0.25">
      <c r="A306" s="40"/>
      <c r="B306" s="41"/>
    </row>
    <row r="307" spans="1:2" s="1" customFormat="1" x14ac:dyDescent="0.25">
      <c r="A307" s="40"/>
      <c r="B307" s="41"/>
    </row>
    <row r="308" spans="1:2" s="1" customFormat="1" x14ac:dyDescent="0.25">
      <c r="A308" s="40"/>
      <c r="B308" s="41"/>
    </row>
    <row r="309" spans="1:2" s="1" customFormat="1" x14ac:dyDescent="0.25">
      <c r="A309" s="40"/>
      <c r="B309" s="41"/>
    </row>
    <row r="310" spans="1:2" s="1" customFormat="1" x14ac:dyDescent="0.25">
      <c r="A310" s="40"/>
      <c r="B310" s="41"/>
    </row>
    <row r="311" spans="1:2" s="1" customFormat="1" x14ac:dyDescent="0.25">
      <c r="A311" s="40"/>
      <c r="B311" s="41"/>
    </row>
    <row r="312" spans="1:2" s="1" customFormat="1" x14ac:dyDescent="0.25">
      <c r="A312" s="40"/>
      <c r="B312" s="41"/>
    </row>
    <row r="313" spans="1:2" s="1" customFormat="1" x14ac:dyDescent="0.25">
      <c r="A313" s="40"/>
      <c r="B313" s="41"/>
    </row>
    <row r="314" spans="1:2" s="1" customFormat="1" x14ac:dyDescent="0.25">
      <c r="A314" s="40"/>
      <c r="B314" s="41"/>
    </row>
    <row r="315" spans="1:2" s="1" customFormat="1" x14ac:dyDescent="0.25">
      <c r="A315" s="40"/>
      <c r="B315" s="41"/>
    </row>
    <row r="316" spans="1:2" s="1" customFormat="1" x14ac:dyDescent="0.25">
      <c r="A316" s="40"/>
      <c r="B316" s="41"/>
    </row>
    <row r="317" spans="1:2" s="1" customFormat="1" x14ac:dyDescent="0.25">
      <c r="A317" s="40"/>
      <c r="B317" s="41"/>
    </row>
    <row r="318" spans="1:2" s="1" customFormat="1" x14ac:dyDescent="0.25">
      <c r="A318" s="40"/>
      <c r="B318" s="41"/>
    </row>
    <row r="319" spans="1:2" s="1" customFormat="1" x14ac:dyDescent="0.25">
      <c r="A319" s="40"/>
      <c r="B319" s="41"/>
    </row>
    <row r="320" spans="1:2" s="1" customFormat="1" x14ac:dyDescent="0.25">
      <c r="A320" s="40"/>
      <c r="B320" s="41"/>
    </row>
    <row r="321" spans="1:2" s="1" customFormat="1" x14ac:dyDescent="0.25">
      <c r="A321" s="40"/>
      <c r="B321" s="41"/>
    </row>
    <row r="322" spans="1:2" s="1" customFormat="1" x14ac:dyDescent="0.25">
      <c r="A322" s="40"/>
      <c r="B322" s="41"/>
    </row>
    <row r="323" spans="1:2" s="1" customFormat="1" x14ac:dyDescent="0.25">
      <c r="A323" s="40"/>
      <c r="B323" s="41"/>
    </row>
    <row r="324" spans="1:2" s="1" customFormat="1" x14ac:dyDescent="0.25">
      <c r="A324" s="40"/>
      <c r="B324" s="41"/>
    </row>
    <row r="325" spans="1:2" s="1" customFormat="1" x14ac:dyDescent="0.25">
      <c r="A325" s="40"/>
      <c r="B325" s="41"/>
    </row>
    <row r="326" spans="1:2" s="1" customFormat="1" x14ac:dyDescent="0.25">
      <c r="A326" s="40"/>
      <c r="B326" s="41"/>
    </row>
    <row r="327" spans="1:2" s="1" customFormat="1" x14ac:dyDescent="0.25">
      <c r="A327" s="40"/>
      <c r="B327" s="41"/>
    </row>
    <row r="328" spans="1:2" s="1" customFormat="1" x14ac:dyDescent="0.25">
      <c r="A328" s="40"/>
      <c r="B328" s="41"/>
    </row>
    <row r="329" spans="1:2" s="1" customFormat="1" x14ac:dyDescent="0.25">
      <c r="A329" s="40"/>
      <c r="B329" s="41"/>
    </row>
    <row r="330" spans="1:2" s="1" customFormat="1" x14ac:dyDescent="0.25">
      <c r="A330" s="40"/>
      <c r="B330" s="41"/>
    </row>
    <row r="331" spans="1:2" s="1" customFormat="1" x14ac:dyDescent="0.25">
      <c r="A331" s="40"/>
      <c r="B331" s="41"/>
    </row>
    <row r="332" spans="1:2" s="1" customFormat="1" x14ac:dyDescent="0.25">
      <c r="A332" s="40"/>
      <c r="B332" s="41"/>
    </row>
    <row r="333" spans="1:2" s="1" customFormat="1" x14ac:dyDescent="0.25">
      <c r="A333" s="40"/>
      <c r="B333" s="41"/>
    </row>
    <row r="334" spans="1:2" s="1" customFormat="1" x14ac:dyDescent="0.25">
      <c r="A334" s="40"/>
      <c r="B334" s="41"/>
    </row>
    <row r="335" spans="1:2" s="1" customFormat="1" x14ac:dyDescent="0.25">
      <c r="A335" s="40"/>
      <c r="B335" s="41"/>
    </row>
    <row r="336" spans="1:2" s="1" customFormat="1" x14ac:dyDescent="0.25">
      <c r="A336" s="40"/>
      <c r="B336" s="41"/>
    </row>
    <row r="337" spans="1:2" s="1" customFormat="1" x14ac:dyDescent="0.25">
      <c r="A337" s="40"/>
      <c r="B337" s="41"/>
    </row>
    <row r="338" spans="1:2" s="1" customFormat="1" x14ac:dyDescent="0.25">
      <c r="A338" s="40"/>
      <c r="B338" s="41"/>
    </row>
    <row r="339" spans="1:2" s="1" customFormat="1" x14ac:dyDescent="0.25">
      <c r="A339" s="40"/>
      <c r="B339" s="41"/>
    </row>
    <row r="340" spans="1:2" s="1" customFormat="1" x14ac:dyDescent="0.25">
      <c r="A340" s="40"/>
      <c r="B340" s="41"/>
    </row>
    <row r="341" spans="1:2" s="1" customFormat="1" x14ac:dyDescent="0.25">
      <c r="A341" s="40"/>
      <c r="B341" s="41"/>
    </row>
    <row r="342" spans="1:2" s="1" customFormat="1" x14ac:dyDescent="0.25">
      <c r="A342" s="40"/>
      <c r="B342" s="41"/>
    </row>
    <row r="343" spans="1:2" s="1" customFormat="1" x14ac:dyDescent="0.25">
      <c r="A343" s="40"/>
      <c r="B343" s="41"/>
    </row>
    <row r="344" spans="1:2" s="1" customFormat="1" x14ac:dyDescent="0.25">
      <c r="A344" s="40"/>
      <c r="B344" s="41"/>
    </row>
    <row r="345" spans="1:2" s="1" customFormat="1" x14ac:dyDescent="0.25">
      <c r="A345" s="40"/>
      <c r="B345" s="41"/>
    </row>
    <row r="346" spans="1:2" s="1" customFormat="1" x14ac:dyDescent="0.25">
      <c r="A346" s="40"/>
      <c r="B346" s="41"/>
    </row>
    <row r="347" spans="1:2" s="1" customFormat="1" x14ac:dyDescent="0.25">
      <c r="A347" s="40"/>
      <c r="B347" s="41"/>
    </row>
    <row r="348" spans="1:2" s="1" customFormat="1" x14ac:dyDescent="0.25">
      <c r="A348" s="40"/>
      <c r="B348" s="41"/>
    </row>
    <row r="349" spans="1:2" s="1" customFormat="1" x14ac:dyDescent="0.25">
      <c r="A349" s="40"/>
      <c r="B349" s="41"/>
    </row>
    <row r="350" spans="1:2" s="1" customFormat="1" x14ac:dyDescent="0.25">
      <c r="A350" s="40"/>
      <c r="B350" s="41"/>
    </row>
  </sheetData>
  <sheetProtection insertColumns="0" insertRows="0" deleteColumns="0" deleteRows="0"/>
  <phoneticPr fontId="8" type="noConversion"/>
  <dataValidations disablePrompts="1" count="1">
    <dataValidation type="list" allowBlank="1" showInputMessage="1" showErrorMessage="1" sqref="F8" xr:uid="{C73D3C1D-1CD6-4F6C-86E0-4CF7E7136D2D}">
      <formula1>$H$5:$K$5</formula1>
    </dataValidation>
  </dataValidations>
  <hyperlinks>
    <hyperlink ref="C270" r:id="rId1" display="Market Risk Premium" xr:uid="{CADB8C92-138D-4054-82A1-529715303CF9}"/>
    <hyperlink ref="C271" r:id="rId2" display="Country Risk Premium" xr:uid="{BC3C8CED-E257-4936-B35F-94FF1C61F7B3}"/>
    <hyperlink ref="C269" r:id="rId3" display="Risk-Free Rate" xr:uid="{58C1CAE9-B32D-4592-8560-817ED874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Dang Duong Nguyen</cp:lastModifiedBy>
  <dcterms:created xsi:type="dcterms:W3CDTF">2025-08-04T14:24:16Z</dcterms:created>
  <dcterms:modified xsi:type="dcterms:W3CDTF">2025-08-07T00:08:55Z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