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9"/>
  <workbookPr defaultThemeVersion="124226"/>
  <mc:AlternateContent xmlns:mc="http://schemas.openxmlformats.org/markup-compatibility/2006">
    <mc:Choice Requires="x15">
      <x15ac:absPath xmlns:x15ac="http://schemas.microsoft.com/office/spreadsheetml/2010/11/ac" url="C:\Users\DELL\Desktop\"/>
    </mc:Choice>
  </mc:AlternateContent>
  <xr:revisionPtr revIDLastSave="0" documentId="13_ncr:1_{CDDE9E69-90E1-4D71-8F7D-4CBCB0B01D91}" xr6:coauthVersionLast="47" xr6:coauthVersionMax="47" xr10:uidLastSave="{00000000-0000-0000-0000-000000000000}"/>
  <bookViews>
    <workbookView xWindow="-120" yWindow="-120" windowWidth="24240" windowHeight="13020" activeTab="2" xr2:uid="{00000000-000D-0000-FFFF-FFFF00000000}"/>
  </bookViews>
  <sheets>
    <sheet name="Public Company" sheetId="3" r:id="rId1"/>
    <sheet name="Consensus" sheetId="1" r:id="rId2"/>
    <sheet name="DCF Model" sheetId="2" r:id="rId3"/>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8" i="2" l="1"/>
  <c r="C74" i="2" s="1"/>
  <c r="A266" i="2"/>
  <c r="A248" i="2"/>
  <c r="A230" i="2"/>
  <c r="A220" i="2"/>
  <c r="A191" i="2"/>
  <c r="A162" i="2"/>
  <c r="A133" i="2"/>
  <c r="A104" i="2"/>
  <c r="A75" i="2"/>
  <c r="A11" i="2"/>
  <c r="A2" i="2"/>
  <c r="C288" i="2"/>
  <c r="C287" i="2"/>
  <c r="C286" i="2"/>
  <c r="C283" i="2"/>
  <c r="C282" i="2"/>
  <c r="C281" i="2"/>
  <c r="C279" i="2"/>
  <c r="C278" i="2"/>
  <c r="C276" i="2"/>
  <c r="C275" i="2"/>
  <c r="C274" i="2"/>
  <c r="C272" i="2"/>
  <c r="D271" i="2"/>
  <c r="C271" i="2"/>
  <c r="D270" i="2"/>
  <c r="C270" i="2"/>
  <c r="D269" i="2"/>
  <c r="C269" i="2"/>
  <c r="C268" i="2"/>
  <c r="C263" i="2"/>
  <c r="C262" i="2"/>
  <c r="C261" i="2"/>
  <c r="C258" i="2"/>
  <c r="H257" i="2"/>
  <c r="H258" i="2" s="1"/>
  <c r="H259" i="2" s="1"/>
  <c r="H260" i="2" s="1"/>
  <c r="H261" i="2" s="1"/>
  <c r="H262" i="2" s="1"/>
  <c r="H263" i="2" s="1"/>
  <c r="C256" i="2"/>
  <c r="C254" i="2"/>
  <c r="C253" i="2"/>
  <c r="C252" i="2"/>
  <c r="M251" i="2"/>
  <c r="L251" i="2"/>
  <c r="K251" i="2"/>
  <c r="J251" i="2"/>
  <c r="I251" i="2" s="1"/>
  <c r="K250" i="2"/>
  <c r="F247" i="2"/>
  <c r="C247" i="2"/>
  <c r="C245" i="2"/>
  <c r="C244" i="2"/>
  <c r="C243" i="2"/>
  <c r="C240" i="2"/>
  <c r="H239" i="2"/>
  <c r="H240" i="2" s="1"/>
  <c r="H241" i="2" s="1"/>
  <c r="H242" i="2" s="1"/>
  <c r="H243" i="2" s="1"/>
  <c r="H244" i="2" s="1"/>
  <c r="H245" i="2" s="1"/>
  <c r="G239" i="2"/>
  <c r="C238" i="2"/>
  <c r="C236" i="2"/>
  <c r="C235" i="2"/>
  <c r="C234" i="2"/>
  <c r="L233" i="2"/>
  <c r="M233" i="2" s="1"/>
  <c r="K233" i="2"/>
  <c r="J233" i="2"/>
  <c r="I233" i="2" s="1"/>
  <c r="C232" i="2"/>
  <c r="K232" i="2" s="1"/>
  <c r="F229" i="2"/>
  <c r="C229" i="2"/>
  <c r="C227" i="2"/>
  <c r="C225" i="2"/>
  <c r="C222" i="2"/>
  <c r="C221" i="2"/>
  <c r="C219" i="2"/>
  <c r="C217" i="2"/>
  <c r="C214" i="2"/>
  <c r="C213" i="2"/>
  <c r="C198" i="2"/>
  <c r="C192" i="2"/>
  <c r="C190" i="2"/>
  <c r="K5" i="2" s="1"/>
  <c r="C188" i="2"/>
  <c r="C185" i="2"/>
  <c r="C179" i="2"/>
  <c r="C169" i="2"/>
  <c r="C163" i="2"/>
  <c r="C161" i="2"/>
  <c r="J5" i="2" s="1"/>
  <c r="C159" i="2"/>
  <c r="C156" i="2"/>
  <c r="C155" i="2"/>
  <c r="C150" i="2"/>
  <c r="C134" i="2"/>
  <c r="C132" i="2"/>
  <c r="I5" i="2" s="1"/>
  <c r="C130" i="2"/>
  <c r="C129" i="2"/>
  <c r="C127" i="2"/>
  <c r="C126" i="2"/>
  <c r="C117" i="2"/>
  <c r="C111" i="2"/>
  <c r="C105" i="2"/>
  <c r="C103" i="2"/>
  <c r="H5" i="2" s="1"/>
  <c r="C97" i="2"/>
  <c r="C79" i="2"/>
  <c r="C76" i="2"/>
  <c r="C72" i="2"/>
  <c r="C70" i="2"/>
  <c r="C68" i="2"/>
  <c r="C66" i="2"/>
  <c r="C64" i="2"/>
  <c r="C62" i="2"/>
  <c r="C60" i="2"/>
  <c r="C277" i="2" s="1"/>
  <c r="C58" i="2"/>
  <c r="C56" i="2"/>
  <c r="C55" i="2"/>
  <c r="C239" i="2" s="1"/>
  <c r="C53" i="2"/>
  <c r="C242" i="2" s="1"/>
  <c r="C51" i="2"/>
  <c r="C49" i="2"/>
  <c r="C47" i="2"/>
  <c r="C101" i="2" s="1"/>
  <c r="C46" i="2"/>
  <c r="C44" i="2"/>
  <c r="C98" i="2" s="1"/>
  <c r="C43" i="2"/>
  <c r="C184" i="2" s="1"/>
  <c r="C41" i="2"/>
  <c r="C211" i="2" s="1"/>
  <c r="C40" i="2"/>
  <c r="C123" i="2" s="1"/>
  <c r="C38" i="2"/>
  <c r="C37" i="2"/>
  <c r="C120" i="2" s="1"/>
  <c r="C36" i="2"/>
  <c r="C177" i="2" s="1"/>
  <c r="C34" i="2"/>
  <c r="C33" i="2"/>
  <c r="C31" i="2"/>
  <c r="C28" i="2"/>
  <c r="C175" i="2" s="1"/>
  <c r="C27" i="2"/>
  <c r="C203" i="2" s="1"/>
  <c r="C25" i="2"/>
  <c r="C85" i="2" s="1"/>
  <c r="C24" i="2"/>
  <c r="C113" i="2" s="1"/>
  <c r="C22" i="2"/>
  <c r="C140" i="2" s="1"/>
  <c r="C21" i="2"/>
  <c r="C81" i="2" s="1"/>
  <c r="C19" i="2"/>
  <c r="C18" i="2"/>
  <c r="C16" i="2"/>
  <c r="C15" i="2"/>
  <c r="C165" i="2" s="1"/>
  <c r="C13" i="2"/>
  <c r="C12" i="2"/>
  <c r="C10" i="2"/>
  <c r="P8" i="2"/>
  <c r="L8" i="2"/>
  <c r="J8" i="2"/>
  <c r="C8" i="2"/>
  <c r="C265" i="2" s="1"/>
  <c r="P7" i="2"/>
  <c r="L7" i="2"/>
  <c r="J7" i="2"/>
  <c r="I7" i="2"/>
  <c r="H7" i="2"/>
  <c r="G7" i="2"/>
  <c r="F7" i="2"/>
  <c r="C7" i="2"/>
  <c r="R6" i="2"/>
  <c r="D250" i="2" s="1"/>
  <c r="P6" i="2"/>
  <c r="C250" i="2" s="1"/>
  <c r="L6" i="2"/>
  <c r="P5" i="2"/>
  <c r="L5" i="2"/>
  <c r="D5" i="2" a="1"/>
  <c r="D5" i="2" s="1"/>
  <c r="R4" i="2"/>
  <c r="Q4" i="2"/>
  <c r="P4" i="2"/>
  <c r="O4" i="2"/>
  <c r="N4" i="2"/>
  <c r="M4" i="2"/>
  <c r="L4" i="2"/>
  <c r="K4" i="2"/>
  <c r="J4" i="2"/>
  <c r="I4" i="2"/>
  <c r="H4" i="2"/>
  <c r="G4" i="2"/>
  <c r="G3" i="2" a="1"/>
  <c r="G3" i="2" s="1"/>
  <c r="C90" i="2" l="1"/>
  <c r="F3" i="2" a="1"/>
  <c r="F3" i="2" s="1"/>
  <c r="C107" i="2"/>
  <c r="C200" i="2"/>
  <c r="C136" i="2"/>
  <c r="C153" i="2"/>
  <c r="C91" i="2"/>
  <c r="C142" i="2"/>
  <c r="C194" i="2"/>
  <c r="C260" i="2"/>
  <c r="C206" i="2"/>
  <c r="C78" i="2"/>
  <c r="C110" i="2"/>
  <c r="C207" i="2"/>
  <c r="C149" i="2"/>
  <c r="C168" i="2"/>
  <c r="C197" i="2"/>
  <c r="C195" i="2"/>
  <c r="C108" i="2"/>
  <c r="C166" i="2"/>
  <c r="C208" i="2"/>
  <c r="C92" i="2"/>
  <c r="C181" i="2"/>
  <c r="C152" i="2"/>
  <c r="C210" i="2"/>
  <c r="C94" i="2"/>
  <c r="C187" i="2"/>
  <c r="C100" i="2"/>
  <c r="C224" i="2" s="1"/>
  <c r="C216" i="2"/>
  <c r="C158" i="2"/>
  <c r="C145" i="2"/>
  <c r="C174" i="2"/>
  <c r="C116" i="2"/>
  <c r="C87" i="2"/>
  <c r="C137" i="2"/>
  <c r="C201" i="2"/>
  <c r="C172" i="2"/>
  <c r="C143" i="2"/>
  <c r="C114" i="2"/>
  <c r="C204" i="2"/>
  <c r="C88" i="2"/>
  <c r="C146" i="2"/>
  <c r="C121" i="2"/>
  <c r="C257" i="2"/>
  <c r="C285" i="2" s="1"/>
  <c r="C82" i="2"/>
  <c r="C178" i="2"/>
  <c r="C119" i="2"/>
  <c r="C139" i="2"/>
  <c r="C171" i="2"/>
  <c r="G257" i="2"/>
  <c r="C84" i="2"/>
  <c r="C95" i="2"/>
  <c r="C148" i="2"/>
  <c r="H238" i="2"/>
  <c r="H237" i="2" s="1"/>
  <c r="H236" i="2" s="1"/>
  <c r="H235" i="2" s="1"/>
  <c r="H234" i="2" s="1"/>
  <c r="C124" i="2"/>
  <c r="C182" i="2"/>
  <c r="H256" i="2"/>
  <c r="H255" i="2" s="1"/>
  <c r="H254" i="2" s="1"/>
  <c r="H253" i="2" s="1"/>
  <c r="H252" i="2" s="1"/>
  <c r="C2" i="2" l="1" a="1"/>
  <c r="C2" i="2"/>
  <c r="C3" i="2" a="1"/>
  <c r="C3" i="2"/>
  <c r="D3" i="2" s="1"/>
  <c r="C4" i="2" a="1"/>
  <c r="C4" i="2"/>
  <c r="C5" i="2" a="1"/>
  <c r="C5" i="2"/>
  <c r="C6" i="2" a="1"/>
  <c r="C6" i="2"/>
  <c r="E6" i="2" a="1"/>
  <c r="E6" i="2" l="1"/>
  <c r="G6" i="2" a="1"/>
  <c r="G6" i="2" s="1"/>
  <c r="H6" i="2" a="1"/>
  <c r="H6" i="2" s="1"/>
  <c r="J6" i="2"/>
  <c r="K6" i="2" a="1"/>
  <c r="K6" i="2"/>
  <c r="D7" i="2"/>
  <c r="E7" i="2" a="1"/>
  <c r="E7" i="2" l="1"/>
  <c r="S7" i="2"/>
  <c r="S8" i="2" a="1"/>
  <c r="S8" i="2"/>
  <c r="S6" i="2" s="1" a="1"/>
  <c r="S6" i="2" s="1"/>
  <c r="N5" i="2" s="1"/>
  <c r="D9" i="2"/>
  <c r="B16" i="2"/>
  <c r="B19" i="2"/>
  <c r="B22" i="2"/>
  <c r="B25" i="2"/>
  <c r="B28" i="2"/>
  <c r="B31" i="2" a="1"/>
  <c r="B31" i="2"/>
  <c r="C30" i="2" a="1"/>
  <c r="B34" i="2"/>
  <c r="C30" i="2" l="1"/>
  <c r="B42" i="2"/>
  <c r="B50" i="2"/>
  <c r="B56" i="2"/>
  <c r="B61" i="2"/>
  <c r="B63" i="2"/>
  <c r="D244" i="2" l="1"/>
  <c r="D262" i="2"/>
  <c r="B269" i="2"/>
  <c r="D268" i="2" s="1" a="1"/>
  <c r="D268" i="2" l="1"/>
  <c r="D272" i="2"/>
  <c r="B275" i="2"/>
  <c r="D274" i="2" s="1" a="1"/>
  <c r="D274" i="2" l="1"/>
  <c r="D281" i="2"/>
  <c r="D2" i="2" a="1"/>
  <c r="D2" i="2"/>
  <c r="E3" i="2"/>
  <c r="E4" i="2"/>
  <c r="F4" i="2"/>
  <c r="R5" i="2" a="1"/>
  <c r="R5" i="2"/>
  <c r="D6" i="2"/>
  <c r="F6" i="2"/>
  <c r="N6" i="2"/>
  <c r="O6" i="2"/>
  <c r="N7" i="2"/>
  <c r="O7" i="2"/>
  <c r="R7" i="2"/>
  <c r="D8" i="2"/>
  <c r="E8" i="2" a="1"/>
  <c r="E8" i="2"/>
  <c r="N8" i="2"/>
  <c r="R8" i="2"/>
  <c r="E9" i="2" a="1"/>
  <c r="E9" i="2"/>
  <c r="D10" i="2" a="1"/>
  <c r="D10" i="2"/>
  <c r="D11" i="2" a="1"/>
  <c r="D11" i="2"/>
  <c r="D12" i="2" a="1"/>
  <c r="D12" i="2"/>
  <c r="D13" i="2" a="1"/>
  <c r="D13" i="2"/>
  <c r="D15" i="2" a="1"/>
  <c r="D15" i="2"/>
  <c r="E16" i="2" a="1"/>
  <c r="E16" i="2"/>
  <c r="D18" i="2" a="1"/>
  <c r="D18" i="2"/>
  <c r="D19" i="2" a="1"/>
  <c r="D19" i="2"/>
  <c r="D21" i="2" a="1"/>
  <c r="D21" i="2"/>
  <c r="D22" i="2" a="1"/>
  <c r="D22" i="2"/>
  <c r="D24" i="2" a="1"/>
  <c r="D24" i="2"/>
  <c r="D25" i="2" a="1"/>
  <c r="D25" i="2"/>
  <c r="D27" i="2" a="1"/>
  <c r="D27" i="2"/>
  <c r="D28" i="2" a="1"/>
  <c r="D28" i="2"/>
  <c r="D30" i="2" a="1"/>
  <c r="D30" i="2"/>
  <c r="D31" i="2" a="1"/>
  <c r="D31" i="2"/>
  <c r="D33" i="2" a="1"/>
  <c r="D33" i="2"/>
  <c r="D34" i="2" a="1"/>
  <c r="D34" i="2"/>
  <c r="D36" i="2" a="1"/>
  <c r="D36" i="2"/>
  <c r="D37" i="2" a="1"/>
  <c r="D37" i="2"/>
  <c r="E38" i="2" a="1"/>
  <c r="E38" i="2"/>
  <c r="D40" i="2" a="1"/>
  <c r="D40" i="2"/>
  <c r="D41" i="2" a="1"/>
  <c r="D41" i="2"/>
  <c r="D43" i="2" a="1"/>
  <c r="D43" i="2"/>
  <c r="D44" i="2" a="1"/>
  <c r="D44" i="2"/>
  <c r="D46" i="2" a="1"/>
  <c r="D46" i="2"/>
  <c r="D47" i="2" a="1"/>
  <c r="D47" i="2"/>
  <c r="D49" i="2" a="1"/>
  <c r="D49" i="2"/>
  <c r="D51" i="2" a="1"/>
  <c r="D51" i="2"/>
  <c r="D53" i="2" a="1"/>
  <c r="D53" i="2"/>
  <c r="D55" i="2" a="1"/>
  <c r="D55" i="2"/>
  <c r="D56" i="2" a="1"/>
  <c r="D56" i="2"/>
  <c r="D58" i="2" a="1"/>
  <c r="D58" i="2"/>
  <c r="D60" i="2" a="1"/>
  <c r="D60" i="2"/>
  <c r="D62" i="2" a="1"/>
  <c r="D62" i="2"/>
  <c r="D64" i="2" a="1"/>
  <c r="D64" i="2"/>
  <c r="D66" i="2" a="1"/>
  <c r="D66" i="2"/>
  <c r="D68" i="2" a="1"/>
  <c r="D68" i="2"/>
  <c r="D70" i="2" a="1"/>
  <c r="D70" i="2"/>
  <c r="D72" i="2" a="1"/>
  <c r="D72" i="2"/>
  <c r="D75" i="2" a="1"/>
  <c r="D75" i="2"/>
  <c r="D76" i="2" a="1"/>
  <c r="D76" i="2"/>
  <c r="D78" i="2"/>
  <c r="E78" i="2" a="1"/>
  <c r="E78" i="2"/>
  <c r="E79" i="2" a="1"/>
  <c r="E79" i="2"/>
  <c r="D81" i="2" a="1"/>
  <c r="D81" i="2"/>
  <c r="D82" i="2" a="1"/>
  <c r="D82" i="2"/>
  <c r="D84" i="2" a="1"/>
  <c r="D84" i="2"/>
  <c r="D85" i="2" a="1"/>
  <c r="D85" i="2"/>
  <c r="D87" i="2" a="1"/>
  <c r="D87" i="2"/>
  <c r="D88" i="2" a="1"/>
  <c r="D88" i="2"/>
  <c r="D90" i="2" a="1"/>
  <c r="D90" i="2"/>
  <c r="D91" i="2" a="1"/>
  <c r="D91" i="2"/>
  <c r="E92" i="2" a="1"/>
  <c r="E92" i="2"/>
  <c r="D94" i="2" a="1"/>
  <c r="D94" i="2"/>
  <c r="D95" i="2" a="1"/>
  <c r="D95" i="2"/>
  <c r="D97" i="2" a="1"/>
  <c r="D97" i="2"/>
  <c r="D98" i="2" a="1"/>
  <c r="D98" i="2"/>
  <c r="D100" i="2" a="1"/>
  <c r="D100" i="2"/>
  <c r="D101" i="2" a="1"/>
  <c r="D101" i="2"/>
  <c r="D104" i="2" a="1"/>
  <c r="D104" i="2"/>
  <c r="D105" i="2" a="1"/>
  <c r="D105" i="2"/>
  <c r="D107" i="2"/>
  <c r="E107" i="2" a="1"/>
  <c r="E107" i="2"/>
  <c r="E108" i="2" a="1"/>
  <c r="E108" i="2"/>
  <c r="D110" i="2" a="1"/>
  <c r="D110" i="2"/>
  <c r="D111" i="2" a="1"/>
  <c r="D111" i="2"/>
  <c r="D113" i="2" a="1"/>
  <c r="D113" i="2"/>
  <c r="D114" i="2" a="1"/>
  <c r="D114" i="2"/>
  <c r="D116" i="2" a="1"/>
  <c r="D116" i="2"/>
  <c r="D117" i="2" a="1"/>
  <c r="D117" i="2"/>
  <c r="D119" i="2" a="1"/>
  <c r="D119" i="2"/>
  <c r="D120" i="2" a="1"/>
  <c r="D120" i="2"/>
  <c r="E121" i="2" a="1"/>
  <c r="E121" i="2"/>
  <c r="D123" i="2" a="1"/>
  <c r="D123" i="2"/>
  <c r="D124" i="2" a="1"/>
  <c r="D124" i="2"/>
  <c r="D126" i="2" a="1"/>
  <c r="D126" i="2"/>
  <c r="D127" i="2" a="1"/>
  <c r="D127" i="2"/>
  <c r="D129" i="2" a="1"/>
  <c r="D129" i="2"/>
  <c r="D130" i="2" a="1"/>
  <c r="D130" i="2"/>
  <c r="D133" i="2" a="1"/>
  <c r="D133" i="2"/>
  <c r="D134" i="2" a="1"/>
  <c r="D134" i="2"/>
  <c r="D136" i="2"/>
  <c r="E136" i="2" a="1"/>
  <c r="E136" i="2"/>
  <c r="E137" i="2" a="1"/>
  <c r="E137" i="2"/>
  <c r="D139" i="2" a="1"/>
  <c r="D139" i="2"/>
  <c r="D140" i="2" a="1"/>
  <c r="D140" i="2"/>
  <c r="D142" i="2" a="1"/>
  <c r="D142" i="2"/>
  <c r="D143" i="2" a="1"/>
  <c r="D143" i="2"/>
  <c r="D145" i="2" a="1"/>
  <c r="D145" i="2"/>
  <c r="D146" i="2" a="1"/>
  <c r="D146" i="2"/>
  <c r="D148" i="2" a="1"/>
  <c r="D148" i="2"/>
  <c r="D149" i="2" a="1"/>
  <c r="D149" i="2"/>
  <c r="E150" i="2" a="1"/>
  <c r="E150" i="2"/>
  <c r="D152" i="2" a="1"/>
  <c r="D152" i="2"/>
  <c r="D153" i="2" a="1"/>
  <c r="D153" i="2"/>
  <c r="D155" i="2" a="1"/>
  <c r="D155" i="2"/>
  <c r="D156" i="2" a="1"/>
  <c r="D156" i="2"/>
  <c r="D158" i="2" a="1"/>
  <c r="D158" i="2"/>
  <c r="D159" i="2" a="1"/>
  <c r="D159" i="2"/>
  <c r="D162" i="2" a="1"/>
  <c r="D162" i="2"/>
  <c r="D163" i="2" a="1"/>
  <c r="D163" i="2"/>
  <c r="D165" i="2"/>
  <c r="E165" i="2" a="1"/>
  <c r="E165" i="2"/>
  <c r="E166" i="2" a="1"/>
  <c r="E166" i="2"/>
  <c r="C167" i="2" a="1"/>
  <c r="C167" i="2"/>
  <c r="D167" i="2" a="1"/>
  <c r="D167" i="2"/>
  <c r="D168" i="2" a="1"/>
  <c r="D168" i="2"/>
  <c r="D169" i="2" a="1"/>
  <c r="D169" i="2"/>
  <c r="C170" i="2" a="1"/>
  <c r="C170" i="2"/>
  <c r="D170" i="2" a="1"/>
  <c r="D170" i="2"/>
  <c r="D171" i="2" a="1"/>
  <c r="D171" i="2"/>
  <c r="D172" i="2" a="1"/>
  <c r="D172" i="2"/>
  <c r="C173" i="2" a="1"/>
  <c r="C173" i="2"/>
  <c r="D173" i="2" a="1"/>
  <c r="D173" i="2"/>
  <c r="D174" i="2" a="1"/>
  <c r="D174" i="2"/>
  <c r="D175" i="2" a="1"/>
  <c r="D175" i="2"/>
  <c r="C176" i="2" a="1"/>
  <c r="C176" i="2"/>
  <c r="D176" i="2" a="1"/>
  <c r="D176" i="2"/>
  <c r="D177" i="2" a="1"/>
  <c r="D177" i="2"/>
  <c r="D178" i="2" a="1"/>
  <c r="D178" i="2"/>
  <c r="E179" i="2" a="1"/>
  <c r="E179" i="2"/>
  <c r="C180" i="2" a="1"/>
  <c r="C180" i="2"/>
  <c r="D180" i="2" a="1"/>
  <c r="D180" i="2"/>
  <c r="D181" i="2" a="1"/>
  <c r="D181" i="2"/>
  <c r="D182" i="2" a="1"/>
  <c r="D182" i="2"/>
  <c r="C183" i="2" a="1"/>
  <c r="C183" i="2"/>
  <c r="D183" i="2" a="1"/>
  <c r="D183" i="2"/>
  <c r="D184" i="2" a="1"/>
  <c r="D184" i="2"/>
  <c r="D185" i="2" a="1"/>
  <c r="D185" i="2"/>
  <c r="D187" i="2" a="1"/>
  <c r="D187" i="2"/>
  <c r="D188" i="2" a="1"/>
  <c r="D188" i="2"/>
  <c r="D191" i="2" a="1"/>
  <c r="D191" i="2"/>
  <c r="D192" i="2" a="1"/>
  <c r="D192" i="2"/>
  <c r="D194" i="2"/>
  <c r="E194" i="2" a="1"/>
  <c r="E194" i="2"/>
  <c r="E195" i="2" a="1"/>
  <c r="E195" i="2"/>
  <c r="D196" i="2" a="1"/>
  <c r="D196" i="2"/>
  <c r="D197" i="2" a="1"/>
  <c r="D197" i="2"/>
  <c r="D198" i="2" a="1"/>
  <c r="D198" i="2"/>
  <c r="D199" i="2" a="1"/>
  <c r="D199" i="2"/>
  <c r="D200" i="2" a="1"/>
  <c r="D200" i="2"/>
  <c r="D201" i="2" a="1"/>
  <c r="D201" i="2"/>
  <c r="D202" i="2" a="1"/>
  <c r="D202" i="2"/>
  <c r="D203" i="2" a="1"/>
  <c r="D203" i="2"/>
  <c r="D204" i="2" a="1"/>
  <c r="D204" i="2"/>
  <c r="D205" i="2" a="1"/>
  <c r="D205" i="2"/>
  <c r="D206" i="2" a="1"/>
  <c r="D206" i="2"/>
  <c r="D207" i="2" a="1"/>
  <c r="D207" i="2"/>
  <c r="E208" i="2" a="1"/>
  <c r="E208" i="2"/>
  <c r="D209" i="2" a="1"/>
  <c r="D209" i="2"/>
  <c r="D210" i="2" a="1"/>
  <c r="D210" i="2"/>
  <c r="D211" i="2" a="1"/>
  <c r="D211" i="2"/>
  <c r="D212" i="2" a="1"/>
  <c r="D212" i="2"/>
  <c r="D213" i="2" a="1"/>
  <c r="D213" i="2"/>
  <c r="D214" i="2" a="1"/>
  <c r="D214" i="2"/>
  <c r="D216" i="2" a="1"/>
  <c r="D216" i="2"/>
  <c r="D217" i="2" a="1"/>
  <c r="D217" i="2"/>
  <c r="D220" i="2" a="1"/>
  <c r="D220" i="2"/>
  <c r="D221" i="2" a="1"/>
  <c r="D221" i="2"/>
  <c r="D222" i="2" a="1"/>
  <c r="D222" i="2"/>
  <c r="D224" i="2" a="1"/>
  <c r="D224" i="2"/>
  <c r="D225" i="2" a="1"/>
  <c r="D225" i="2"/>
  <c r="D227" i="2" a="1"/>
  <c r="D227" i="2"/>
  <c r="D232" i="2"/>
  <c r="C233" i="2"/>
  <c r="D233" i="2" a="1"/>
  <c r="D233" i="2"/>
  <c r="H233" i="2"/>
  <c r="D234" i="2"/>
  <c r="D235" i="2"/>
  <c r="D236" i="2" a="1"/>
  <c r="D236" i="2"/>
  <c r="D238" i="2"/>
  <c r="D239" i="2" a="1"/>
  <c r="D239" i="2"/>
  <c r="D240" i="2"/>
  <c r="D242" i="2" a="1"/>
  <c r="D242" i="2"/>
  <c r="D243" i="2"/>
  <c r="D245" i="2"/>
  <c r="C251" i="2"/>
  <c r="D251" i="2" a="1"/>
  <c r="D251" i="2"/>
  <c r="H251" i="2"/>
  <c r="D252" i="2"/>
  <c r="D253" i="2"/>
  <c r="D254" i="2" a="1"/>
  <c r="D254" i="2"/>
  <c r="D256" i="2"/>
  <c r="D257" i="2" a="1"/>
  <c r="D257" i="2"/>
  <c r="D258" i="2"/>
  <c r="D260" i="2" a="1"/>
  <c r="D260" i="2"/>
  <c r="D261" i="2"/>
  <c r="D263" i="2"/>
  <c r="D275" i="2"/>
  <c r="D276" i="2"/>
  <c r="D277" i="2"/>
  <c r="D278" i="2" a="1"/>
  <c r="D278" i="2"/>
  <c r="D279" i="2"/>
  <c r="D282" i="2"/>
  <c r="D283" i="2"/>
  <c r="D285" i="2"/>
  <c r="D286" i="2"/>
  <c r="D287" i="2"/>
  <c r="D288" i="2"/>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<sst xmlns="http://schemas.openxmlformats.org/spreadsheetml/2006/main" count="3361" uniqueCount="1435">
  <si>
    <t>NASDAQGS:AAPL (MI KEY: 4004205; SPCIQ KEY: 24937)</t>
  </si>
  <si>
    <t>Period Type Fiscal Years</t>
  </si>
  <si>
    <t>Period Range From  2020</t>
  </si>
  <si>
    <t>To  2032</t>
  </si>
  <si>
    <t>Consolidation Consolidated</t>
  </si>
  <si>
    <t>Accounting Standard U.S. GAAP</t>
  </si>
  <si>
    <t>Metric All Items</t>
  </si>
  <si>
    <t>Magnitude Millions (6)</t>
  </si>
  <si>
    <t>Decimals  Default</t>
  </si>
  <si>
    <t>Brokers All</t>
  </si>
  <si>
    <t>Confirmed Estimate Within No Estimate Date Change</t>
  </si>
  <si>
    <t>Current Fiscal Quarter (FQ4 2025): Sep-30-2025   |   Current Fiscal Year (FY  2025): Sep-30-2025</t>
  </si>
  <si>
    <t xml:space="preserve">Per Share Level </t>
  </si>
  <si>
    <t>FY 2020 - Sep 2020</t>
  </si>
  <si>
    <t>FY 2021 - Sep 2021</t>
  </si>
  <si>
    <t>FY 2022 - Sep 2022</t>
  </si>
  <si>
    <t>FY 2023 - Sep 2023</t>
  </si>
  <si>
    <t>FY 2024 - Sep 2024</t>
  </si>
  <si>
    <t>FY 2025 - Sep 2025</t>
  </si>
  <si>
    <t>FY 2026 - Sep 2026</t>
  </si>
  <si>
    <t>FY 2027 - Sep 2027</t>
  </si>
  <si>
    <t>FY 2028 - Sep 2028</t>
  </si>
  <si>
    <t>FY 2029 - Sep 2029</t>
  </si>
  <si>
    <t>FY 2030 - Sep 2030</t>
  </si>
  <si>
    <t>FY 2031 - Sep 2031</t>
  </si>
  <si>
    <t>NASDAQGS:AAPL ($)</t>
  </si>
  <si>
    <t>EPS Normalized</t>
  </si>
  <si>
    <t>3.28 A</t>
  </si>
  <si>
    <t>5.61 A</t>
  </si>
  <si>
    <t>6.11 A</t>
  </si>
  <si>
    <t>6.13 A</t>
  </si>
  <si>
    <t>6.75 A</t>
  </si>
  <si>
    <t>7.38 E</t>
  </si>
  <si>
    <t>7.96 E</t>
  </si>
  <si>
    <t>8.80 E</t>
  </si>
  <si>
    <t>10.28 E</t>
  </si>
  <si>
    <t>12.12 E</t>
  </si>
  <si>
    <t>14.51 E</t>
  </si>
  <si>
    <t>16.82 E</t>
  </si>
  <si>
    <t>Actuals/Estimates</t>
  </si>
  <si>
    <t>Final Est.</t>
  </si>
  <si>
    <t>3.24 E</t>
  </si>
  <si>
    <t>5.59 E</t>
  </si>
  <si>
    <t>6.11 E</t>
  </si>
  <si>
    <t>6.07 E</t>
  </si>
  <si>
    <t>6.70 E</t>
  </si>
  <si>
    <t>Median</t>
  </si>
  <si>
    <t>5.62 E</t>
  </si>
  <si>
    <t>6.10 E</t>
  </si>
  <si>
    <t>6.06 E</t>
  </si>
  <si>
    <t>6.71 E</t>
  </si>
  <si>
    <t>7.95 E</t>
  </si>
  <si>
    <t>High</t>
  </si>
  <si>
    <t>3.40 E</t>
  </si>
  <si>
    <t>5.73 E</t>
  </si>
  <si>
    <t>6.40 E</t>
  </si>
  <si>
    <t>6.53 E</t>
  </si>
  <si>
    <t>6.79 E</t>
  </si>
  <si>
    <t>7.46 E</t>
  </si>
  <si>
    <t>9.00 E</t>
  </si>
  <si>
    <t>9.62 E</t>
  </si>
  <si>
    <t>10.81 E</t>
  </si>
  <si>
    <t>12.13 E</t>
  </si>
  <si>
    <t>Low</t>
  </si>
  <si>
    <t>3.08 E</t>
  </si>
  <si>
    <t>5.17 E</t>
  </si>
  <si>
    <t>5.96 E</t>
  </si>
  <si>
    <t>5.82 E</t>
  </si>
  <si>
    <t>6.57 E</t>
  </si>
  <si>
    <t>7.27 E</t>
  </si>
  <si>
    <t>7.13 E</t>
  </si>
  <si>
    <t>8.00 E</t>
  </si>
  <si>
    <t>9.74 E</t>
  </si>
  <si>
    <t>12.10 E</t>
  </si>
  <si>
    <t>Std. Dev.</t>
  </si>
  <si>
    <t>Number of Analysts</t>
  </si>
  <si>
    <t>39/39</t>
  </si>
  <si>
    <t>41/42</t>
  </si>
  <si>
    <t>41/41</t>
  </si>
  <si>
    <t>44/44</t>
  </si>
  <si>
    <t>40/46</t>
  </si>
  <si>
    <t>30/39</t>
  </si>
  <si>
    <t>38/38</t>
  </si>
  <si>
    <t>17/17</t>
  </si>
  <si>
    <t>2/2</t>
  </si>
  <si>
    <t>1/1</t>
  </si>
  <si>
    <t>Accounting Standard</t>
  </si>
  <si>
    <t>U.S. GAAP</t>
  </si>
  <si>
    <t>EPS (GAAP)</t>
  </si>
  <si>
    <t>6.08 A</t>
  </si>
  <si>
    <t>7.37 E</t>
  </si>
  <si>
    <t>7.93 E</t>
  </si>
  <si>
    <t>8.79 E</t>
  </si>
  <si>
    <t>5.58 E</t>
  </si>
  <si>
    <t>6.05 E</t>
  </si>
  <si>
    <t>5.60 E</t>
  </si>
  <si>
    <t>6.17 E</t>
  </si>
  <si>
    <t>5.78 E</t>
  </si>
  <si>
    <t>6.04 E</t>
  </si>
  <si>
    <t>7.25 E</t>
  </si>
  <si>
    <t>43/43</t>
  </si>
  <si>
    <t>42/42</t>
  </si>
  <si>
    <t>46/46</t>
  </si>
  <si>
    <t>4/47</t>
  </si>
  <si>
    <t>32/40</t>
  </si>
  <si>
    <t>Cash EPS</t>
  </si>
  <si>
    <t>3.91 A</t>
  </si>
  <si>
    <t>6.28 A</t>
  </si>
  <si>
    <t>6.79 A</t>
  </si>
  <si>
    <t>6.86 A</t>
  </si>
  <si>
    <t>7.49 A</t>
  </si>
  <si>
    <t>8.14 E</t>
  </si>
  <si>
    <t>8.04 E</t>
  </si>
  <si>
    <t>8.95 E</t>
  </si>
  <si>
    <t>NA</t>
  </si>
  <si>
    <t>3.92 E</t>
  </si>
  <si>
    <t>6.26 E</t>
  </si>
  <si>
    <t>6.81 E</t>
  </si>
  <si>
    <t>8.45 E</t>
  </si>
  <si>
    <t>7.64 E</t>
  </si>
  <si>
    <t>1/2</t>
  </si>
  <si>
    <t>Dividend per share</t>
  </si>
  <si>
    <t>0.80 A</t>
  </si>
  <si>
    <t>0.85 A</t>
  </si>
  <si>
    <t>0.90 A</t>
  </si>
  <si>
    <t>0.94 A</t>
  </si>
  <si>
    <t>0.98 A</t>
  </si>
  <si>
    <t>1.03 E</t>
  </si>
  <si>
    <t>1.08 E</t>
  </si>
  <si>
    <t>1.13 E</t>
  </si>
  <si>
    <t>1.19 E</t>
  </si>
  <si>
    <t>1.26 E</t>
  </si>
  <si>
    <t>1.30 E</t>
  </si>
  <si>
    <t>1.36 E</t>
  </si>
  <si>
    <t>0.80 E</t>
  </si>
  <si>
    <t>0.86 E</t>
  </si>
  <si>
    <t>0.91 E</t>
  </si>
  <si>
    <t>0.95 E</t>
  </si>
  <si>
    <t>0.99 E</t>
  </si>
  <si>
    <t>0.90 E</t>
  </si>
  <si>
    <t>0.94 E</t>
  </si>
  <si>
    <t>1.02 E</t>
  </si>
  <si>
    <t>1.07 E</t>
  </si>
  <si>
    <t>1.12 E</t>
  </si>
  <si>
    <t>0.83 E</t>
  </si>
  <si>
    <t>1.00 E</t>
  </si>
  <si>
    <t>1.11 E</t>
  </si>
  <si>
    <t>1.17 E</t>
  </si>
  <si>
    <t>1.25 E</t>
  </si>
  <si>
    <t>1.20 E</t>
  </si>
  <si>
    <t>1.28 E</t>
  </si>
  <si>
    <t>0.79 E</t>
  </si>
  <si>
    <t>0.82 E</t>
  </si>
  <si>
    <t>0.97 E</t>
  </si>
  <si>
    <t>1.18 E</t>
  </si>
  <si>
    <t>1.24 E</t>
  </si>
  <si>
    <t>15/16</t>
  </si>
  <si>
    <t>17/20</t>
  </si>
  <si>
    <t>18/20</t>
  </si>
  <si>
    <t>16/19</t>
  </si>
  <si>
    <t>19/19</t>
  </si>
  <si>
    <t>11/11</t>
  </si>
  <si>
    <t>Net Asset Value per share</t>
  </si>
  <si>
    <t>3.68 A</t>
  </si>
  <si>
    <t>3.74 A</t>
  </si>
  <si>
    <t>3.10 A</t>
  </si>
  <si>
    <t>4.00 A</t>
  </si>
  <si>
    <t>3.77 A</t>
  </si>
  <si>
    <t>4.21 E</t>
  </si>
  <si>
    <t>4.72 E</t>
  </si>
  <si>
    <t>3.79 E</t>
  </si>
  <si>
    <t>3.55 E</t>
  </si>
  <si>
    <t>3.86 E</t>
  </si>
  <si>
    <t>4.10 E</t>
  </si>
  <si>
    <t>3.60 E</t>
  </si>
  <si>
    <t>3.82 E</t>
  </si>
  <si>
    <t>3.81 E</t>
  </si>
  <si>
    <t>3.85 E</t>
  </si>
  <si>
    <t>3.99 E</t>
  </si>
  <si>
    <t>4.00 E</t>
  </si>
  <si>
    <t>4.29 E</t>
  </si>
  <si>
    <t>4.86 E</t>
  </si>
  <si>
    <t>3.76 E</t>
  </si>
  <si>
    <t>3.72 E</t>
  </si>
  <si>
    <t>3.00 E</t>
  </si>
  <si>
    <t>4.09 E</t>
  </si>
  <si>
    <t>4.13 E</t>
  </si>
  <si>
    <t>4.58 E</t>
  </si>
  <si>
    <t>4/4</t>
  </si>
  <si>
    <t>Book Value per share</t>
  </si>
  <si>
    <t>3.84 A</t>
  </si>
  <si>
    <t>3.18 A</t>
  </si>
  <si>
    <t>4.22 E</t>
  </si>
  <si>
    <t>4.64 E</t>
  </si>
  <si>
    <t>5.37 E</t>
  </si>
  <si>
    <t>3.61 E</t>
  </si>
  <si>
    <t>3.48 E</t>
  </si>
  <si>
    <t>4.12 E</t>
  </si>
  <si>
    <t>3.80 E</t>
  </si>
  <si>
    <t>3.42 E</t>
  </si>
  <si>
    <t>3.83 E</t>
  </si>
  <si>
    <t>4.76 E</t>
  </si>
  <si>
    <t>5.01 E</t>
  </si>
  <si>
    <t>3.70 E</t>
  </si>
  <si>
    <t>4.50 E</t>
  </si>
  <si>
    <t>4.66 E</t>
  </si>
  <si>
    <t>5.80 E</t>
  </si>
  <si>
    <t>7.70 E</t>
  </si>
  <si>
    <t>3.49 E</t>
  </si>
  <si>
    <t>2.72 E</t>
  </si>
  <si>
    <t>2.50 E</t>
  </si>
  <si>
    <t>3.21 E</t>
  </si>
  <si>
    <t>3.09 E</t>
  </si>
  <si>
    <t>2.55 E</t>
  </si>
  <si>
    <t>3.87 E</t>
  </si>
  <si>
    <t>5/6</t>
  </si>
  <si>
    <t>10/11</t>
  </si>
  <si>
    <t>10/10</t>
  </si>
  <si>
    <t>9/9</t>
  </si>
  <si>
    <t>6/7</t>
  </si>
  <si>
    <t>Cash flow per share</t>
  </si>
  <si>
    <t>4.60 A</t>
  </si>
  <si>
    <t>6.17 A</t>
  </si>
  <si>
    <t>7.48 A</t>
  </si>
  <si>
    <t>6.99 A</t>
  </si>
  <si>
    <t>7.67 A</t>
  </si>
  <si>
    <t>8.19 E</t>
  </si>
  <si>
    <t>9.13 E</t>
  </si>
  <si>
    <t>10.27 E</t>
  </si>
  <si>
    <t>4.47 E</t>
  </si>
  <si>
    <t>7.24 E</t>
  </si>
  <si>
    <t>7.34 E</t>
  </si>
  <si>
    <t>7.56 E</t>
  </si>
  <si>
    <t>4.61 E</t>
  </si>
  <si>
    <t>6.35 E</t>
  </si>
  <si>
    <t>7.51 E</t>
  </si>
  <si>
    <t>7.40 E</t>
  </si>
  <si>
    <t>7.49 E</t>
  </si>
  <si>
    <t>9.42 E</t>
  </si>
  <si>
    <t>4.83 E</t>
  </si>
  <si>
    <t>6.77 E</t>
  </si>
  <si>
    <t>7.76 E</t>
  </si>
  <si>
    <t>8.12 E</t>
  </si>
  <si>
    <t>8.86 E</t>
  </si>
  <si>
    <t>9.64 E</t>
  </si>
  <si>
    <t>10.30 E</t>
  </si>
  <si>
    <t>6.01 E</t>
  </si>
  <si>
    <t>6.43 E</t>
  </si>
  <si>
    <t>6.59 E</t>
  </si>
  <si>
    <t>6.84 E</t>
  </si>
  <si>
    <t>7.71 E</t>
  </si>
  <si>
    <t>8.52 E</t>
  </si>
  <si>
    <t>10.23 E</t>
  </si>
  <si>
    <t>7/7</t>
  </si>
  <si>
    <t>6/6</t>
  </si>
  <si>
    <t>5/5</t>
  </si>
  <si>
    <t>Avg. Diluted Shares Outstanding</t>
  </si>
  <si>
    <t>15,812.55 A</t>
  </si>
  <si>
    <t>15,242.85 A</t>
  </si>
  <si>
    <t>15,031.57 E</t>
  </si>
  <si>
    <t>14,623.59 E</t>
  </si>
  <si>
    <t>14,298.05 E</t>
  </si>
  <si>
    <t>13,327.00 E</t>
  </si>
  <si>
    <t>12,750.00 E</t>
  </si>
  <si>
    <t>15,804.33 E</t>
  </si>
  <si>
    <t>15,377.15 E</t>
  </si>
  <si>
    <t>15,814.00 E</t>
  </si>
  <si>
    <t>15,404.00 E</t>
  </si>
  <si>
    <t>15,005.00 E</t>
  </si>
  <si>
    <t>14,564.00 E</t>
  </si>
  <si>
    <t>14,116.50 E</t>
  </si>
  <si>
    <t>16,000.00 E</t>
  </si>
  <si>
    <t>15,527.00 E</t>
  </si>
  <si>
    <t>15,301.70 E</t>
  </si>
  <si>
    <t>15,148.00 E</t>
  </si>
  <si>
    <t>14,916.00 E</t>
  </si>
  <si>
    <t>15,634.00 E</t>
  </si>
  <si>
    <t>15,000.00 E</t>
  </si>
  <si>
    <t>14,945.00 E</t>
  </si>
  <si>
    <t>14,217.00 E</t>
  </si>
  <si>
    <t>13,907.00 E</t>
  </si>
  <si>
    <t>25/25</t>
  </si>
  <si>
    <t>24/25</t>
  </si>
  <si>
    <t>20/21</t>
  </si>
  <si>
    <t>18/19</t>
  </si>
  <si>
    <t>8/8</t>
  </si>
  <si>
    <t>Company Level ($M)</t>
  </si>
  <si>
    <t>Revenue</t>
  </si>
  <si>
    <t>274,515.00 A</t>
  </si>
  <si>
    <t>365,817.00 A</t>
  </si>
  <si>
    <t>394,328.00 A</t>
  </si>
  <si>
    <t>383,285.00 A</t>
  </si>
  <si>
    <t>391,035.00 A</t>
  </si>
  <si>
    <t>414,909.05 E</t>
  </si>
  <si>
    <t>435,293.35 E</t>
  </si>
  <si>
    <t>463,392.15 E</t>
  </si>
  <si>
    <t>489,893.50 E</t>
  </si>
  <si>
    <t>533,329.00 E</t>
  </si>
  <si>
    <t>569,147.00 E</t>
  </si>
  <si>
    <t>596,418.00 E</t>
  </si>
  <si>
    <t>272,778.01 E</t>
  </si>
  <si>
    <t>366,486.97 E</t>
  </si>
  <si>
    <t>392,778.99 E</t>
  </si>
  <si>
    <t>382,909.84 E</t>
  </si>
  <si>
    <t>390,538.80 E</t>
  </si>
  <si>
    <t>273,131.00 E</t>
  </si>
  <si>
    <t>366,728.00 E</t>
  </si>
  <si>
    <t>392,893.00 E</t>
  </si>
  <si>
    <t>382,968.37 E</t>
  </si>
  <si>
    <t>390,165.50 E</t>
  </si>
  <si>
    <t>415,287.50 E</t>
  </si>
  <si>
    <t>433,476.39 E</t>
  </si>
  <si>
    <t>462,051.00 E</t>
  </si>
  <si>
    <t>280,364.00 E</t>
  </si>
  <si>
    <t>371,732.63 E</t>
  </si>
  <si>
    <t>396,977.00 E</t>
  </si>
  <si>
    <t>394,582.85 E</t>
  </si>
  <si>
    <t>405,727.00 E</t>
  </si>
  <si>
    <t>417,040.00 E</t>
  </si>
  <si>
    <t>477,463.00 E</t>
  </si>
  <si>
    <t>483,166.00 E</t>
  </si>
  <si>
    <t>500,865.00 E</t>
  </si>
  <si>
    <t>535,341.00 E</t>
  </si>
  <si>
    <t>262,362.00 E</t>
  </si>
  <si>
    <t>356,024.00 E</t>
  </si>
  <si>
    <t>389,326.00 E</t>
  </si>
  <si>
    <t>364,753.00 E</t>
  </si>
  <si>
    <t>386,513.00 E</t>
  </si>
  <si>
    <t>406,033.00 E</t>
  </si>
  <si>
    <t>408,100.00 E</t>
  </si>
  <si>
    <t>435,428.76 E</t>
  </si>
  <si>
    <t>478,922.00 E</t>
  </si>
  <si>
    <t>531,317.00 E</t>
  </si>
  <si>
    <t>35/35</t>
  </si>
  <si>
    <t>39/40</t>
  </si>
  <si>
    <t>44/46</t>
  </si>
  <si>
    <t>44/47</t>
  </si>
  <si>
    <t>30/40</t>
  </si>
  <si>
    <t>Selling, General and Administrative Expense</t>
  </si>
  <si>
    <t>24,932.00 A</t>
  </si>
  <si>
    <t>26,097.00 A</t>
  </si>
  <si>
    <t>27,560.68 E</t>
  </si>
  <si>
    <t>29,180.27 E</t>
  </si>
  <si>
    <t>31,798.12 E</t>
  </si>
  <si>
    <t>34,082.50 E</t>
  </si>
  <si>
    <t>35,583.00 E</t>
  </si>
  <si>
    <t>36,587.00 E</t>
  </si>
  <si>
    <t>37,425.00 E</t>
  </si>
  <si>
    <t>24,824.97 E</t>
  </si>
  <si>
    <t>25,962.62 E</t>
  </si>
  <si>
    <t>24,881.00 E</t>
  </si>
  <si>
    <t>25,934.95 E</t>
  </si>
  <si>
    <t>27,516.50 E</t>
  </si>
  <si>
    <t>29,168.00 E</t>
  </si>
  <si>
    <t>32,151.00 E</t>
  </si>
  <si>
    <t>25,350.00 E</t>
  </si>
  <si>
    <t>26,409.00 E</t>
  </si>
  <si>
    <t>28,096.00 E</t>
  </si>
  <si>
    <t>30,809.00 E</t>
  </si>
  <si>
    <t>35,653.00 E</t>
  </si>
  <si>
    <t>35,606.00 E</t>
  </si>
  <si>
    <t>36,654.00 E</t>
  </si>
  <si>
    <t>23,308.00 E</t>
  </si>
  <si>
    <t>25,300.00 E</t>
  </si>
  <si>
    <t>27,238.00 E</t>
  </si>
  <si>
    <t>26,953.00 E</t>
  </si>
  <si>
    <t>28,719.11 E</t>
  </si>
  <si>
    <t>32,559.00 E</t>
  </si>
  <si>
    <t>34,512.00 E</t>
  </si>
  <si>
    <t>21/24</t>
  </si>
  <si>
    <t>20/23</t>
  </si>
  <si>
    <t>22/22</t>
  </si>
  <si>
    <t>Research &amp; Development</t>
  </si>
  <si>
    <t>29,915.00 A</t>
  </si>
  <si>
    <t>31,370.00 A</t>
  </si>
  <si>
    <t>34,282.00 E</t>
  </si>
  <si>
    <t>35,969.49 E</t>
  </si>
  <si>
    <t>38,632.02 E</t>
  </si>
  <si>
    <t>44,553.50 E</t>
  </si>
  <si>
    <t>47,711.50 E</t>
  </si>
  <si>
    <t>49,750.00 E</t>
  </si>
  <si>
    <t>52,456.00 E</t>
  </si>
  <si>
    <t>29,964.12 E</t>
  </si>
  <si>
    <t>31,530.97 E</t>
  </si>
  <si>
    <t>30,089.00 E</t>
  </si>
  <si>
    <t>31,600.00 E</t>
  </si>
  <si>
    <t>34,324.00 E</t>
  </si>
  <si>
    <t>36,419.00 E</t>
  </si>
  <si>
    <t>39,200.50 E</t>
  </si>
  <si>
    <t>30,630.00 E</t>
  </si>
  <si>
    <t>31,766.00 E</t>
  </si>
  <si>
    <t>34,731.00 E</t>
  </si>
  <si>
    <t>38,480.00 E</t>
  </si>
  <si>
    <t>42,791.00 E</t>
  </si>
  <si>
    <t>45,504.00 E</t>
  </si>
  <si>
    <t>48,331.00 E</t>
  </si>
  <si>
    <t>28,086.00 E</t>
  </si>
  <si>
    <t>30,969.43 E</t>
  </si>
  <si>
    <t>33,718.00 E</t>
  </si>
  <si>
    <t>32,178.27 E</t>
  </si>
  <si>
    <t>31,910.12 E</t>
  </si>
  <si>
    <t>43,603.00 E</t>
  </si>
  <si>
    <t>47,092.00 E</t>
  </si>
  <si>
    <t>17/18</t>
  </si>
  <si>
    <t>12/17</t>
  </si>
  <si>
    <t>EBITDA</t>
  </si>
  <si>
    <t>77,344.00 A</t>
  </si>
  <si>
    <t>120,233.00 A</t>
  </si>
  <si>
    <t>130,541.00 A</t>
  </si>
  <si>
    <t>125,820.00 A</t>
  </si>
  <si>
    <t>134,661.00 A</t>
  </si>
  <si>
    <t>143,832.42 E</t>
  </si>
  <si>
    <t>149,548.89 E</t>
  </si>
  <si>
    <t>161,367.18 E</t>
  </si>
  <si>
    <t>174,140.50 E</t>
  </si>
  <si>
    <t>194,179.00 E</t>
  </si>
  <si>
    <t>217,531.00 E</t>
  </si>
  <si>
    <t>233,309.00 E</t>
  </si>
  <si>
    <t>77,076.95 E</t>
  </si>
  <si>
    <t>119,926.23 E</t>
  </si>
  <si>
    <t>130,377.77 E</t>
  </si>
  <si>
    <t>125,234.33 E</t>
  </si>
  <si>
    <t>134,824.01 E</t>
  </si>
  <si>
    <t>77,293.90 E</t>
  </si>
  <si>
    <t>120,219.52 E</t>
  </si>
  <si>
    <t>130,435.50 E</t>
  </si>
  <si>
    <t>125,278.00 E</t>
  </si>
  <si>
    <t>134,250.32 E</t>
  </si>
  <si>
    <t>143,726.60 E</t>
  </si>
  <si>
    <t>150,529.50 E</t>
  </si>
  <si>
    <t>159,447.67 E</t>
  </si>
  <si>
    <t>78,982.04 E</t>
  </si>
  <si>
    <t>124,600.00 E</t>
  </si>
  <si>
    <t>133,100.00 E</t>
  </si>
  <si>
    <t>128,002.00 E</t>
  </si>
  <si>
    <t>142,478.62 E</t>
  </si>
  <si>
    <t>148,459.00 E</t>
  </si>
  <si>
    <t>160,317.00 E</t>
  </si>
  <si>
    <t>172,633.00 E</t>
  </si>
  <si>
    <t>182,138.00 E</t>
  </si>
  <si>
    <t>194,527.00 E</t>
  </si>
  <si>
    <t>74,733.00 E</t>
  </si>
  <si>
    <t>112,944.00 E</t>
  </si>
  <si>
    <t>127,656.00 E</t>
  </si>
  <si>
    <t>121,171.00 E</t>
  </si>
  <si>
    <t>133,152.00 E</t>
  </si>
  <si>
    <t>141,451.00 E</t>
  </si>
  <si>
    <t>136,400.00 E</t>
  </si>
  <si>
    <t>147,046.13 E</t>
  </si>
  <si>
    <t>166,143.00 E</t>
  </si>
  <si>
    <t>193,831.00 E</t>
  </si>
  <si>
    <t>14/16</t>
  </si>
  <si>
    <t>21/23</t>
  </si>
  <si>
    <t>20/22</t>
  </si>
  <si>
    <t>24/26</t>
  </si>
  <si>
    <t>22/25</t>
  </si>
  <si>
    <t>16/24</t>
  </si>
  <si>
    <t>20/24</t>
  </si>
  <si>
    <t>EBIT</t>
  </si>
  <si>
    <t>66,288.00 A</t>
  </si>
  <si>
    <t>108,949.00 A</t>
  </si>
  <si>
    <t>119,437.00 A</t>
  </si>
  <si>
    <t>114,301.00 A</t>
  </si>
  <si>
    <t>123,216.00 A</t>
  </si>
  <si>
    <t>132,012.80 E</t>
  </si>
  <si>
    <t>138,295.31 E</t>
  </si>
  <si>
    <t>148,068.10 E</t>
  </si>
  <si>
    <t>162,985.50 E</t>
  </si>
  <si>
    <t>182,518.50 E</t>
  </si>
  <si>
    <t>202,402.00 E</t>
  </si>
  <si>
    <t>217,277.00 E</t>
  </si>
  <si>
    <t>65,941.31 E</t>
  </si>
  <si>
    <t>109,028.76 E</t>
  </si>
  <si>
    <t>118,795.34 E</t>
  </si>
  <si>
    <t>113,084.64 E</t>
  </si>
  <si>
    <t>122,762.89 E</t>
  </si>
  <si>
    <t>66,154.29 E</t>
  </si>
  <si>
    <t>109,042.52 E</t>
  </si>
  <si>
    <t>119,115.00 E</t>
  </si>
  <si>
    <t>113,370.50 E</t>
  </si>
  <si>
    <t>122,691.35 E</t>
  </si>
  <si>
    <t>132,118.00 E</t>
  </si>
  <si>
    <t>138,130.50 E</t>
  </si>
  <si>
    <t>147,284.00 E</t>
  </si>
  <si>
    <t>69,162.00 E</t>
  </si>
  <si>
    <t>111,629.00 E</t>
  </si>
  <si>
    <t>120,516.00 E</t>
  </si>
  <si>
    <t>115,238.00 E</t>
  </si>
  <si>
    <t>125,100.00 E</t>
  </si>
  <si>
    <t>133,113.00 E</t>
  </si>
  <si>
    <t>156,000.00 E</t>
  </si>
  <si>
    <t>159,321.00 E</t>
  </si>
  <si>
    <t>171,494.00 E</t>
  </si>
  <si>
    <t>184,110.00 E</t>
  </si>
  <si>
    <t>62,170.00 E</t>
  </si>
  <si>
    <t>102,373.00 E</t>
  </si>
  <si>
    <t>111,582.00 E</t>
  </si>
  <si>
    <t>106,894.00 E</t>
  </si>
  <si>
    <t>121,167.89 E</t>
  </si>
  <si>
    <t>129,985.00 E</t>
  </si>
  <si>
    <t>124,700.00 E</t>
  </si>
  <si>
    <t>133,994.42 E</t>
  </si>
  <si>
    <t>154,477.00 E</t>
  </si>
  <si>
    <t>180,927.00 E</t>
  </si>
  <si>
    <t>31/33</t>
  </si>
  <si>
    <t>35/38</t>
  </si>
  <si>
    <t>37/39</t>
  </si>
  <si>
    <t>42/44</t>
  </si>
  <si>
    <t>38/43</t>
  </si>
  <si>
    <t>28/37</t>
  </si>
  <si>
    <t>34/35</t>
  </si>
  <si>
    <t>Interest Expense</t>
  </si>
  <si>
    <t>2,873.00 A</t>
  </si>
  <si>
    <t>2,645.00 A</t>
  </si>
  <si>
    <t>334.00 A</t>
  </si>
  <si>
    <t>565.00 A</t>
  </si>
  <si>
    <t>269.00 A</t>
  </si>
  <si>
    <t>759.50 E</t>
  </si>
  <si>
    <t>796.80 E</t>
  </si>
  <si>
    <t>448.68 E</t>
  </si>
  <si>
    <t>2,830.00 E</t>
  </si>
  <si>
    <t>3,111.00 E</t>
  </si>
  <si>
    <t>194.83 E</t>
  </si>
  <si>
    <t>839.11 E</t>
  </si>
  <si>
    <t>197.00 E</t>
  </si>
  <si>
    <t>844.00 E</t>
  </si>
  <si>
    <t>723.00 E</t>
  </si>
  <si>
    <t>684.00 E</t>
  </si>
  <si>
    <t>520.00 E</t>
  </si>
  <si>
    <t>2,906.00 E</t>
  </si>
  <si>
    <t>864.00 E</t>
  </si>
  <si>
    <t>869.00 E</t>
  </si>
  <si>
    <t>1,200.00 E</t>
  </si>
  <si>
    <t>600.00 E</t>
  </si>
  <si>
    <t>2,754.00 E</t>
  </si>
  <si>
    <t>187.00 E</t>
  </si>
  <si>
    <t>794.00 E</t>
  </si>
  <si>
    <t>500.00 E</t>
  </si>
  <si>
    <t>226.03 E</t>
  </si>
  <si>
    <t>2/3</t>
  </si>
  <si>
    <t>1/3</t>
  </si>
  <si>
    <t>6/9</t>
  </si>
  <si>
    <t>9/14</t>
  </si>
  <si>
    <t>4/11</t>
  </si>
  <si>
    <t>5/8</t>
  </si>
  <si>
    <t>3/4</t>
  </si>
  <si>
    <t>EBT Normalized</t>
  </si>
  <si>
    <t>67,091.00 A</t>
  </si>
  <si>
    <t>109,207.00 A</t>
  </si>
  <si>
    <t>119,103.00 A</t>
  </si>
  <si>
    <t>113,736.00 A</t>
  </si>
  <si>
    <t>123,485.00 A</t>
  </si>
  <si>
    <t>131,461.98 E</t>
  </si>
  <si>
    <t>138,079.42 E</t>
  </si>
  <si>
    <t>149,443.84 E</t>
  </si>
  <si>
    <t>163,329.50 E</t>
  </si>
  <si>
    <t>183,005.50 E</t>
  </si>
  <si>
    <t>203,742.00 E</t>
  </si>
  <si>
    <t>219,067.00 E</t>
  </si>
  <si>
    <t>66,583.87 E</t>
  </si>
  <si>
    <t>109,695.05 E</t>
  </si>
  <si>
    <t>118,779.73 E</t>
  </si>
  <si>
    <t>112,442.49 E</t>
  </si>
  <si>
    <t>122,897.18 E</t>
  </si>
  <si>
    <t>66,916.44 E</t>
  </si>
  <si>
    <t>110,152.00 E</t>
  </si>
  <si>
    <t>118,842.00 E</t>
  </si>
  <si>
    <t>112,666.78 E</t>
  </si>
  <si>
    <t>122,924.00 E</t>
  </si>
  <si>
    <t>131,395.00 E</t>
  </si>
  <si>
    <t>137,830.50 E</t>
  </si>
  <si>
    <t>149,760.00 E</t>
  </si>
  <si>
    <t>69,889.00 E</t>
  </si>
  <si>
    <t>112,425.00 E</t>
  </si>
  <si>
    <t>120,329.00 E</t>
  </si>
  <si>
    <t>115,296.00 E</t>
  </si>
  <si>
    <t>124,400.00 E</t>
  </si>
  <si>
    <t>134,499.00 E</t>
  </si>
  <si>
    <t>159,424.00 E</t>
  </si>
  <si>
    <t>61,129.00 E</t>
  </si>
  <si>
    <t>101,836.00 E</t>
  </si>
  <si>
    <t>116,231.00 E</t>
  </si>
  <si>
    <t>106,050.00 E</t>
  </si>
  <si>
    <t>120,892.89 E</t>
  </si>
  <si>
    <t>129,123.00 E</t>
  </si>
  <si>
    <t>123,900.00 E</t>
  </si>
  <si>
    <t>134,227.95 E</t>
  </si>
  <si>
    <t>155,165.00 E</t>
  </si>
  <si>
    <t>181,901.00 E</t>
  </si>
  <si>
    <t>30/31</t>
  </si>
  <si>
    <t>31/32</t>
  </si>
  <si>
    <t>35/36</t>
  </si>
  <si>
    <t>32/35</t>
  </si>
  <si>
    <t>27/33</t>
  </si>
  <si>
    <t>15/15</t>
  </si>
  <si>
    <t>EBT (GAAP)</t>
  </si>
  <si>
    <t>131,403.46 E</t>
  </si>
  <si>
    <t>137,832.40 E</t>
  </si>
  <si>
    <t>149,348.03 E</t>
  </si>
  <si>
    <t>66,572.41 E</t>
  </si>
  <si>
    <t>109,800.41 E</t>
  </si>
  <si>
    <t>118,706.90 E</t>
  </si>
  <si>
    <t>112,421.76 E</t>
  </si>
  <si>
    <t>122,914.18 E</t>
  </si>
  <si>
    <t>66,692.20 E</t>
  </si>
  <si>
    <t>109,909.76 E</t>
  </si>
  <si>
    <t>118,746.50 E</t>
  </si>
  <si>
    <t>112,560.50 E</t>
  </si>
  <si>
    <t>149,872.50 E</t>
  </si>
  <si>
    <t>102,977.00 E</t>
  </si>
  <si>
    <t>28/28</t>
  </si>
  <si>
    <t>28/29</t>
  </si>
  <si>
    <t>30/30</t>
  </si>
  <si>
    <t>34/34</t>
  </si>
  <si>
    <t>28/30</t>
  </si>
  <si>
    <t>24/30</t>
  </si>
  <si>
    <t>12/12</t>
  </si>
  <si>
    <t>Effective Tax Rate (%)</t>
  </si>
  <si>
    <t>14.43 A</t>
  </si>
  <si>
    <t>13.30 A</t>
  </si>
  <si>
    <t>16.20 A</t>
  </si>
  <si>
    <t>14.72 A</t>
  </si>
  <si>
    <t>24.09 A</t>
  </si>
  <si>
    <t>15.78 E</t>
  </si>
  <si>
    <t>16.10 E</t>
  </si>
  <si>
    <t>15.86 E</t>
  </si>
  <si>
    <t>15.50 E</t>
  </si>
  <si>
    <t>15.00 E</t>
  </si>
  <si>
    <t>14.77 E</t>
  </si>
  <si>
    <t>14.19 E</t>
  </si>
  <si>
    <t>16.23 E</t>
  </si>
  <si>
    <t>15.07 E</t>
  </si>
  <si>
    <t>15.95 E</t>
  </si>
  <si>
    <t>14.80 E</t>
  </si>
  <si>
    <t>14.20 E</t>
  </si>
  <si>
    <t>16.20 E</t>
  </si>
  <si>
    <t>16.00 E</t>
  </si>
  <si>
    <t>15.80 E</t>
  </si>
  <si>
    <t>14.50 E</t>
  </si>
  <si>
    <t>17.20 E</t>
  </si>
  <si>
    <t>17.00 E</t>
  </si>
  <si>
    <t>14.40 E</t>
  </si>
  <si>
    <t>13.90 E</t>
  </si>
  <si>
    <t>14.70 E</t>
  </si>
  <si>
    <t>23/24</t>
  </si>
  <si>
    <t>24/24</t>
  </si>
  <si>
    <t>23/26</t>
  </si>
  <si>
    <t>16/22</t>
  </si>
  <si>
    <t>21/21</t>
  </si>
  <si>
    <t>Net Income Normalized</t>
  </si>
  <si>
    <t>57,411.00 A</t>
  </si>
  <si>
    <t>94,680.00 A</t>
  </si>
  <si>
    <t>99,803.00 A</t>
  </si>
  <si>
    <t>96,995.00 A</t>
  </si>
  <si>
    <t>103,982.00 A</t>
  </si>
  <si>
    <t>110,763.40 E</t>
  </si>
  <si>
    <t>115,815.37 E</t>
  </si>
  <si>
    <t>125,437.03 E</t>
  </si>
  <si>
    <t>137,972.50 E</t>
  </si>
  <si>
    <t>154,634.50 E</t>
  </si>
  <si>
    <t>173,181.00 E</t>
  </si>
  <si>
    <t>186,207.00 E</t>
  </si>
  <si>
    <t>56,829.51 E</t>
  </si>
  <si>
    <t>93,967.35 E</t>
  </si>
  <si>
    <t>99,652.55 E</t>
  </si>
  <si>
    <t>95,664.22 E</t>
  </si>
  <si>
    <t>103,308.44 E</t>
  </si>
  <si>
    <t>57,005.23 E</t>
  </si>
  <si>
    <t>94,247.40 E</t>
  </si>
  <si>
    <t>99,730.70 E</t>
  </si>
  <si>
    <t>95,787.59 E</t>
  </si>
  <si>
    <t>103,296.00 E</t>
  </si>
  <si>
    <t>110,723.50 E</t>
  </si>
  <si>
    <t>116,059.93 E</t>
  </si>
  <si>
    <t>126,067.12 E</t>
  </si>
  <si>
    <t>59,516.00 E</t>
  </si>
  <si>
    <t>96,361.00 E</t>
  </si>
  <si>
    <t>102,287.00 E</t>
  </si>
  <si>
    <t>96,848.00 E</t>
  </si>
  <si>
    <t>104,800.00 E</t>
  </si>
  <si>
    <t>112,979.00 E</t>
  </si>
  <si>
    <t>123,256.00 E</t>
  </si>
  <si>
    <t>133,916.00 E</t>
  </si>
  <si>
    <t>144,055.00 E</t>
  </si>
  <si>
    <t>154,653.00 E</t>
  </si>
  <si>
    <t>54,054.00 E</t>
  </si>
  <si>
    <t>86,939.00 E</t>
  </si>
  <si>
    <t>97,382.00 E</t>
  </si>
  <si>
    <t>92,361.00 E</t>
  </si>
  <si>
    <t>101,550.03 E</t>
  </si>
  <si>
    <t>108,677.00 E</t>
  </si>
  <si>
    <t>104,700.00 E</t>
  </si>
  <si>
    <t>112,751.48 E</t>
  </si>
  <si>
    <t>131,890.00 E</t>
  </si>
  <si>
    <t>154,616.00 E</t>
  </si>
  <si>
    <t>31/31</t>
  </si>
  <si>
    <t>36/36</t>
  </si>
  <si>
    <t>32/38</t>
  </si>
  <si>
    <t>28/34</t>
  </si>
  <si>
    <t>32/32</t>
  </si>
  <si>
    <t>16/16</t>
  </si>
  <si>
    <t>Net Income (GAAP)</t>
  </si>
  <si>
    <t>93,736.00 A</t>
  </si>
  <si>
    <t>110,712.97 E</t>
  </si>
  <si>
    <t>115,464.08 E</t>
  </si>
  <si>
    <t>124,950.62 E</t>
  </si>
  <si>
    <t>56,825.13 E</t>
  </si>
  <si>
    <t>93,965.59 E</t>
  </si>
  <si>
    <t>99,611.40 E</t>
  </si>
  <si>
    <t>95,564.28 E</t>
  </si>
  <si>
    <t>93,310.94 E</t>
  </si>
  <si>
    <t>56,847.33 E</t>
  </si>
  <si>
    <t>94,187.80 E</t>
  </si>
  <si>
    <t>99,650.00 E</t>
  </si>
  <si>
    <t>95,698.00 E</t>
  </si>
  <si>
    <t>93,288.52 E</t>
  </si>
  <si>
    <t>110,696.00 E</t>
  </si>
  <si>
    <t>115,777.50 E</t>
  </si>
  <si>
    <t>125,798.00 E</t>
  </si>
  <si>
    <t>93,605.74 E</t>
  </si>
  <si>
    <t>92,149.00 E</t>
  </si>
  <si>
    <t>93,061.00 E</t>
  </si>
  <si>
    <t>37/37</t>
  </si>
  <si>
    <t>4/38</t>
  </si>
  <si>
    <t>29/36</t>
  </si>
  <si>
    <t>Net Debt</t>
  </si>
  <si>
    <t>(79,394.00) A</t>
  </si>
  <si>
    <t>(65,797.00) A</t>
  </si>
  <si>
    <t>(49,040.00) A</t>
  </si>
  <si>
    <t>(51,011.00) A</t>
  </si>
  <si>
    <t>(50,021.00) A</t>
  </si>
  <si>
    <t>(40,468.55) E</t>
  </si>
  <si>
    <t>(35,343.10) E</t>
  </si>
  <si>
    <t>(31,152.52) E</t>
  </si>
  <si>
    <t>(72,446.81) E</t>
  </si>
  <si>
    <t>(78,375.83) E</t>
  </si>
  <si>
    <t>(56,568.16) E</t>
  </si>
  <si>
    <t>(55,521.75) E</t>
  </si>
  <si>
    <t>(48,084.60) E</t>
  </si>
  <si>
    <t>(73,178.25) E</t>
  </si>
  <si>
    <t>(80,225.24) E</t>
  </si>
  <si>
    <t>(56,957.61) E</t>
  </si>
  <si>
    <t>(55,248.04) E</t>
  </si>
  <si>
    <t>(49,890.89) E</t>
  </si>
  <si>
    <t>(34,490.44) E</t>
  </si>
  <si>
    <t>(29,435.21) E</t>
  </si>
  <si>
    <t>(66,831.00) E</t>
  </si>
  <si>
    <t>(68,064.14) E</t>
  </si>
  <si>
    <t>(52,383.00) E</t>
  </si>
  <si>
    <t>(49,079.00) E</t>
  </si>
  <si>
    <t>(37,316.04) E</t>
  </si>
  <si>
    <t>(29,184.00) E</t>
  </si>
  <si>
    <t>(27,684.00) E</t>
  </si>
  <si>
    <t>(21,525.30) E</t>
  </si>
  <si>
    <t>(75,849.00) E</t>
  </si>
  <si>
    <t>(87,611.00) E</t>
  </si>
  <si>
    <t>(58,892.00) E</t>
  </si>
  <si>
    <t>(61,002.00) E</t>
  </si>
  <si>
    <t>(55,955.00) E</t>
  </si>
  <si>
    <t>(56,099.00) E</t>
  </si>
  <si>
    <t>(54,818.00) E</t>
  </si>
  <si>
    <t>(40,779.74) E</t>
  </si>
  <si>
    <t>7/10</t>
  </si>
  <si>
    <t>6/11</t>
  </si>
  <si>
    <t>6/14</t>
  </si>
  <si>
    <t>5/11</t>
  </si>
  <si>
    <t>2/9</t>
  </si>
  <si>
    <t>TEV</t>
  </si>
  <si>
    <t>1,755,856.50 E</t>
  </si>
  <si>
    <t>2,321,680.40 E</t>
  </si>
  <si>
    <t>2,374,424.45 E</t>
  </si>
  <si>
    <t>2,573,292.05 E</t>
  </si>
  <si>
    <t>3,207,267.74 E</t>
  </si>
  <si>
    <t>3,085,489.88 E</t>
  </si>
  <si>
    <t>3,080,272.44 E</t>
  </si>
  <si>
    <t>3,084,775.15 E</t>
  </si>
  <si>
    <t>3,419,583.00 E</t>
  </si>
  <si>
    <t>3,499,849.50 E</t>
  </si>
  <si>
    <t>3,193,008.00 E</t>
  </si>
  <si>
    <t>3,208,307.00 E</t>
  </si>
  <si>
    <t>1,858,660.78 E</t>
  </si>
  <si>
    <t>2,333,578.52 E</t>
  </si>
  <si>
    <t>2,404,588.00 E</t>
  </si>
  <si>
    <t>2,542,621.69 E</t>
  </si>
  <si>
    <t>3,250,809.47 E</t>
  </si>
  <si>
    <t>3,095,563.40 E</t>
  </si>
  <si>
    <t>3,026,386.34 E</t>
  </si>
  <si>
    <t>3,030,760.84 E</t>
  </si>
  <si>
    <t>1,918,285.54 E</t>
  </si>
  <si>
    <t>2,533,560.00 E</t>
  </si>
  <si>
    <t>2,493,664.96 E</t>
  </si>
  <si>
    <t>2,664,904.60 E</t>
  </si>
  <si>
    <t>3,498,974.30 E</t>
  </si>
  <si>
    <t>3,284,362.00 E</t>
  </si>
  <si>
    <t>3,427,910.00 E</t>
  </si>
  <si>
    <t>3,563,791.00 E</t>
  </si>
  <si>
    <t>3,700,082.00 E</t>
  </si>
  <si>
    <t>3,838,745.00 E</t>
  </si>
  <si>
    <t>1,337,212.48 E</t>
  </si>
  <si>
    <t>2,090,149.34 E</t>
  </si>
  <si>
    <t>2,171,250.26 E</t>
  </si>
  <si>
    <t>2,509,291.00 E</t>
  </si>
  <si>
    <t>2,836,900.00 E</t>
  </si>
  <si>
    <t>2,881,814.19 E</t>
  </si>
  <si>
    <t>2,869,942.54 E</t>
  </si>
  <si>
    <t>2,754,806.87 E</t>
  </si>
  <si>
    <t>3,139,084.00 E</t>
  </si>
  <si>
    <t>3,160,954.00 E</t>
  </si>
  <si>
    <t>Depreciation &amp; Amortization</t>
  </si>
  <si>
    <t>11,056.00 A</t>
  </si>
  <si>
    <t>11,284.00 A</t>
  </si>
  <si>
    <t>11,104.00 A</t>
  </si>
  <si>
    <t>11,519.00 A</t>
  </si>
  <si>
    <t>11,445.00 A</t>
  </si>
  <si>
    <t>11,618.78 E</t>
  </si>
  <si>
    <t>12,021.49 E</t>
  </si>
  <si>
    <t>12,323.99 E</t>
  </si>
  <si>
    <t>11,094.00 E</t>
  </si>
  <si>
    <t>11,601.00 E</t>
  </si>
  <si>
    <t>15,129.00 E</t>
  </si>
  <si>
    <t>16,032.00 E</t>
  </si>
  <si>
    <t>11,239.73 E</t>
  </si>
  <si>
    <t>11,474.93 E</t>
  </si>
  <si>
    <t>11,312.90 E</t>
  </si>
  <si>
    <t>11,883.65 E</t>
  </si>
  <si>
    <t>11,531.64 E</t>
  </si>
  <si>
    <t>11,152.00 E</t>
  </si>
  <si>
    <t>11,186.00 E</t>
  </si>
  <si>
    <t>11,106.50 E</t>
  </si>
  <si>
    <t>11,866.00 E</t>
  </si>
  <si>
    <t>11,419.50 E</t>
  </si>
  <si>
    <t>11,560.50 E</t>
  </si>
  <si>
    <t>12,152.00 E</t>
  </si>
  <si>
    <t>12,929.00 E</t>
  </si>
  <si>
    <t>12,096.00 E</t>
  </si>
  <si>
    <t>14,000.00 E</t>
  </si>
  <si>
    <t>14,400.00 E</t>
  </si>
  <si>
    <t>12,860.00 E</t>
  </si>
  <si>
    <t>13,549.12 E</t>
  </si>
  <si>
    <t>13,703.00 E</t>
  </si>
  <si>
    <t>13,347.00 E</t>
  </si>
  <si>
    <t>14,143.00 E</t>
  </si>
  <si>
    <t>11,666.00 E</t>
  </si>
  <si>
    <t>12,904.00 E</t>
  </si>
  <si>
    <t>10,584.00 E</t>
  </si>
  <si>
    <t>9,559.00 E</t>
  </si>
  <si>
    <t>9,956.00 E</t>
  </si>
  <si>
    <t>10,700.00 E</t>
  </si>
  <si>
    <t>11,025.37 E</t>
  </si>
  <si>
    <t>9,939.00 E</t>
  </si>
  <si>
    <t>9,402.00 E</t>
  </si>
  <si>
    <t>10,052.00 E</t>
  </si>
  <si>
    <t>10,522.00 E</t>
  </si>
  <si>
    <t>10,298.00 E</t>
  </si>
  <si>
    <t>20/20</t>
  </si>
  <si>
    <t>23/23</t>
  </si>
  <si>
    <t>Cash From Operations</t>
  </si>
  <si>
    <t>80,674.00 A</t>
  </si>
  <si>
    <t>104,038.00 A</t>
  </si>
  <si>
    <t>122,151.00 A</t>
  </si>
  <si>
    <t>110,543.00 A</t>
  </si>
  <si>
    <t>118,254.00 A</t>
  </si>
  <si>
    <t>123,738.45 E</t>
  </si>
  <si>
    <t>141,388.50 E</t>
  </si>
  <si>
    <t>150,431.00 E</t>
  </si>
  <si>
    <t>180,186.00 E</t>
  </si>
  <si>
    <t>201,026.00 E</t>
  </si>
  <si>
    <t>210,628.00 E</t>
  </si>
  <si>
    <t>229,479.00 E</t>
  </si>
  <si>
    <t>80,426.98 E</t>
  </si>
  <si>
    <t>113,662.20 E</t>
  </si>
  <si>
    <t>123,658.16 E</t>
  </si>
  <si>
    <t>117,057.42 E</t>
  </si>
  <si>
    <t>118,223.95 E</t>
  </si>
  <si>
    <t>78,663.00 E</t>
  </si>
  <si>
    <t>114,484.00 E</t>
  </si>
  <si>
    <t>123,172.00 E</t>
  </si>
  <si>
    <t>117,380.50 E</t>
  </si>
  <si>
    <t>116,202.00 E</t>
  </si>
  <si>
    <t>122,940.00 E</t>
  </si>
  <si>
    <t>139,540.00 E</t>
  </si>
  <si>
    <t>151,592.50 E</t>
  </si>
  <si>
    <t>109,305.00 E</t>
  </si>
  <si>
    <t>140,183.00 E</t>
  </si>
  <si>
    <t>145,174.00 E</t>
  </si>
  <si>
    <t>134,577.00 E</t>
  </si>
  <si>
    <t>141,156.00 E</t>
  </si>
  <si>
    <t>153,962.00 E</t>
  </si>
  <si>
    <t>167,794.00 E</t>
  </si>
  <si>
    <t>183,372.00 E</t>
  </si>
  <si>
    <t>193,903.00 E</t>
  </si>
  <si>
    <t>205,116.00 E</t>
  </si>
  <si>
    <t>65,271.00 E</t>
  </si>
  <si>
    <t>100,188.00 E</t>
  </si>
  <si>
    <t>105,200.00 E</t>
  </si>
  <si>
    <t>103,119.00 E</t>
  </si>
  <si>
    <t>104,615.00 E</t>
  </si>
  <si>
    <t>98,118.00 E</t>
  </si>
  <si>
    <t>121,313.00 E</t>
  </si>
  <si>
    <t>110,753.00 E</t>
  </si>
  <si>
    <t>166,469.00 E</t>
  </si>
  <si>
    <t>196,936.00 E</t>
  </si>
  <si>
    <t>16/18</t>
  </si>
  <si>
    <t>Free Cash Flow</t>
  </si>
  <si>
    <t>73,365.00 A</t>
  </si>
  <si>
    <t>92,953.00 A</t>
  </si>
  <si>
    <t>111,443.00 A</t>
  </si>
  <si>
    <t>99,584.00 A</t>
  </si>
  <si>
    <t>108,807.00 A</t>
  </si>
  <si>
    <t>110,655.87 E</t>
  </si>
  <si>
    <t>121,928.73 E</t>
  </si>
  <si>
    <t>137,619.13 E</t>
  </si>
  <si>
    <t>162,058.67 E</t>
  </si>
  <si>
    <t>179,184.00 E</t>
  </si>
  <si>
    <t>195,499.00 E</t>
  </si>
  <si>
    <t>213,447.00 E</t>
  </si>
  <si>
    <t>71,478.90 E</t>
  </si>
  <si>
    <t>101,413.64 E</t>
  </si>
  <si>
    <t>110,870.55 E</t>
  </si>
  <si>
    <t>104,437.63 E</t>
  </si>
  <si>
    <t>108,520.51 E</t>
  </si>
  <si>
    <t>70,454.00 E</t>
  </si>
  <si>
    <t>101,291.00 E</t>
  </si>
  <si>
    <t>111,501.50 E</t>
  </si>
  <si>
    <t>105,237.50 E</t>
  </si>
  <si>
    <t>109,107.72 E</t>
  </si>
  <si>
    <t>110,431.00 E</t>
  </si>
  <si>
    <t>123,923.00 E</t>
  </si>
  <si>
    <t>142,414.50 E</t>
  </si>
  <si>
    <t>155,000.00 E</t>
  </si>
  <si>
    <t>184,032.00 E</t>
  </si>
  <si>
    <t>100,221.00 E</t>
  </si>
  <si>
    <t>113,670.00 E</t>
  </si>
  <si>
    <t>118,132.00 E</t>
  </si>
  <si>
    <t>110,500.00 E</t>
  </si>
  <si>
    <t>120,234.00 E</t>
  </si>
  <si>
    <t>143,905.00 E</t>
  </si>
  <si>
    <t>152,384.00 E</t>
  </si>
  <si>
    <t>166,877.00 E</t>
  </si>
  <si>
    <t>176,373.00 E</t>
  </si>
  <si>
    <t>186,520.00 E</t>
  </si>
  <si>
    <t>55,776.00 E</t>
  </si>
  <si>
    <t>89,830.00 E</t>
  </si>
  <si>
    <t>95,200.00 E</t>
  </si>
  <si>
    <t>91,596.00 E</t>
  </si>
  <si>
    <t>95,603.00 E</t>
  </si>
  <si>
    <t>84,351.00 E</t>
  </si>
  <si>
    <t>99,522.00 E</t>
  </si>
  <si>
    <t>102,708.00 E</t>
  </si>
  <si>
    <t>154,803.00 E</t>
  </si>
  <si>
    <t>167,000.00 E</t>
  </si>
  <si>
    <t>13/15</t>
  </si>
  <si>
    <t>11/13</t>
  </si>
  <si>
    <t>14/15</t>
  </si>
  <si>
    <t>15/18</t>
  </si>
  <si>
    <t>8/9</t>
  </si>
  <si>
    <t>3/3</t>
  </si>
  <si>
    <t>Capital Expenditures</t>
  </si>
  <si>
    <t>7,309.00 A</t>
  </si>
  <si>
    <t>11,085.00 A</t>
  </si>
  <si>
    <t>10,708.00 A</t>
  </si>
  <si>
    <t>10,959.00 A</t>
  </si>
  <si>
    <t>9,447.00 A</t>
  </si>
  <si>
    <t>11,813.41 E</t>
  </si>
  <si>
    <t>12,949.41 E</t>
  </si>
  <si>
    <t>12,658.63 E</t>
  </si>
  <si>
    <t>14,598.00 E</t>
  </si>
  <si>
    <t>15,750.00 E</t>
  </si>
  <si>
    <t>8,256.83 E</t>
  </si>
  <si>
    <t>10,649.15 E</t>
  </si>
  <si>
    <t>10,396.37 E</t>
  </si>
  <si>
    <t>11,572.79 E</t>
  </si>
  <si>
    <t>9,712.36 E</t>
  </si>
  <si>
    <t>8,325.50 E</t>
  </si>
  <si>
    <t>10,360.00 E</t>
  </si>
  <si>
    <t>10,432.00 E</t>
  </si>
  <si>
    <t>11,534.50 E</t>
  </si>
  <si>
    <t>9,289.00 E</t>
  </si>
  <si>
    <t>12,161.50 E</t>
  </si>
  <si>
    <t>12,700.00 E</t>
  </si>
  <si>
    <t>12,675.50 E</t>
  </si>
  <si>
    <t>9,495.00 E</t>
  </si>
  <si>
    <t>14,248.00 E</t>
  </si>
  <si>
    <t>11,757.00 E</t>
  </si>
  <si>
    <t>12,366.00 E</t>
  </si>
  <si>
    <t>12,000.00 E</t>
  </si>
  <si>
    <t>13,766.00 E</t>
  </si>
  <si>
    <t>18,191.00 E</t>
  </si>
  <si>
    <t>16,495.00 E</t>
  </si>
  <si>
    <t>17,530.00 E</t>
  </si>
  <si>
    <t>18,596.00 E</t>
  </si>
  <si>
    <t>7,081.00 E</t>
  </si>
  <si>
    <t>9,538.00 E</t>
  </si>
  <si>
    <t>9,419.00 E</t>
  </si>
  <si>
    <t>10,889.00 E</t>
  </si>
  <si>
    <t>7,781.00 E</t>
  </si>
  <si>
    <t>8,307.00 E</t>
  </si>
  <si>
    <t>9,000.00 E</t>
  </si>
  <si>
    <t>8,000.00 E</t>
  </si>
  <si>
    <t>16/20</t>
  </si>
  <si>
    <t>22/24</t>
  </si>
  <si>
    <t>10/12</t>
  </si>
  <si>
    <t>Gross Margin (%)</t>
  </si>
  <si>
    <t>38.23 A</t>
  </si>
  <si>
    <t>41.78 A</t>
  </si>
  <si>
    <t>43.31 A</t>
  </si>
  <si>
    <t>44.13 A</t>
  </si>
  <si>
    <t>46.21 A</t>
  </si>
  <si>
    <t>46.79 E</t>
  </si>
  <si>
    <t>46.86 E</t>
  </si>
  <si>
    <t>47.36 E</t>
  </si>
  <si>
    <t>49.20 E</t>
  </si>
  <si>
    <t>50.00 E</t>
  </si>
  <si>
    <t>51.00 E</t>
  </si>
  <si>
    <t>52.00 E</t>
  </si>
  <si>
    <t>38.18 E</t>
  </si>
  <si>
    <t>41.84 E</t>
  </si>
  <si>
    <t>43.17 E</t>
  </si>
  <si>
    <t>43.96 E</t>
  </si>
  <si>
    <t>46.10 E</t>
  </si>
  <si>
    <t>38.20 E</t>
  </si>
  <si>
    <t>41.70 E</t>
  </si>
  <si>
    <t>43.30 E</t>
  </si>
  <si>
    <t>44.00 E</t>
  </si>
  <si>
    <t>46.17 E</t>
  </si>
  <si>
    <t>46.73 E</t>
  </si>
  <si>
    <t>46.90 E</t>
  </si>
  <si>
    <t>47.30 E</t>
  </si>
  <si>
    <t>38.40 E</t>
  </si>
  <si>
    <t>44.50 E</t>
  </si>
  <si>
    <t>43.50 E</t>
  </si>
  <si>
    <t>44.40 E</t>
  </si>
  <si>
    <t>46.30 E</t>
  </si>
  <si>
    <t>47.04 E</t>
  </si>
  <si>
    <t>48.10 E</t>
  </si>
  <si>
    <t>48.90 E</t>
  </si>
  <si>
    <t>49.40 E</t>
  </si>
  <si>
    <t>38.00 E</t>
  </si>
  <si>
    <t>41.20 E</t>
  </si>
  <si>
    <t>41.40 E</t>
  </si>
  <si>
    <t>43.40 E</t>
  </si>
  <si>
    <t>45.00 E</t>
  </si>
  <si>
    <t>46.60 E</t>
  </si>
  <si>
    <t>49.00 E</t>
  </si>
  <si>
    <t>27/27</t>
  </si>
  <si>
    <t>29/29</t>
  </si>
  <si>
    <t>30/32</t>
  </si>
  <si>
    <t>23/31</t>
  </si>
  <si>
    <t>ROE (%)</t>
  </si>
  <si>
    <t>73.69 A</t>
  </si>
  <si>
    <t>147.44 A</t>
  </si>
  <si>
    <t>175.46 A</t>
  </si>
  <si>
    <t>171.95 A</t>
  </si>
  <si>
    <t>157.41 A</t>
  </si>
  <si>
    <t>178.70 E</t>
  </si>
  <si>
    <t>182.80 E</t>
  </si>
  <si>
    <t>138.40 E</t>
  </si>
  <si>
    <t>71.46 E</t>
  </si>
  <si>
    <t>145.61 E</t>
  </si>
  <si>
    <t>161.74 E</t>
  </si>
  <si>
    <t>172.32 E</t>
  </si>
  <si>
    <t>164.72 E</t>
  </si>
  <si>
    <t>72.30 E</t>
  </si>
  <si>
    <t>144.11 E</t>
  </si>
  <si>
    <t>165.39 E</t>
  </si>
  <si>
    <t>172.59 E</t>
  </si>
  <si>
    <t>162.32 E</t>
  </si>
  <si>
    <t>178.64 E</t>
  </si>
  <si>
    <t>166.30 E</t>
  </si>
  <si>
    <t>137.16 E</t>
  </si>
  <si>
    <t>75.46 E</t>
  </si>
  <si>
    <t>172.40 E</t>
  </si>
  <si>
    <t>171.77 E</t>
  </si>
  <si>
    <t>188.90 E</t>
  </si>
  <si>
    <t>200.00 E</t>
  </si>
  <si>
    <t>210.70 E</t>
  </si>
  <si>
    <t>289.30 E</t>
  </si>
  <si>
    <t>151.20 E</t>
  </si>
  <si>
    <t>62.87 E</t>
  </si>
  <si>
    <t>132.60 E</t>
  </si>
  <si>
    <t>139.19 E</t>
  </si>
  <si>
    <t>154.50 E</t>
  </si>
  <si>
    <t>142.20 E</t>
  </si>
  <si>
    <t>153.04 E</t>
  </si>
  <si>
    <t>144.60 E</t>
  </si>
  <si>
    <t>128.09 E</t>
  </si>
  <si>
    <t>7/8</t>
  </si>
  <si>
    <t>11/18</t>
  </si>
  <si>
    <t>13/17</t>
  </si>
  <si>
    <t>12/19</t>
  </si>
  <si>
    <t>4/10</t>
  </si>
  <si>
    <t>ROA (%)</t>
  </si>
  <si>
    <t>17.33 A</t>
  </si>
  <si>
    <t>28.06 A</t>
  </si>
  <si>
    <t>28.36 A</t>
  </si>
  <si>
    <t>27.50 A</t>
  </si>
  <si>
    <t>26.13 A</t>
  </si>
  <si>
    <t>30.87 E</t>
  </si>
  <si>
    <t>32.44 E</t>
  </si>
  <si>
    <t>34.26 E</t>
  </si>
  <si>
    <t>46.00 E</t>
  </si>
  <si>
    <t>51.20 E</t>
  </si>
  <si>
    <t>17.27 E</t>
  </si>
  <si>
    <t>28.01 E</t>
  </si>
  <si>
    <t>28.62 E</t>
  </si>
  <si>
    <t>27.64 E</t>
  </si>
  <si>
    <t>29.76 E</t>
  </si>
  <si>
    <t>28.10 E</t>
  </si>
  <si>
    <t>28.58 E</t>
  </si>
  <si>
    <t>27.80 E</t>
  </si>
  <si>
    <t>29.94 E</t>
  </si>
  <si>
    <t>30.85 E</t>
  </si>
  <si>
    <t>31.80 E</t>
  </si>
  <si>
    <t>33.10 E</t>
  </si>
  <si>
    <t>18.00 E</t>
  </si>
  <si>
    <t>29.80 E</t>
  </si>
  <si>
    <t>31.10 E</t>
  </si>
  <si>
    <t>30.90 E</t>
  </si>
  <si>
    <t>32.00 E</t>
  </si>
  <si>
    <t>35.30 E</t>
  </si>
  <si>
    <t>40.70 E</t>
  </si>
  <si>
    <t>16.69 E</t>
  </si>
  <si>
    <t>26.40 E</t>
  </si>
  <si>
    <t>26.70 E</t>
  </si>
  <si>
    <t>27.00 E</t>
  </si>
  <si>
    <t>28.40 E</t>
  </si>
  <si>
    <t>30.20 E</t>
  </si>
  <si>
    <t>8/10</t>
  </si>
  <si>
    <t>Up and Down arrows represent positive and negative surprise, respectively.</t>
  </si>
  <si>
    <t>Share and per share items are in actual magnitude.</t>
  </si>
  <si>
    <t>Number of Analysts represents the total number of analysts forecasting for a specified data item and period end. Suppressed estimates are not included in the calculation of estimates.</t>
  </si>
  <si>
    <t>Apple Inc. | Consensus</t>
  </si>
  <si>
    <t>BIC data used with permission of S.W.I.F.T. SCRL. Database rights reserved 2025.</t>
  </si>
  <si>
    <t>Intraday data is available for certain exchanges. In all cases, the data is at least 15 minutes delayed.</t>
  </si>
  <si>
    <t>* Market value is calculated using the closing price 202.38 USD as of 08/01/2025</t>
  </si>
  <si>
    <t>No</t>
  </si>
  <si>
    <t>Berkshire Hathaway Inc.</t>
  </si>
  <si>
    <t>Geode Capital Management LLC</t>
  </si>
  <si>
    <t>State Street Global Advisors Inc.</t>
  </si>
  <si>
    <t>BlackRock Inc.</t>
  </si>
  <si>
    <t>Vanguard Group Inc.</t>
  </si>
  <si>
    <t>Quarterly Trend</t>
  </si>
  <si>
    <t>Institution is an Activist?</t>
  </si>
  <si>
    <t>Market Value ($M)*</t>
  </si>
  <si>
    <t>Percent of Common Shares Outstanding (%)</t>
  </si>
  <si>
    <t>Common Stock Equivalent Held (Actual)</t>
  </si>
  <si>
    <t>MI Key</t>
  </si>
  <si>
    <t>Holder</t>
  </si>
  <si>
    <t>Top Holders</t>
  </si>
  <si>
    <t>Other Lines of Business</t>
  </si>
  <si>
    <t>WI</t>
  </si>
  <si>
    <t>CRMO-131353868</t>
  </si>
  <si>
    <t>WY</t>
  </si>
  <si>
    <t>CRMO-131353979</t>
  </si>
  <si>
    <t>NV</t>
  </si>
  <si>
    <t>CRMO-131353952 / 74047</t>
  </si>
  <si>
    <t>CRMO-131623110</t>
  </si>
  <si>
    <t>OR</t>
  </si>
  <si>
    <t>CRMO-131625315 / OB CRMO-131625315</t>
  </si>
  <si>
    <t>Rate Change (%)</t>
  </si>
  <si>
    <t>Filing Date</t>
  </si>
  <si>
    <t>Type of Insurance</t>
  </si>
  <si>
    <t>State</t>
  </si>
  <si>
    <t>SERFF Tracking # / State Tracking #</t>
  </si>
  <si>
    <t>U.S. Insurance Product Filings</t>
  </si>
  <si>
    <t>Conference</t>
  </si>
  <si>
    <t>Earnings Release Date, Estimated</t>
  </si>
  <si>
    <t>Earnings Call</t>
  </si>
  <si>
    <t>Recent Events</t>
  </si>
  <si>
    <t>Ex-Dividend Date, Regular</t>
  </si>
  <si>
    <t>Upcoming Events</t>
  </si>
  <si>
    <t>Events</t>
  </si>
  <si>
    <t>Lawsuits &amp; Legal Issues</t>
  </si>
  <si>
    <t>Pomerantz Law Firm Announces the Filing of a Class Action Against Apple Inc. and Certain Officers - AAPL</t>
  </si>
  <si>
    <t>Apple Inc., Q3 2025 Earnings Call, Jul 31, 2025</t>
  </si>
  <si>
    <t>Announcement of Earnings</t>
  </si>
  <si>
    <t>Apple Inc. Reports Earnings Results for the Third Quarter and Nine Months Ended June 28, 2025</t>
  </si>
  <si>
    <t>Apple Inc. expected to report Q3 2025 results on July 31, 2025.</t>
  </si>
  <si>
    <t>Seeking Acquisition or Investment</t>
  </si>
  <si>
    <t>Apple to Seek M&amp;A</t>
  </si>
  <si>
    <t>Key Developments</t>
  </si>
  <si>
    <t>Proxy (DEFA14A)</t>
  </si>
  <si>
    <t>Proxy (DEF 14A)</t>
  </si>
  <si>
    <t>Proxy (PX14A6G)</t>
  </si>
  <si>
    <t>ESG Filing (Sustainability Report)</t>
  </si>
  <si>
    <t>ESG Filing (Environmental Report)</t>
  </si>
  <si>
    <t>Financial Supplement (FIN SUPP)</t>
  </si>
  <si>
    <t>Earnings Release (ER)</t>
  </si>
  <si>
    <t>Transcript (Earnings Call)</t>
  </si>
  <si>
    <t>Transcript (Audio Transcript)</t>
  </si>
  <si>
    <t>10-Q</t>
  </si>
  <si>
    <t>10-K</t>
  </si>
  <si>
    <t>Documents and Transcripts</t>
  </si>
  <si>
    <t>DOW JONES Barron's: These Stocks Are Moving the Most Today: Apple, Amazon, Figma, Reddit, Eastman Chemical, MicroStrategy, Coinbase, and More -- Barrons.com - 3 days ago</t>
  </si>
  <si>
    <t>KAGAN Broadcast Investor: Sports media market: Dallas-Fort Worth, Texas - 3 days ago</t>
  </si>
  <si>
    <t>DOW JONES Barron's: These Stocks Moved the Most Today: Apple, Amazon, Figma, Reddit, Eastman Chemical, MicroStrategy, Coinbase, and More -- Barrons.com - 3 days ago</t>
  </si>
  <si>
    <t>DOW JONES Barron's: Shell Unit Bought Up Nvidia, Apple, and Microsoft Stock -- Barron's - 2 days ago</t>
  </si>
  <si>
    <t>DOW JONES The Wall Street Journal: Scrutiny of Claims on AI Products Leads Technology Giants to Backpedal on Them -- WSJ - 13 hours ago</t>
  </si>
  <si>
    <t>News</t>
  </si>
  <si>
    <t>Latest Activity</t>
  </si>
  <si>
    <t>1,000.00 ($M)</t>
  </si>
  <si>
    <t>Completed on 5/5/2025</t>
  </si>
  <si>
    <t>Debt Capital Markets</t>
  </si>
  <si>
    <t>Apple Inc. - Non-convertible Debt</t>
  </si>
  <si>
    <t>1,500.00 ($M)</t>
  </si>
  <si>
    <t>Completed on 5/27/2025</t>
  </si>
  <si>
    <t>Acquisition of Whole Company (incl. Majority Stake)</t>
  </si>
  <si>
    <t>Apple Inc. acquires RAC7 Games Inc.</t>
  </si>
  <si>
    <t>365.00 ($M)</t>
  </si>
  <si>
    <t>Announced on 7/29/2025</t>
  </si>
  <si>
    <t>Acquisition of Asset or Branch</t>
  </si>
  <si>
    <t>Apple Inc. to acquire Mathilda Campus in Sunnyvale</t>
  </si>
  <si>
    <t>Transactions</t>
  </si>
  <si>
    <t>The date on which an issue or issuer credit rating was last formally reviewed (within a 12 month period) or the last credit rating action date. For certain dependent instruments, the last review date will only be updated in the event of a credit rating change of the linked organization.</t>
  </si>
  <si>
    <t>Stable</t>
  </si>
  <si>
    <t>AA+</t>
  </si>
  <si>
    <t xml:space="preserve">Issuer Credit Rating (Foreign Currency LT) </t>
  </si>
  <si>
    <t>S&amp;P Global Ratings</t>
  </si>
  <si>
    <t>CREDIT WATCH / OUTLOOK DATE</t>
  </si>
  <si>
    <t>CREDIT WATCH / OUTLOOK</t>
  </si>
  <si>
    <t>LAST REVIEW DATE</t>
  </si>
  <si>
    <t>RATING DATE</t>
  </si>
  <si>
    <t>RATING</t>
  </si>
  <si>
    <t>DEBT TYPE (RATING TYPE)</t>
  </si>
  <si>
    <t>AGENCY</t>
  </si>
  <si>
    <t>Agency Ratings</t>
  </si>
  <si>
    <t>【华泰研究 — 电子】苹果(Apple) (AAPL US, 买入): 核心流量入口，AI时代或成为后发赢家</t>
  </si>
  <si>
    <t>4/13/2025 9:30 AM</t>
  </si>
  <si>
    <t>Chunsheng "Charlie" Xie</t>
  </si>
  <si>
    <t>Huatai Research</t>
  </si>
  <si>
    <t>【Huatai Research】Apple Inc (AAPL US, BUY): A Core Traffic Portal, Apple Could Be a Late Bloomer in AI Era</t>
  </si>
  <si>
    <t>4/21/2025 9:00 PM</t>
  </si>
  <si>
    <t>【华泰研究 — 电子】苹果(Apple) (AAPL US, 买入): WWDC25：市场忽视的AI战略与进展</t>
  </si>
  <si>
    <t>6/15/2025 1:18 AM</t>
  </si>
  <si>
    <t>【Huatai Research】Apple Inc (AAPL US, BUY): WWDC25: AI Strategy &amp; Progress Overlooked by Market</t>
  </si>
  <si>
    <t>6/15/2025 9:41 PM</t>
  </si>
  <si>
    <t>Chunsheng Xie</t>
  </si>
  <si>
    <t>【华泰研究 — 电子】苹果(Apple) (AAPL US, 买入): FY4Q25指引好于市场预期</t>
  </si>
  <si>
    <t>8/3/2025 10:54 AM</t>
  </si>
  <si>
    <t>HEADLINE</t>
  </si>
  <si>
    <t>DATE/TIME</t>
  </si>
  <si>
    <t>ANALYST</t>
  </si>
  <si>
    <t>CONTRIBUTOR</t>
  </si>
  <si>
    <t>Investment &amp; Market Research</t>
  </si>
  <si>
    <t>EBITDA   ($000)</t>
  </si>
  <si>
    <t>Revenue  ($000)</t>
  </si>
  <si>
    <t>EPS      ($)</t>
  </si>
  <si>
    <t>NTM</t>
  </si>
  <si>
    <t>Next Year
( '26)</t>
  </si>
  <si>
    <t>Current Year
( '25)</t>
  </si>
  <si>
    <t>Next Qtr
(1Q '26)</t>
  </si>
  <si>
    <t>Current Qtr
(4Q '25)</t>
  </si>
  <si>
    <t>TEV/ EBIT</t>
  </si>
  <si>
    <t>PEG</t>
  </si>
  <si>
    <t>P/ CFPS</t>
  </si>
  <si>
    <t>P/ BV</t>
  </si>
  <si>
    <t>PE</t>
  </si>
  <si>
    <t>2025FY</t>
  </si>
  <si>
    <t>Forward Multiples</t>
  </si>
  <si>
    <t>Estimates</t>
  </si>
  <si>
    <t>&gt;5°C</t>
  </si>
  <si>
    <t>Current Alignment</t>
  </si>
  <si>
    <t>Paris Alignment</t>
  </si>
  <si>
    <t>113,753,062.70</t>
  </si>
  <si>
    <t>Unpriced Carbon Cost ($) - 2030 - Medium Risk Scenario</t>
  </si>
  <si>
    <t>Carbon Earnings at Risk</t>
  </si>
  <si>
    <t>61</t>
  </si>
  <si>
    <t>Composite Score 2030 - Medium Risk Scenario</t>
  </si>
  <si>
    <t>Physical Risk</t>
  </si>
  <si>
    <t>1.39</t>
  </si>
  <si>
    <t>Impact Ratio - 2024 (%)</t>
  </si>
  <si>
    <t>Environmental</t>
  </si>
  <si>
    <t>Climate &amp; Environmental Analytics</t>
  </si>
  <si>
    <t>2025</t>
  </si>
  <si>
    <t>Methodology Year</t>
  </si>
  <si>
    <t>24</t>
  </si>
  <si>
    <t>Information Security</t>
  </si>
  <si>
    <t>27</t>
  </si>
  <si>
    <t>Supply Chain Management</t>
  </si>
  <si>
    <t>35 / 100</t>
  </si>
  <si>
    <t>Governance &amp; Economic Score</t>
  </si>
  <si>
    <t>39</t>
  </si>
  <si>
    <t>Privacy Protection</t>
  </si>
  <si>
    <t>15</t>
  </si>
  <si>
    <t>Customer Relations</t>
  </si>
  <si>
    <t>38</t>
  </si>
  <si>
    <t>Labor Practices</t>
  </si>
  <si>
    <t>28</t>
  </si>
  <si>
    <t>Human Capital Management</t>
  </si>
  <si>
    <t>32 / 100</t>
  </si>
  <si>
    <t>Social Score</t>
  </si>
  <si>
    <t>53</t>
  </si>
  <si>
    <t>Waste &amp; Pollutants</t>
  </si>
  <si>
    <t>64</t>
  </si>
  <si>
    <t>Climate Strategy</t>
  </si>
  <si>
    <t>25</t>
  </si>
  <si>
    <t>Product Stewardship</t>
  </si>
  <si>
    <t>40 / 100</t>
  </si>
  <si>
    <t>Environmental Score</t>
  </si>
  <si>
    <t>36 / 100</t>
  </si>
  <si>
    <t>S&amp;P Global ESG Score</t>
  </si>
  <si>
    <t>ESG Analytics</t>
  </si>
  <si>
    <t>Environmental, Social &amp; Governance</t>
  </si>
  <si>
    <t>Return on Equity (%)</t>
  </si>
  <si>
    <t>Return on Assets (%)</t>
  </si>
  <si>
    <t>Book Value per Share ($)</t>
  </si>
  <si>
    <t>Net Debt ($000)</t>
  </si>
  <si>
    <t>Cash &amp; Short-term Investments ($000)</t>
  </si>
  <si>
    <t>Total Equity ($000)</t>
  </si>
  <si>
    <t>Total Liabilities ($000)</t>
  </si>
  <si>
    <t>Total Assets ($000)</t>
  </si>
  <si>
    <t>Capital Expenditure ($000)</t>
  </si>
  <si>
    <t>Net Income ($000)</t>
  </si>
  <si>
    <t>EBIT ($000)</t>
  </si>
  <si>
    <t>EBITDA ($000)</t>
  </si>
  <si>
    <t>Total Revenue ($000)</t>
  </si>
  <si>
    <t>Period Ended</t>
  </si>
  <si>
    <t>Recommended: S&amp;P Capital IQ</t>
  </si>
  <si>
    <t>Financial Highlights</t>
  </si>
  <si>
    <t>Total Debt/EBITDA (x)</t>
  </si>
  <si>
    <t>TEV/LTM EBITDA (x)</t>
  </si>
  <si>
    <t>TEV/LTM Total Revenue (x)</t>
  </si>
  <si>
    <t>Price/Tang Book (x)</t>
  </si>
  <si>
    <t>Price/Book (x)</t>
  </si>
  <si>
    <t>P/NTM EPS (x)</t>
  </si>
  <si>
    <t>P/LTM EPS (x)</t>
  </si>
  <si>
    <t>NASDAQGS:AAPL</t>
  </si>
  <si>
    <t>Multiples</t>
  </si>
  <si>
    <t>Stock Price</t>
  </si>
  <si>
    <t>Div. Yield (%)</t>
  </si>
  <si>
    <t>Short Int/ShOut (%)</t>
  </si>
  <si>
    <t>Shares Sold Short</t>
  </si>
  <si>
    <t>Total Enterprise Value ($M)</t>
  </si>
  <si>
    <t>Inst. Ownership (%)</t>
  </si>
  <si>
    <t>Market Cap. ($M)</t>
  </si>
  <si>
    <t>Float (%)</t>
  </si>
  <si>
    <t>Beta 3Y</t>
  </si>
  <si>
    <t>52 wk Low</t>
  </si>
  <si>
    <t>52 wk High</t>
  </si>
  <si>
    <t>Day Low</t>
  </si>
  <si>
    <t>Day High</t>
  </si>
  <si>
    <t>Previous Close</t>
  </si>
  <si>
    <t>Shares Out.</t>
  </si>
  <si>
    <t>Open</t>
  </si>
  <si>
    <t>Avg 3M Daily Volume</t>
  </si>
  <si>
    <t>VWAP (Delayed)</t>
  </si>
  <si>
    <t>Volume</t>
  </si>
  <si>
    <t>Last (Delayed)</t>
  </si>
  <si>
    <t xml:space="preserve">$203.13 $0.75 0.37% </t>
  </si>
  <si>
    <t>Market Data</t>
  </si>
  <si>
    <t>Online Services</t>
  </si>
  <si>
    <t>Interactive Media and Services</t>
  </si>
  <si>
    <t>Media and Entertainment</t>
  </si>
  <si>
    <t>Technology Distributors</t>
  </si>
  <si>
    <t>Mobile Telephones Manufacturer</t>
  </si>
  <si>
    <t>Wireless Telephone Equipment Manufacturer</t>
  </si>
  <si>
    <t>Data Storage</t>
  </si>
  <si>
    <t>Computer Components</t>
  </si>
  <si>
    <t>Personal Computers And Accessories</t>
  </si>
  <si>
    <t>Technology Hardware, Storage and Peripherals</t>
  </si>
  <si>
    <t>Technology Hardware and Equipment</t>
  </si>
  <si>
    <t>Information Technology (IT) Consulting</t>
  </si>
  <si>
    <t>IT Consulting and Other Services</t>
  </si>
  <si>
    <t>Software and Services</t>
  </si>
  <si>
    <t>Information Technology</t>
  </si>
  <si>
    <t>Technology, Media &amp; Telecommunications</t>
  </si>
  <si>
    <t>Watches</t>
  </si>
  <si>
    <t>Timepieces</t>
  </si>
  <si>
    <t>Jewelry, Timepieces and Gemstone Products</t>
  </si>
  <si>
    <t>Apparel, Accessories and Luxury Goods</t>
  </si>
  <si>
    <t>Apparel, Footwear and Textile Producers</t>
  </si>
  <si>
    <t>Consumer Electronics Peripherals</t>
  </si>
  <si>
    <t>MP3 Players</t>
  </si>
  <si>
    <t>Digital Music Recorders</t>
  </si>
  <si>
    <t>Audio Equipment</t>
  </si>
  <si>
    <t>Consumer Electronics Producers</t>
  </si>
  <si>
    <t>Consumer Durables Producers</t>
  </si>
  <si>
    <t>Producers</t>
  </si>
  <si>
    <t>Online Computer Hardware and Software Retail</t>
  </si>
  <si>
    <t>Online Consumer Electronics Retail</t>
  </si>
  <si>
    <t>Computer and Electronics Retail</t>
  </si>
  <si>
    <t>Retailers: Non-Food and Non-Drug</t>
  </si>
  <si>
    <t>Retail</t>
  </si>
  <si>
    <t>Consumer</t>
  </si>
  <si>
    <t>Patent Owners and Lessors</t>
  </si>
  <si>
    <t>Investment Services and Holding Companies</t>
  </si>
  <si>
    <t>Holding Companies, Patent Owners, and Trusts or Estates</t>
  </si>
  <si>
    <t>Mobile Wallets</t>
  </si>
  <si>
    <t>Payment Processors</t>
  </si>
  <si>
    <t>Payments</t>
  </si>
  <si>
    <t>Specialty Finance: Consumer Focused</t>
  </si>
  <si>
    <t>Specialty Finance</t>
  </si>
  <si>
    <t>Financials</t>
  </si>
  <si>
    <t>Industry Details (MI)</t>
  </si>
  <si>
    <t>Suhasini Chandramouli</t>
  </si>
  <si>
    <t>Head of Investor Relations</t>
  </si>
  <si>
    <t>Sabih Khan</t>
  </si>
  <si>
    <t>Chief Operating Officer</t>
  </si>
  <si>
    <t>Kevan Parekh</t>
  </si>
  <si>
    <t>Senior VP &amp; CFO</t>
  </si>
  <si>
    <t>Timothy D. Cook</t>
  </si>
  <si>
    <t>CEO &amp; Director</t>
  </si>
  <si>
    <t>Arthur D. Levinson</t>
  </si>
  <si>
    <t>Chairman of the Board</t>
  </si>
  <si>
    <t>Officers &amp; Directors</t>
  </si>
  <si>
    <t>www.apple.com</t>
  </si>
  <si>
    <t>Web Address</t>
  </si>
  <si>
    <t>(408) 996-1010</t>
  </si>
  <si>
    <t>Phone</t>
  </si>
  <si>
    <t>One Apple Park Way, Cupertino, CA  95014 USA</t>
  </si>
  <si>
    <t>Headquarters</t>
  </si>
  <si>
    <t>Contact</t>
  </si>
  <si>
    <t>As of Date:</t>
  </si>
  <si>
    <t>Apple Inc. designs, manufactures, and markets smartphones, personal computers, tablets, wearables, and accessories worldwide. The company offers iPhone, a line of smartphones; Mac, a line of personal computers; iPad, a line of multi-purpose tablets; and wearables, home, and accessories comprising AirPods, Apple TV, Apple Watch, Beats products, and HomePod. It also provides AppleCare support and cloud services; and operates various platforms, including the App Store that allow customers to discover and download applications and digital content, such as books, music, video, games, and podcasts, as well as advertising services include third-party licensing arrangements and its own advertising platforms. In addition, the company offers various subscription-based services, such as Apple Arcade, a game subscription service; Apple Fitness+, a personalized fitness service; Apple Music, which offers users a curated listening experience with on-demand radio stations; Apple News+, a subscription news and magazine service; Apple TV+, which offers exclusive original content; Apple Card, a co-branded credit card; and Apple Pay, a cashless payment service, as well as licenses its intellectual property. The company serves consumers, and small and mid-sized businesses; and the education, enterprise, and government markets. It distributes third-party applications for its products through the App Store. The company also sells its products through its retail and online stores, and direct sales force; and third-party cellular network carriers, wholesalers, retailers, and resellers. Apple Inc. was founded in 1976 and is headquartered in Cupertino, California.</t>
  </si>
  <si>
    <t>Company Description</t>
  </si>
  <si>
    <t>334220 - Radio and Television Broadcasting and Wireless Communications Equipment Manufacturing</t>
  </si>
  <si>
    <t>NAICS Code</t>
  </si>
  <si>
    <t>26.30 - Manufacture of communication equipment</t>
  </si>
  <si>
    <t>NACE Code</t>
  </si>
  <si>
    <t>APLEUS66</t>
  </si>
  <si>
    <t>SWIFT/BIC</t>
  </si>
  <si>
    <t>3663</t>
  </si>
  <si>
    <t>SIC Code</t>
  </si>
  <si>
    <t>IPO Date</t>
  </si>
  <si>
    <t>Date of Incorporation</t>
  </si>
  <si>
    <t>HWUPKR0MPOU8FGXBT394</t>
  </si>
  <si>
    <t>LEI</t>
  </si>
  <si>
    <t>Mobile Development Tools, Software Development, Wearables, Online Payments, Onshore and Offshore Wind, Utility Scale Solar, Video Games</t>
  </si>
  <si>
    <t>Topic Tags</t>
  </si>
  <si>
    <t>Operating</t>
  </si>
  <si>
    <t>Status</t>
  </si>
  <si>
    <t>Company Data</t>
  </si>
  <si>
    <t>Corporate Data</t>
  </si>
  <si>
    <t>NASDAQGS:AAPL (MI Key: 4004205; SPCIQ  Key: 24937)</t>
  </si>
  <si>
    <t>Apple Inc. | Public Company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</si>
</sst>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8" formatCode="&quot;$&quot;#,##0.00_);[Red]\(&quot;$&quot;#,##0.00\)"/>
    <numFmt numFmtId="164" formatCode="#,##0.00;[Red]\(#,##0.00\)"/>
    <numFmt numFmtId="165" formatCode="_(#,##0_);_(\(#,##0\);_(&quot; - &quot;_);_(@_)"/>
    <numFmt numFmtId="166" formatCode="m/d/yyyy_)"/>
    <numFmt numFmtId="167" formatCode="0\A_)"/>
    <numFmt numFmtId="168" formatCode="0\E_)"/>
    <numFmt numFmtId="169" formatCode="_(#,##0.0%_);_(\(#,##0.0%\)"/>
    <numFmt numFmtId="170" formatCode="_(#,##0.0\x_);_(\(#,##0.0\x\);_(&quot; - &quot;_);_(@_)"/>
    <numFmt numFmtId="171" formatCode="_(#,##0.0%_);[Red]_(\(#,##0.0%\)"/>
    <numFmt numFmtId="172" formatCode="_(#,##0.0_);_(\(#,##0.0\);_(&quot; - &quot;_);_(@_)"/>
    <numFmt numFmtId="173" formatCode="_(_(#,##0.0%_);_(\(#,##0.0%\)"/>
    <numFmt numFmtId="174" formatCode="#,##0.0;\(#,##0.0\)"/>
    <numFmt numFmtId="175" formatCode="#,##0.00;\(#,##0.00\)"/>
    <numFmt numFmtId="176" formatCode="#,##0;\(#,##0\)"/>
    <numFmt numFmtId="177" formatCode="_(#,##0.00_);_(\(#,##0.00\);_(&quot; - &quot;_);_(@_)"/>
  </numFmts>
  <fonts count="26" x14ac:knownFonts="1">
    <font>
      <sz val="11"/>
      <color theme="1"/>
      <name val="Calibri"/>
      <family val="2"/>
      <scheme val="minor"/>
    </font>
    <font>
      <b/>
      <sz val="14"/>
      <name val="Calibri"/>
      <family val="2"/>
    </font>
    <font>
      <b/>
      <i/>
      <sz val="11"/>
      <color rgb="FF000000"/>
      <name val="Calibri"/>
      <family val="2"/>
    </font>
    <font>
      <b/>
      <sz val="11"/>
      <color theme="1"/>
      <name val="Calibri"/>
      <family val="2"/>
      <scheme val="minor"/>
    </font>
    <font>
      <b/>
      <sz val="11"/>
      <color theme="0"/>
      <name val="Calibri"/>
      <family val="2"/>
      <scheme val="minor"/>
    </font>
    <font>
      <sz val="11"/>
      <color theme="0"/>
      <name val="Calibri"/>
      <family val="2"/>
      <scheme val="minor"/>
    </font>
    <font>
      <i/>
      <sz val="11"/>
      <color theme="1"/>
      <name val="Calibri"/>
      <family val="2"/>
      <scheme val="minor"/>
    </font>
    <font>
      <b/>
      <sz val="14"/>
      <color theme="0"/>
      <name val="Calibri"/>
      <family val="2"/>
      <scheme val="minor"/>
    </font>
    <font>
      <sz val="14"/>
      <color theme="0"/>
      <name val="Calibri"/>
      <family val="2"/>
      <scheme val="minor"/>
    </font>
    <font>
      <sz val="10"/>
      <name val="Arial"/>
      <family val="2"/>
    </font>
    <font>
      <sz val="8"/>
      <name val="Calibri"/>
      <family val="2"/>
      <scheme val="minor"/>
    </font>
    <font>
      <sz val="11"/>
      <color rgb="FF0000FF"/>
      <name val="Calibri"/>
      <family val="2"/>
      <scheme val="minor"/>
    </font>
    <font>
      <i/>
      <sz val="11"/>
      <color theme="0"/>
      <name val="Calibri"/>
      <family val="2"/>
      <scheme val="minor"/>
    </font>
    <font>
      <sz val="11"/>
      <name val="Calibri"/>
      <family val="2"/>
      <scheme val="minor"/>
    </font>
    <font>
      <b/>
      <sz val="11"/>
      <name val="Calibri"/>
      <family val="2"/>
      <scheme val="minor"/>
    </font>
    <font>
      <i/>
      <sz val="11"/>
      <name val="Calibri"/>
      <family val="2"/>
      <scheme val="minor"/>
    </font>
    <font>
      <i/>
      <sz val="11"/>
      <color theme="9" tint="-0.249977111117893"/>
      <name val="Calibri"/>
      <family val="2"/>
      <scheme val="minor"/>
    </font>
    <font>
      <sz val="11"/>
      <color rgb="FFFF0000"/>
      <name val="Calibri"/>
      <family val="2"/>
      <scheme val="minor"/>
    </font>
    <font>
      <sz val="14"/>
      <name val="Calibri"/>
      <family val="2"/>
      <scheme val="minor"/>
    </font>
    <font>
      <u/>
      <sz val="11"/>
      <color theme="10"/>
      <name val="Calibri"/>
      <family val="2"/>
      <scheme val="minor"/>
    </font>
    <font>
      <sz val="11"/>
      <color rgb="FF000000"/>
      <name val="Calibri"/>
      <family val="2"/>
      <scheme val="minor"/>
    </font>
    <font>
      <sz val="11"/>
      <color theme="0" tint="-4.9989318521683403E-2"/>
      <name val="Calibri"/>
      <family val="2"/>
      <scheme val="minor"/>
    </font>
    <font>
      <b/>
      <i/>
      <sz val="11"/>
      <name val="Calibri"/>
      <family val="2"/>
    </font>
    <font>
      <b/>
      <sz val="11"/>
      <name val="Calibri"/>
      <family val="2"/>
    </font>
    <font>
      <u/>
      <sz val="11"/>
      <name val="Calibri"/>
      <family val="2"/>
      <scheme val="minor"/>
    </font>
    <font>
      <i/>
      <sz val="11"/>
      <color theme="0" tint="-4.9989318521683403E-2"/>
      <name val="Calibri"/>
      <family val="2"/>
      <scheme val="minor"/>
    </font>
  </fonts>
  <fills count="10">
    <fill>
      <patternFill patternType="none"/>
    </fill>
    <fill>
      <patternFill patternType="gray125"/>
    </fill>
    <fill>
      <patternFill patternType="solid">
        <fgColor rgb="FFD3D3D3"/>
        <bgColor indexed="64"/>
      </patternFill>
    </fill>
    <fill>
      <patternFill patternType="solid">
        <fgColor theme="1"/>
        <bgColor indexed="64"/>
      </patternFill>
    </fill>
    <fill>
      <patternFill patternType="solid">
        <fgColor theme="8" tint="0.79998168889431442"/>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FFFFCC"/>
        <bgColor indexed="64"/>
      </patternFill>
    </fill>
    <fill>
      <patternFill patternType="solid">
        <fgColor rgb="FFCCCCCC"/>
        <bgColor indexed="64"/>
      </patternFill>
    </fill>
    <fill>
      <patternFill patternType="solid">
        <fgColor rgb="FFE0E0E0"/>
        <bgColor indexed="64"/>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top/>
      <bottom style="thin">
        <color rgb="FF000000"/>
      </bottom>
      <diagonal/>
    </border>
  </borders>
  <cellStyleXfs count="3">
    <xf numFmtId="0" fontId="0" fillId="0" borderId="0"/>
    <xf numFmtId="0" fontId="9" fillId="0" borderId="0"/>
    <xf numFmtId="0" fontId="19" fillId="0" borderId="0" applyNumberFormat="0" applyFill="0" applyBorder="0" applyAlignment="0" applyProtection="0"/>
  </cellStyleXfs>
  <cellXfs count="117">
    <xf numFmtId="0" fontId="0" fillId="0" borderId="0" xfId="0"/>
    <xf numFmtId="0" fontId="0" fillId="0" borderId="0" xfId="0" applyAlignment="1">
      <alignment horizontal="left" vertical="top" wrapText="1"/>
    </xf>
    <xf numFmtId="0" fontId="0" fillId="0" borderId="0" xfId="0" applyAlignment="1">
      <alignment horizontal="left" vertical="top"/>
    </xf>
    <xf numFmtId="0" fontId="2" fillId="2" borderId="1" xfId="0" applyFont="1" applyFill="1" applyBorder="1" applyAlignment="1">
      <alignment horizontal="left" vertical="top" wrapText="1"/>
    </xf>
    <xf numFmtId="0" fontId="2" fillId="2" borderId="1" xfId="0" applyFont="1" applyFill="1" applyBorder="1" applyAlignment="1">
      <alignment horizontal="right" vertical="top" wrapText="1"/>
    </xf>
    <xf numFmtId="0" fontId="3" fillId="0" borderId="0" xfId="0" applyFont="1" applyAlignment="1">
      <alignment horizontal="left" vertical="top" wrapText="1"/>
    </xf>
    <xf numFmtId="0" fontId="0" fillId="0" borderId="0" xfId="0" applyAlignment="1">
      <alignment horizontal="right" vertical="top" wrapText="1"/>
    </xf>
    <xf numFmtId="164" fontId="0" fillId="0" borderId="0" xfId="0" applyNumberFormat="1" applyAlignment="1">
      <alignment horizontal="right" vertical="top" wrapText="1"/>
    </xf>
    <xf numFmtId="165" fontId="0" fillId="0" borderId="0" xfId="0" applyNumberFormat="1"/>
    <xf numFmtId="165" fontId="3" fillId="0" borderId="0" xfId="0" applyNumberFormat="1" applyFont="1"/>
    <xf numFmtId="165" fontId="6" fillId="0" borderId="0" xfId="0" applyNumberFormat="1" applyFont="1"/>
    <xf numFmtId="165" fontId="7" fillId="3" borderId="0" xfId="0" applyNumberFormat="1" applyFont="1" applyFill="1"/>
    <xf numFmtId="169" fontId="0" fillId="0" borderId="0" xfId="0" applyNumberFormat="1"/>
    <xf numFmtId="165" fontId="0" fillId="0" borderId="0" xfId="0" applyNumberFormat="1" applyAlignment="1">
      <alignment horizontal="right"/>
    </xf>
    <xf numFmtId="165" fontId="3" fillId="4" borderId="0" xfId="0" applyNumberFormat="1" applyFont="1" applyFill="1" applyAlignment="1">
      <alignment horizontal="right"/>
    </xf>
    <xf numFmtId="166" fontId="6" fillId="0" borderId="0" xfId="0" applyNumberFormat="1" applyFont="1"/>
    <xf numFmtId="169" fontId="0" fillId="0" borderId="0" xfId="0" applyNumberFormat="1" applyAlignment="1">
      <alignment horizontal="left" indent="1"/>
    </xf>
    <xf numFmtId="165" fontId="3" fillId="5" borderId="0" xfId="0" applyNumberFormat="1" applyFont="1" applyFill="1" applyAlignment="1">
      <alignment horizontal="right"/>
    </xf>
    <xf numFmtId="165" fontId="5" fillId="0" borderId="0" xfId="0" applyNumberFormat="1" applyFont="1"/>
    <xf numFmtId="169" fontId="0" fillId="0" borderId="0" xfId="0" applyNumberFormat="1" applyAlignment="1">
      <alignment horizontal="right"/>
    </xf>
    <xf numFmtId="165" fontId="3" fillId="0" borderId="0" xfId="0" applyNumberFormat="1" applyFont="1" applyAlignment="1">
      <alignment horizontal="right"/>
    </xf>
    <xf numFmtId="169" fontId="5" fillId="0" borderId="0" xfId="0" applyNumberFormat="1" applyFont="1"/>
    <xf numFmtId="165" fontId="13" fillId="0" borderId="0" xfId="0" applyNumberFormat="1" applyFont="1"/>
    <xf numFmtId="165" fontId="14" fillId="0" borderId="0" xfId="0" applyNumberFormat="1" applyFont="1"/>
    <xf numFmtId="165" fontId="13" fillId="0" borderId="0" xfId="0" applyNumberFormat="1" applyFont="1" applyAlignment="1">
      <alignment horizontal="right"/>
    </xf>
    <xf numFmtId="165" fontId="13" fillId="6" borderId="2" xfId="0" applyNumberFormat="1" applyFont="1" applyFill="1" applyBorder="1" applyAlignment="1">
      <alignment horizontal="center"/>
    </xf>
    <xf numFmtId="165" fontId="16" fillId="0" borderId="0" xfId="0" applyNumberFormat="1" applyFont="1"/>
    <xf numFmtId="169" fontId="5" fillId="0" borderId="0" xfId="0" applyNumberFormat="1" applyFont="1" applyAlignment="1">
      <alignment horizontal="right"/>
    </xf>
    <xf numFmtId="0" fontId="1" fillId="0" borderId="0" xfId="0" applyFont="1" applyAlignment="1">
      <alignment horizontal="left"/>
    </xf>
    <xf numFmtId="171" fontId="0" fillId="0" borderId="0" xfId="0" applyNumberFormat="1"/>
    <xf numFmtId="165" fontId="5" fillId="0" borderId="0" xfId="0" applyNumberFormat="1" applyFont="1" applyAlignment="1">
      <alignment horizontal="right"/>
    </xf>
    <xf numFmtId="169" fontId="13" fillId="0" borderId="0" xfId="0" applyNumberFormat="1" applyFont="1" applyAlignment="1">
      <alignment horizontal="right"/>
    </xf>
    <xf numFmtId="165" fontId="13" fillId="5" borderId="2" xfId="0" applyNumberFormat="1" applyFont="1" applyFill="1" applyBorder="1" applyAlignment="1">
      <alignment horizontal="center"/>
    </xf>
    <xf numFmtId="165" fontId="18" fillId="0" borderId="0" xfId="0" applyNumberFormat="1" applyFont="1"/>
    <xf numFmtId="165" fontId="0" fillId="0" borderId="0" xfId="0" applyNumberFormat="1" applyAlignment="1">
      <alignment horizontal="left" indent="1"/>
    </xf>
    <xf numFmtId="172" fontId="0" fillId="0" borderId="0" xfId="0" applyNumberFormat="1"/>
    <xf numFmtId="172" fontId="0" fillId="0" borderId="0" xfId="0" applyNumberFormat="1" applyAlignment="1">
      <alignment horizontal="left" indent="1"/>
    </xf>
    <xf numFmtId="170" fontId="0" fillId="0" borderId="0" xfId="0" applyNumberFormat="1"/>
    <xf numFmtId="8" fontId="0" fillId="0" borderId="0" xfId="0" applyNumberFormat="1"/>
    <xf numFmtId="8" fontId="0" fillId="0" borderId="4" xfId="0" applyNumberFormat="1" applyBorder="1"/>
    <xf numFmtId="8" fontId="0" fillId="0" borderId="5" xfId="0" applyNumberFormat="1" applyBorder="1"/>
    <xf numFmtId="8" fontId="0" fillId="0" borderId="3" xfId="0" applyNumberFormat="1" applyBorder="1"/>
    <xf numFmtId="8" fontId="21" fillId="5" borderId="4" xfId="0" applyNumberFormat="1" applyFont="1" applyFill="1" applyBorder="1"/>
    <xf numFmtId="174" fontId="0" fillId="0" borderId="0" xfId="0" applyNumberFormat="1" applyAlignment="1">
      <alignment horizontal="left" vertical="top" wrapText="1"/>
    </xf>
    <xf numFmtId="175" fontId="0" fillId="0" borderId="0" xfId="0" applyNumberFormat="1" applyAlignment="1">
      <alignment horizontal="left" vertical="top" wrapText="1"/>
    </xf>
    <xf numFmtId="176" fontId="0" fillId="0" borderId="0" xfId="0" applyNumberFormat="1" applyAlignment="1">
      <alignment horizontal="left" vertical="top" wrapText="1"/>
    </xf>
    <xf numFmtId="0" fontId="22" fillId="2" borderId="0" xfId="0" applyFont="1" applyFill="1" applyAlignment="1">
      <alignment horizontal="left" vertical="top" wrapText="1"/>
    </xf>
    <xf numFmtId="14" fontId="0" fillId="0" borderId="0" xfId="0" applyNumberFormat="1" applyAlignment="1">
      <alignment horizontal="left" vertical="top" wrapText="1"/>
    </xf>
    <xf numFmtId="0" fontId="22" fillId="9" borderId="0" xfId="0" applyFont="1" applyFill="1" applyAlignment="1">
      <alignment horizontal="right" vertical="top" wrapText="1"/>
    </xf>
    <xf numFmtId="0" fontId="22" fillId="9" borderId="0" xfId="0" applyFont="1" applyFill="1" applyAlignment="1">
      <alignment horizontal="left" vertical="top" wrapText="1"/>
    </xf>
    <xf numFmtId="0" fontId="3" fillId="0" borderId="0" xfId="0" applyFont="1" applyAlignment="1">
      <alignment horizontal="left" vertical="top"/>
    </xf>
    <xf numFmtId="14" fontId="0" fillId="0" borderId="0" xfId="0" applyNumberFormat="1" applyAlignment="1">
      <alignment horizontal="left" vertical="top"/>
    </xf>
    <xf numFmtId="175" fontId="0" fillId="0" borderId="0" xfId="0" applyNumberFormat="1" applyAlignment="1">
      <alignment horizontal="right" vertical="top" wrapText="1"/>
    </xf>
    <xf numFmtId="0" fontId="3" fillId="0" borderId="0" xfId="0" applyFont="1" applyAlignment="1">
      <alignment horizontal="right" vertical="top"/>
    </xf>
    <xf numFmtId="176" fontId="17" fillId="0" borderId="0" xfId="0" applyNumberFormat="1" applyFont="1" applyAlignment="1">
      <alignment horizontal="right" vertical="top" wrapText="1"/>
    </xf>
    <xf numFmtId="176" fontId="0" fillId="0" borderId="0" xfId="0" applyNumberFormat="1" applyAlignment="1">
      <alignment horizontal="right" vertical="top" wrapText="1"/>
    </xf>
    <xf numFmtId="14" fontId="0" fillId="0" borderId="0" xfId="0" applyNumberFormat="1" applyAlignment="1">
      <alignment horizontal="right" vertical="top" wrapText="1"/>
    </xf>
    <xf numFmtId="175" fontId="0" fillId="0" borderId="0" xfId="0" applyNumberFormat="1" applyAlignment="1">
      <alignment horizontal="right" vertical="top"/>
    </xf>
    <xf numFmtId="176" fontId="0" fillId="0" borderId="0" xfId="0" applyNumberFormat="1" applyAlignment="1">
      <alignment horizontal="right" vertical="top"/>
    </xf>
    <xf numFmtId="174" fontId="0" fillId="0" borderId="0" xfId="0" applyNumberFormat="1" applyAlignment="1">
      <alignment horizontal="right" vertical="top"/>
    </xf>
    <xf numFmtId="14" fontId="0" fillId="0" borderId="0" xfId="0" applyNumberFormat="1" applyAlignment="1">
      <alignment horizontal="right" vertical="top"/>
    </xf>
    <xf numFmtId="0" fontId="1" fillId="0" borderId="0" xfId="0" applyFont="1"/>
    <xf numFmtId="176" fontId="0" fillId="0" borderId="0" xfId="0" applyNumberFormat="1"/>
    <xf numFmtId="165" fontId="24" fillId="0" borderId="0" xfId="2" applyNumberFormat="1" applyFont="1"/>
    <xf numFmtId="8" fontId="0" fillId="0" borderId="0" xfId="0" applyNumberFormat="1" applyAlignment="1">
      <alignment horizontal="right"/>
    </xf>
    <xf numFmtId="170" fontId="0" fillId="0" borderId="0" xfId="0" applyNumberFormat="1" applyAlignment="1">
      <alignment horizontal="right"/>
    </xf>
    <xf numFmtId="167" fontId="11" fillId="7" borderId="2" xfId="0" applyNumberFormat="1" applyFont="1" applyFill="1" applyBorder="1" applyAlignment="1" applyProtection="1">
      <alignment horizontal="center"/>
      <protection locked="0"/>
    </xf>
    <xf numFmtId="168" fontId="11" fillId="7" borderId="2" xfId="0" applyNumberFormat="1" applyFont="1" applyFill="1" applyBorder="1" applyAlignment="1" applyProtection="1">
      <alignment horizontal="center"/>
      <protection locked="0"/>
    </xf>
    <xf numFmtId="173" fontId="11" fillId="7" borderId="0" xfId="0" applyNumberFormat="1" applyFont="1" applyFill="1" applyAlignment="1" applyProtection="1">
      <alignment horizontal="right"/>
      <protection locked="0"/>
    </xf>
    <xf numFmtId="8" fontId="25" fillId="0" borderId="0" xfId="0" applyNumberFormat="1" applyFont="1" applyAlignment="1" applyProtection="1">
      <alignment horizontal="left"/>
      <protection locked="0"/>
    </xf>
    <xf numFmtId="170" fontId="11" fillId="0" borderId="0" xfId="0" applyNumberFormat="1" applyFont="1" applyProtection="1">
      <protection locked="0"/>
    </xf>
    <xf numFmtId="169" fontId="11" fillId="0" borderId="0" xfId="0" applyNumberFormat="1" applyFont="1" applyProtection="1">
      <protection locked="0"/>
    </xf>
    <xf numFmtId="165" fontId="20" fillId="0" borderId="0" xfId="0" applyNumberFormat="1" applyFont="1" applyProtection="1">
      <protection locked="0"/>
    </xf>
    <xf numFmtId="165" fontId="0" fillId="0" borderId="0" xfId="0" applyNumberFormat="1" applyProtection="1">
      <protection locked="0"/>
    </xf>
    <xf numFmtId="165" fontId="5" fillId="0" borderId="0" xfId="0" applyNumberFormat="1" applyFont="1" applyProtection="1">
      <protection locked="0"/>
    </xf>
    <xf numFmtId="165" fontId="0" fillId="0" borderId="0" xfId="0" applyNumberFormat="1" applyAlignment="1" applyProtection="1">
      <alignment horizontal="right"/>
      <protection locked="0"/>
    </xf>
    <xf numFmtId="169" fontId="0" fillId="0" borderId="0" xfId="0" applyNumberFormat="1" applyProtection="1">
      <protection locked="0"/>
    </xf>
    <xf numFmtId="169" fontId="0" fillId="0" borderId="0" xfId="0" applyNumberFormat="1" applyAlignment="1" applyProtection="1">
      <alignment horizontal="left" indent="1"/>
      <protection locked="0"/>
    </xf>
    <xf numFmtId="169" fontId="0" fillId="0" borderId="0" xfId="0" applyNumberFormat="1" applyAlignment="1" applyProtection="1">
      <alignment horizontal="right"/>
      <protection locked="0"/>
    </xf>
    <xf numFmtId="171" fontId="5" fillId="0" borderId="0" xfId="0" applyNumberFormat="1" applyFont="1" applyAlignment="1" applyProtection="1">
      <alignment horizontal="right"/>
      <protection locked="0"/>
    </xf>
    <xf numFmtId="169" fontId="5" fillId="0" borderId="0" xfId="0" applyNumberFormat="1" applyFont="1" applyAlignment="1" applyProtection="1">
      <alignment horizontal="right"/>
      <protection locked="0"/>
    </xf>
    <xf numFmtId="165" fontId="5" fillId="0" borderId="0" xfId="0" applyNumberFormat="1" applyFont="1" applyAlignment="1" applyProtection="1">
      <alignment horizontal="right"/>
      <protection locked="0"/>
    </xf>
    <xf numFmtId="169" fontId="5" fillId="0" borderId="0" xfId="0" applyNumberFormat="1" applyFont="1" applyProtection="1">
      <protection locked="0"/>
    </xf>
    <xf numFmtId="165" fontId="13" fillId="0" borderId="0" xfId="0" applyNumberFormat="1" applyFont="1" applyProtection="1">
      <protection locked="0"/>
    </xf>
    <xf numFmtId="165" fontId="13" fillId="0" borderId="0" xfId="0" applyNumberFormat="1" applyFont="1" applyAlignment="1" applyProtection="1">
      <alignment horizontal="right"/>
      <protection locked="0"/>
    </xf>
    <xf numFmtId="177" fontId="0" fillId="0" borderId="0" xfId="0" applyNumberFormat="1" applyProtection="1">
      <protection locked="0"/>
    </xf>
    <xf numFmtId="169" fontId="20" fillId="0" borderId="0" xfId="0" applyNumberFormat="1" applyFont="1" applyProtection="1">
      <protection locked="0"/>
    </xf>
    <xf numFmtId="169" fontId="0" fillId="0" borderId="5" xfId="0" applyNumberFormat="1" applyBorder="1" applyProtection="1">
      <protection locked="0"/>
    </xf>
    <xf numFmtId="169" fontId="20" fillId="5" borderId="3" xfId="0" applyNumberFormat="1" applyFont="1" applyFill="1" applyBorder="1" applyProtection="1">
      <protection locked="0"/>
    </xf>
    <xf numFmtId="169" fontId="11" fillId="5" borderId="3" xfId="0" applyNumberFormat="1" applyFont="1" applyFill="1" applyBorder="1" applyProtection="1">
      <protection locked="0"/>
    </xf>
    <xf numFmtId="170" fontId="20" fillId="5" borderId="5" xfId="0" applyNumberFormat="1" applyFont="1" applyFill="1" applyBorder="1" applyProtection="1">
      <protection locked="0"/>
    </xf>
    <xf numFmtId="170" fontId="11" fillId="5" borderId="5" xfId="0" applyNumberFormat="1" applyFont="1" applyFill="1" applyBorder="1" applyProtection="1">
      <protection locked="0"/>
    </xf>
    <xf numFmtId="171" fontId="20" fillId="5" borderId="5" xfId="0" applyNumberFormat="1" applyFont="1" applyFill="1" applyBorder="1" applyProtection="1">
      <protection locked="0"/>
    </xf>
    <xf numFmtId="171" fontId="11" fillId="5" borderId="5" xfId="0" applyNumberFormat="1" applyFont="1" applyFill="1" applyBorder="1" applyProtection="1">
      <protection locked="0"/>
    </xf>
    <xf numFmtId="169" fontId="0" fillId="5" borderId="3" xfId="0" applyNumberFormat="1" applyFill="1" applyBorder="1" applyProtection="1">
      <protection locked="0"/>
    </xf>
    <xf numFmtId="166" fontId="13" fillId="0" borderId="0" xfId="0" applyNumberFormat="1" applyFont="1" applyProtection="1">
      <protection locked="0"/>
    </xf>
    <xf numFmtId="169" fontId="13" fillId="0" borderId="0" xfId="0" applyNumberFormat="1" applyFont="1" applyProtection="1">
      <protection locked="0"/>
    </xf>
    <xf numFmtId="8" fontId="13" fillId="0" borderId="0" xfId="0" applyNumberFormat="1" applyFont="1" applyProtection="1">
      <protection locked="0"/>
    </xf>
    <xf numFmtId="173" fontId="13" fillId="0" borderId="0" xfId="0" applyNumberFormat="1" applyFont="1" applyAlignment="1" applyProtection="1">
      <alignment horizontal="left"/>
      <protection locked="0"/>
    </xf>
    <xf numFmtId="165" fontId="14" fillId="0" borderId="0" xfId="0" applyNumberFormat="1" applyFont="1" applyProtection="1">
      <protection locked="0"/>
    </xf>
    <xf numFmtId="165" fontId="15" fillId="0" borderId="0" xfId="0" applyNumberFormat="1" applyFont="1" applyProtection="1">
      <protection locked="0"/>
    </xf>
    <xf numFmtId="165" fontId="8" fillId="0" borderId="0" xfId="0" applyNumberFormat="1" applyFont="1" applyProtection="1">
      <protection locked="0"/>
    </xf>
    <xf numFmtId="165" fontId="3" fillId="0" borderId="0" xfId="0" applyNumberFormat="1" applyFont="1" applyAlignment="1" applyProtection="1">
      <alignment horizontal="right"/>
      <protection locked="0"/>
    </xf>
    <xf numFmtId="166" fontId="6" fillId="0" borderId="0" xfId="0" applyNumberFormat="1" applyFont="1" applyProtection="1">
      <protection locked="0"/>
    </xf>
    <xf numFmtId="170" fontId="0" fillId="0" borderId="0" xfId="0" applyNumberFormat="1" applyProtection="1">
      <protection locked="0"/>
    </xf>
    <xf numFmtId="172" fontId="0" fillId="0" borderId="0" xfId="0" applyNumberFormat="1" applyProtection="1">
      <protection locked="0"/>
    </xf>
    <xf numFmtId="165" fontId="4" fillId="0" borderId="0" xfId="0" applyNumberFormat="1" applyFont="1" applyAlignment="1" applyProtection="1">
      <alignment horizontal="right"/>
      <protection locked="0"/>
    </xf>
    <xf numFmtId="166" fontId="12" fillId="0" borderId="0" xfId="0" applyNumberFormat="1" applyFont="1" applyProtection="1">
      <protection locked="0"/>
    </xf>
    <xf numFmtId="172" fontId="5" fillId="0" borderId="0" xfId="0" applyNumberFormat="1" applyFont="1" applyProtection="1">
      <protection locked="0"/>
    </xf>
    <xf numFmtId="0" fontId="0" fillId="0" borderId="0" xfId="0" applyAlignment="1">
      <alignment horizontal="left" vertical="top" wrapText="1"/>
    </xf>
    <xf numFmtId="0" fontId="3" fillId="0" borderId="0" xfId="0" applyFont="1" applyAlignment="1">
      <alignment horizontal="left" vertical="top"/>
    </xf>
    <xf numFmtId="0" fontId="0" fillId="0" borderId="0" xfId="0" applyAlignment="1">
      <alignment horizontal="center"/>
    </xf>
    <xf numFmtId="0" fontId="0" fillId="0" borderId="0" xfId="0" applyAlignment="1">
      <alignment horizontal="left" vertical="top"/>
    </xf>
    <xf numFmtId="0" fontId="23" fillId="8" borderId="0" xfId="0" applyFont="1" applyFill="1" applyAlignment="1">
      <alignment horizontal="left" vertical="top"/>
    </xf>
    <xf numFmtId="0" fontId="3" fillId="0" borderId="0" xfId="0" applyFont="1" applyAlignment="1">
      <alignment horizontal="left" vertical="top" wrapText="1"/>
    </xf>
    <xf numFmtId="0" fontId="0" fillId="0" borderId="6" xfId="0" applyBorder="1" applyAlignment="1">
      <alignment horizontal="left" vertical="top" wrapText="1"/>
    </xf>
    <xf numFmtId="0" fontId="1" fillId="0" borderId="0" xfId="0" applyFont="1" applyAlignment="1">
      <alignment horizontal="left"/>
    </xf>
  </cellXfs>
  <cellStyles count="3">
    <cellStyle name="Hyperlink" xfId="2" builtinId="8"/>
    <cellStyle name="Normal" xfId="0" builtinId="0"/>
    <cellStyle name="Normal 2" xfId="1" xr:uid="{0D5C57CA-0725-4450-9419-9A36FC26A15C}"/>
  </cellStyles>
  <dxfs count="13">
    <dxf>
      <fill>
        <patternFill>
          <bgColor theme="0" tint="-4.9989318521683403E-2"/>
        </patternFill>
      </fill>
    </dxf>
    <dxf>
      <fill>
        <patternFill>
          <bgColor theme="0" tint="-4.9989318521683403E-2"/>
        </patternFill>
      </fill>
    </dxf>
    <dxf>
      <fill>
        <patternFill>
          <bgColor theme="0" tint="-4.9989318521683403E-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0" tint="-4.9989318521683403E-2"/>
        </patternFill>
      </fill>
    </dxf>
    <dxf>
      <font>
        <color rgb="FF0000FF"/>
      </font>
    </dxf>
    <dxf>
      <font>
        <color rgb="FF0000FF"/>
      </font>
    </dxf>
    <dxf>
      <fill>
        <patternFill>
          <bgColor theme="0" tint="-4.9989318521683403E-2"/>
        </patternFill>
      </fill>
    </dxf>
    <dxf>
      <fill>
        <patternFill>
          <bgColor theme="1"/>
        </patternFill>
      </fill>
    </dxf>
    <dxf>
      <fill>
        <patternFill>
          <bgColor theme="0" tint="-4.9989318521683403E-2"/>
        </patternFill>
      </fill>
    </dxf>
  </dxfs>
  <tableStyles count="0" defaultTableStyle="TableStyleMedium9" defaultPivotStyle="PivotStyleLight16"/>
  <colors>
    <mruColors>
      <color rgb="FFFFFFCC"/>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SupportingPropertyBag" Target="richData/rdsupportingpropertybag.xml"/><Relationship Id="rId3" Type="http://schemas.openxmlformats.org/officeDocument/2006/relationships/worksheet" Target="worksheets/sheet3.xml"/><Relationship Id="rId7" Type="http://schemas.openxmlformats.org/officeDocument/2006/relationships/sheetMetadata" Target="metadata.xml"/><Relationship Id="rId12" Type="http://schemas.microsoft.com/office/2017/06/relationships/rdSupportingPropertyBagStructure" Target="richData/rdsupportingpropertybagstructure.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ichStyles" Target="richData/richStyles.xml"/><Relationship Id="rId5" Type="http://schemas.openxmlformats.org/officeDocument/2006/relationships/styles" Target="styles.xml"/><Relationship Id="rId15" Type="http://schemas.openxmlformats.org/officeDocument/2006/relationships/calcChain" Target="calcChain.xml"/><Relationship Id="rId10" Type="http://schemas.microsoft.com/office/2017/06/relationships/rdArray" Target="richData/rdarray.xml"/><Relationship Id="rId4" Type="http://schemas.openxmlformats.org/officeDocument/2006/relationships/theme" Target="theme/theme1.xml"/><Relationship Id="rId9" Type="http://schemas.microsoft.com/office/2017/06/relationships/rdRichValueStructure" Target="richData/rdrichvaluestructure.xml"/><Relationship Id="rId14" Type="http://schemas.microsoft.com/office/2017/06/relationships/rdRichValueTypes" Target="richData/rdRichValueTyp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28575</xdr:colOff>
      <xdr:row>0</xdr:row>
      <xdr:rowOff>28575</xdr:rowOff>
    </xdr:from>
    <xdr:ext cx="1524000" cy="419100"/>
    <xdr:pic>
      <xdr:nvPicPr>
        <xdr:cNvPr id="2" name="Picture 1">
          <a:extLst>
            <a:ext uri="{FF2B5EF4-FFF2-40B4-BE49-F238E27FC236}">
              <a16:creationId xmlns:a16="http://schemas.microsoft.com/office/drawing/2014/main" id="{BE0051BC-158B-473B-B54E-193A1A8D3232}"/>
            </a:ext>
          </a:extLst>
        </xdr:cNvPr>
        <xdr:cNvPicPr>
          <a:picLocks noChangeAspect="1"/>
        </xdr:cNvPicPr>
      </xdr:nvPicPr>
      <xdr:blipFill>
        <a:blip xmlns:r="http://schemas.openxmlformats.org/officeDocument/2006/relationships" r:embed="rId1"/>
        <a:stretch>
          <a:fillRect/>
        </a:stretch>
      </xdr:blipFill>
      <xdr:spPr>
        <a:xfrm>
          <a:off x="28575" y="28575"/>
          <a:ext cx="1524000" cy="419100"/>
        </a:xfrm>
        <a:prstGeom prst="rect">
          <a:avLst/>
        </a:prstGeom>
      </xdr:spPr>
    </xdr:pic>
    <xdr:clientData/>
  </xdr:oneCellAnchor>
  <xdr:oneCellAnchor>
    <xdr:from>
      <xdr:col>0</xdr:col>
      <xdr:colOff>0</xdr:colOff>
      <xdr:row>111</xdr:row>
      <xdr:rowOff>0</xdr:rowOff>
    </xdr:from>
    <xdr:ext cx="6172200" cy="4648200"/>
    <xdr:pic>
      <xdr:nvPicPr>
        <xdr:cNvPr id="3" name="Picture 2">
          <a:extLst>
            <a:ext uri="{FF2B5EF4-FFF2-40B4-BE49-F238E27FC236}">
              <a16:creationId xmlns:a16="http://schemas.microsoft.com/office/drawing/2014/main" id="{0B44D21D-03B7-418B-8336-5C66E6BA291D}"/>
            </a:ext>
          </a:extLst>
        </xdr:cNvPr>
        <xdr:cNvPicPr>
          <a:picLocks noChangeAspect="1"/>
        </xdr:cNvPicPr>
      </xdr:nvPicPr>
      <xdr:blipFill>
        <a:blip xmlns:r="http://schemas.openxmlformats.org/officeDocument/2006/relationships" r:embed="rId2"/>
        <a:stretch>
          <a:fillRect/>
        </a:stretch>
      </xdr:blipFill>
      <xdr:spPr>
        <a:xfrm>
          <a:off x="0" y="21145500"/>
          <a:ext cx="6172200" cy="4648200"/>
        </a:xfrm>
        <a:prstGeom prst="rect">
          <a:avLst/>
        </a:prstGeom>
      </xdr:spPr>
    </xdr:pic>
    <xdr:clientData/>
  </xdr:oneCellAnchor>
  <xdr:oneCellAnchor>
    <xdr:from>
      <xdr:col>0</xdr:col>
      <xdr:colOff>0</xdr:colOff>
      <xdr:row>192</xdr:row>
      <xdr:rowOff>0</xdr:rowOff>
    </xdr:from>
    <xdr:ext cx="4714875" cy="1524000"/>
    <xdr:pic>
      <xdr:nvPicPr>
        <xdr:cNvPr id="4" name="Picture 3">
          <a:extLst>
            <a:ext uri="{FF2B5EF4-FFF2-40B4-BE49-F238E27FC236}">
              <a16:creationId xmlns:a16="http://schemas.microsoft.com/office/drawing/2014/main" id="{0DE46D09-6EE9-49D0-A013-23258780E7D5}"/>
            </a:ext>
          </a:extLst>
        </xdr:cNvPr>
        <xdr:cNvPicPr>
          <a:picLocks noChangeAspect="1"/>
        </xdr:cNvPicPr>
      </xdr:nvPicPr>
      <xdr:blipFill>
        <a:blip xmlns:r="http://schemas.openxmlformats.org/officeDocument/2006/relationships" r:embed="rId3"/>
        <a:stretch>
          <a:fillRect/>
        </a:stretch>
      </xdr:blipFill>
      <xdr:spPr>
        <a:xfrm>
          <a:off x="0" y="36576000"/>
          <a:ext cx="4714875" cy="1524000"/>
        </a:xfrm>
        <a:prstGeom prst="rect">
          <a:avLst/>
        </a:prstGeom>
      </xdr:spPr>
    </xdr:pic>
    <xdr:clientData/>
  </xdr:oneCellAnchor>
  <xdr:oneCellAnchor>
    <xdr:from>
      <xdr:col>6</xdr:col>
      <xdr:colOff>0</xdr:colOff>
      <xdr:row>284</xdr:row>
      <xdr:rowOff>0</xdr:rowOff>
    </xdr:from>
    <xdr:ext cx="762000" cy="190500"/>
    <xdr:pic>
      <xdr:nvPicPr>
        <xdr:cNvPr id="5" name="Picture 4">
          <a:extLst>
            <a:ext uri="{FF2B5EF4-FFF2-40B4-BE49-F238E27FC236}">
              <a16:creationId xmlns:a16="http://schemas.microsoft.com/office/drawing/2014/main" id="{F085405C-8720-4BCF-B121-50908A1488D5}"/>
            </a:ext>
          </a:extLst>
        </xdr:cNvPr>
        <xdr:cNvPicPr>
          <a:picLocks noChangeAspect="1"/>
        </xdr:cNvPicPr>
      </xdr:nvPicPr>
      <xdr:blipFill>
        <a:blip xmlns:r="http://schemas.openxmlformats.org/officeDocument/2006/relationships" r:embed="rId4"/>
        <a:stretch>
          <a:fillRect/>
        </a:stretch>
      </xdr:blipFill>
      <xdr:spPr>
        <a:xfrm>
          <a:off x="3657600" y="54102000"/>
          <a:ext cx="762000" cy="190500"/>
        </a:xfrm>
        <a:prstGeom prst="rect">
          <a:avLst/>
        </a:prstGeom>
      </xdr:spPr>
    </xdr:pic>
    <xdr:clientData/>
  </xdr:oneCellAnchor>
  <xdr:oneCellAnchor>
    <xdr:from>
      <xdr:col>6</xdr:col>
      <xdr:colOff>0</xdr:colOff>
      <xdr:row>285</xdr:row>
      <xdr:rowOff>0</xdr:rowOff>
    </xdr:from>
    <xdr:ext cx="762000" cy="190500"/>
    <xdr:pic>
      <xdr:nvPicPr>
        <xdr:cNvPr id="6" name="Picture 5">
          <a:extLst>
            <a:ext uri="{FF2B5EF4-FFF2-40B4-BE49-F238E27FC236}">
              <a16:creationId xmlns:a16="http://schemas.microsoft.com/office/drawing/2014/main" id="{52F755F2-190D-4540-8A36-44DDFCBDE974}"/>
            </a:ext>
          </a:extLst>
        </xdr:cNvPr>
        <xdr:cNvPicPr>
          <a:picLocks noChangeAspect="1"/>
        </xdr:cNvPicPr>
      </xdr:nvPicPr>
      <xdr:blipFill>
        <a:blip xmlns:r="http://schemas.openxmlformats.org/officeDocument/2006/relationships" r:embed="rId5"/>
        <a:stretch>
          <a:fillRect/>
        </a:stretch>
      </xdr:blipFill>
      <xdr:spPr>
        <a:xfrm>
          <a:off x="3657600" y="54292500"/>
          <a:ext cx="762000" cy="190500"/>
        </a:xfrm>
        <a:prstGeom prst="rect">
          <a:avLst/>
        </a:prstGeom>
      </xdr:spPr>
    </xdr:pic>
    <xdr:clientData/>
  </xdr:oneCellAnchor>
  <xdr:oneCellAnchor>
    <xdr:from>
      <xdr:col>6</xdr:col>
      <xdr:colOff>0</xdr:colOff>
      <xdr:row>286</xdr:row>
      <xdr:rowOff>0</xdr:rowOff>
    </xdr:from>
    <xdr:ext cx="762000" cy="190500"/>
    <xdr:pic>
      <xdr:nvPicPr>
        <xdr:cNvPr id="7" name="Picture 6">
          <a:extLst>
            <a:ext uri="{FF2B5EF4-FFF2-40B4-BE49-F238E27FC236}">
              <a16:creationId xmlns:a16="http://schemas.microsoft.com/office/drawing/2014/main" id="{188735DE-0FA2-4C25-A3D1-8BF4125C07FB}"/>
            </a:ext>
          </a:extLst>
        </xdr:cNvPr>
        <xdr:cNvPicPr>
          <a:picLocks noChangeAspect="1"/>
        </xdr:cNvPicPr>
      </xdr:nvPicPr>
      <xdr:blipFill>
        <a:blip xmlns:r="http://schemas.openxmlformats.org/officeDocument/2006/relationships" r:embed="rId6"/>
        <a:stretch>
          <a:fillRect/>
        </a:stretch>
      </xdr:blipFill>
      <xdr:spPr>
        <a:xfrm>
          <a:off x="3657600" y="54483000"/>
          <a:ext cx="762000" cy="190500"/>
        </a:xfrm>
        <a:prstGeom prst="rect">
          <a:avLst/>
        </a:prstGeom>
      </xdr:spPr>
    </xdr:pic>
    <xdr:clientData/>
  </xdr:oneCellAnchor>
  <xdr:oneCellAnchor>
    <xdr:from>
      <xdr:col>6</xdr:col>
      <xdr:colOff>0</xdr:colOff>
      <xdr:row>287</xdr:row>
      <xdr:rowOff>0</xdr:rowOff>
    </xdr:from>
    <xdr:ext cx="762000" cy="190500"/>
    <xdr:pic>
      <xdr:nvPicPr>
        <xdr:cNvPr id="8" name="Picture 7">
          <a:extLst>
            <a:ext uri="{FF2B5EF4-FFF2-40B4-BE49-F238E27FC236}">
              <a16:creationId xmlns:a16="http://schemas.microsoft.com/office/drawing/2014/main" id="{A3D851E0-B092-429D-BB2E-260C58BB3287}"/>
            </a:ext>
          </a:extLst>
        </xdr:cNvPr>
        <xdr:cNvPicPr>
          <a:picLocks noChangeAspect="1"/>
        </xdr:cNvPicPr>
      </xdr:nvPicPr>
      <xdr:blipFill>
        <a:blip xmlns:r="http://schemas.openxmlformats.org/officeDocument/2006/relationships" r:embed="rId7"/>
        <a:stretch>
          <a:fillRect/>
        </a:stretch>
      </xdr:blipFill>
      <xdr:spPr>
        <a:xfrm>
          <a:off x="3657600" y="54673500"/>
          <a:ext cx="762000" cy="190500"/>
        </a:xfrm>
        <a:prstGeom prst="rect">
          <a:avLst/>
        </a:prstGeom>
      </xdr:spPr>
    </xdr:pic>
    <xdr:clientData/>
  </xdr:oneCellAnchor>
  <xdr:oneCellAnchor>
    <xdr:from>
      <xdr:col>6</xdr:col>
      <xdr:colOff>0</xdr:colOff>
      <xdr:row>288</xdr:row>
      <xdr:rowOff>0</xdr:rowOff>
    </xdr:from>
    <xdr:ext cx="762000" cy="190500"/>
    <xdr:pic>
      <xdr:nvPicPr>
        <xdr:cNvPr id="9" name="Picture 8">
          <a:extLst>
            <a:ext uri="{FF2B5EF4-FFF2-40B4-BE49-F238E27FC236}">
              <a16:creationId xmlns:a16="http://schemas.microsoft.com/office/drawing/2014/main" id="{8D514FB3-E201-4A8B-930F-AAF4F2B61A19}"/>
            </a:ext>
          </a:extLst>
        </xdr:cNvPr>
        <xdr:cNvPicPr>
          <a:picLocks noChangeAspect="1"/>
        </xdr:cNvPicPr>
      </xdr:nvPicPr>
      <xdr:blipFill>
        <a:blip xmlns:r="http://schemas.openxmlformats.org/officeDocument/2006/relationships" r:embed="rId8"/>
        <a:stretch>
          <a:fillRect/>
        </a:stretch>
      </xdr:blipFill>
      <xdr:spPr>
        <a:xfrm>
          <a:off x="3657600" y="54864000"/>
          <a:ext cx="762000" cy="190500"/>
        </a:xfrm>
        <a:prstGeom prst="rect">
          <a:avLst/>
        </a:prstGeom>
      </xdr:spPr>
    </xdr:pic>
    <xdr:clientData/>
  </xdr:oneCellAnchor>
  <xdr:oneCellAnchor>
    <xdr:from>
      <xdr:col>0</xdr:col>
      <xdr:colOff>0</xdr:colOff>
      <xdr:row>297</xdr:row>
      <xdr:rowOff>0</xdr:rowOff>
    </xdr:from>
    <xdr:ext cx="3705225" cy="514350"/>
    <xdr:pic>
      <xdr:nvPicPr>
        <xdr:cNvPr id="10" name="Picture 9">
          <a:extLst>
            <a:ext uri="{FF2B5EF4-FFF2-40B4-BE49-F238E27FC236}">
              <a16:creationId xmlns:a16="http://schemas.microsoft.com/office/drawing/2014/main" id="{4D1F8ACB-B4D6-4DAF-A11D-F80CB0A78B72}"/>
            </a:ext>
          </a:extLst>
        </xdr:cNvPr>
        <xdr:cNvPicPr>
          <a:picLocks noChangeAspect="1"/>
        </xdr:cNvPicPr>
      </xdr:nvPicPr>
      <xdr:blipFill>
        <a:blip xmlns:r="http://schemas.openxmlformats.org/officeDocument/2006/relationships" r:embed="rId9"/>
        <a:stretch>
          <a:fillRect/>
        </a:stretch>
      </xdr:blipFill>
      <xdr:spPr>
        <a:xfrm>
          <a:off x="0" y="56578500"/>
          <a:ext cx="3705225" cy="514350"/>
        </a:xfrm>
        <a:prstGeom prst="rect">
          <a:avLst/>
        </a:prstGeom>
      </xdr:spPr>
    </xdr:pic>
    <xdr:clientData/>
  </xdr:oneCellAnchor>
  <xdr:oneCellAnchor>
    <xdr:from>
      <xdr:col>0</xdr:col>
      <xdr:colOff>0</xdr:colOff>
      <xdr:row>302</xdr:row>
      <xdr:rowOff>0</xdr:rowOff>
    </xdr:from>
    <xdr:ext cx="5057775" cy="762000"/>
    <xdr:pic>
      <xdr:nvPicPr>
        <xdr:cNvPr id="11" name="Picture 10">
          <a:extLst>
            <a:ext uri="{FF2B5EF4-FFF2-40B4-BE49-F238E27FC236}">
              <a16:creationId xmlns:a16="http://schemas.microsoft.com/office/drawing/2014/main" id="{8936E398-5C33-4B9A-91BF-264646DCF0FC}"/>
            </a:ext>
          </a:extLst>
        </xdr:cNvPr>
        <xdr:cNvPicPr>
          <a:picLocks noChangeAspect="1"/>
        </xdr:cNvPicPr>
      </xdr:nvPicPr>
      <xdr:blipFill>
        <a:blip xmlns:r="http://schemas.openxmlformats.org/officeDocument/2006/relationships" r:embed="rId10"/>
        <a:stretch>
          <a:fillRect/>
        </a:stretch>
      </xdr:blipFill>
      <xdr:spPr>
        <a:xfrm>
          <a:off x="0" y="57531000"/>
          <a:ext cx="5057775" cy="762000"/>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0</xdr:col>
      <xdr:colOff>28575</xdr:colOff>
      <xdr:row>0</xdr:row>
      <xdr:rowOff>28575</xdr:rowOff>
    </xdr:from>
    <xdr:ext cx="1524000" cy="419100"/>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28575" y="28575"/>
          <a:ext cx="1524000" cy="419100"/>
        </a:xfrm>
        <a:prstGeom prst="rect">
          <a:avLst/>
        </a:prstGeom>
      </xdr:spPr>
    </xdr:pic>
    <xdr:clientData/>
  </xdr:one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array.xml><?xml version="1.0" encoding="utf-8"?>
<arrayData xmlns="http://schemas.microsoft.com/office/spreadsheetml/2017/richdata2" count="2">
  <a r="1" c="5">
    <v t="i">0</v>
    <v t="i">1</v>
    <v t="i">2</v>
    <v t="i">5</v>
    <v t="i">6</v>
  </a>
  <a r="1" c="5">
    <v>209.05</v>
    <v>207.57</v>
    <v>202.38</v>
    <v>203.35</v>
    <v>202.92</v>
  </a>
</arrayData>
</file>

<file path=xl/richData/rdrichvalue.xml><?xml version="1.0" encoding="utf-8"?>
<rvData xmlns="http://schemas.microsoft.com/office/spreadsheetml/2017/richdata" count="2">
  <rv s="0">
    <fb>202.92</fb>
    <v>0</v>
  </rv>
  <rv s="1">
    <v>1</v>
    <v>AAPL</v>
    <v>Daily</v>
    <v>45868</v>
    <v>45875</v>
    <v>0</v>
    <v>1</v>
    <v>638899488000000000,638900720790226903,0</v>
    <v>0</v>
    <v>a1mou2</v>
    <v>XNAS:AAPL</v>
    <v>1</v>
  </rv>
</rvData>
</file>

<file path=xl/richData/rdrichvaluestructure.xml><?xml version="1.0" encoding="utf-8"?>
<rvStructures xmlns="http://schemas.microsoft.com/office/spreadsheetml/2017/richdata" count="2">
  <s t="_formattednumber">
    <k n="_Format" t="spb"/>
  </s>
  <s t="_stockhistorycache">
    <k n="_Format" t="spb"/>
    <k n="Symbol" t="s"/>
    <k n="Interval" t="s"/>
    <k n="StartDate" t="i"/>
    <k n="EndDate" t="i"/>
    <k n="f1904" t="b"/>
    <k n="fdcompat" t="b"/>
    <k n="etag" t="s"/>
    <k n="Date" t="a"/>
    <k n="EntityId" t="s"/>
    <k n="Instrument" t="s"/>
    <k n="Close" t="a"/>
  </s>
</rvStructures>
</file>

<file path=xl/richData/rdsupportingpropertybag.xml><?xml version="1.0" encoding="utf-8"?>
<supportingPropertyBags xmlns="http://schemas.microsoft.com/office/spreadsheetml/2017/richdata2">
  <spbData count="2">
    <spb s="0">
      <v>1</v>
    </spb>
    <spb s="1">
      <v>2</v>
      <v>1</v>
    </spb>
  </spbData>
</supportingPropertyBags>
</file>

<file path=xl/richData/rdsupportingpropertybagstructure.xml><?xml version="1.0" encoding="utf-8"?>
<spbStructures xmlns="http://schemas.microsoft.com/office/spreadsheetml/2017/richdata2" count="2">
  <s>
    <k n="_Self" t="i"/>
  </s>
  <s>
    <k n="Date" t="i"/>
    <k n="Close"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2">
    <x:dxf>
      <x:numFmt numFmtId="19" formatCode="m/d/yyyy"/>
    </x:dxf>
    <x:dxf>
      <x:numFmt numFmtId="0" formatCode="General"/>
    </x:dxf>
  </dxfs>
  <richProperties>
    <rPr n="NumberFormat" t="s"/>
  </richProperties>
  <richStyles>
    <rSty dxfid="1">
      <rpv i="0">_([$$-en-US]* #,##0.00_);_([$$-en-US]* (#,##0.00);_([$$-en-US]* "-"??_);_(@_)</rpv>
    </rSty>
    <rSty dxfid="0"/>
  </richStyles>
</richStyleSheet>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hyperlink" Target="https://www.cnbc.com/quotes/US10Y" TargetMode="External"/><Relationship Id="rId2" Type="http://schemas.openxmlformats.org/officeDocument/2006/relationships/hyperlink" Target="https://pages.stern.nyu.edu/~adamodar/New_Home_Page/datafile/ctryprem.html" TargetMode="External"/><Relationship Id="rId1" Type="http://schemas.openxmlformats.org/officeDocument/2006/relationships/hyperlink" Target="https://pages.stern.nyu.edu/~adamodar/New_Home_Page/datafile/ctryprem.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2ED428-747B-44B9-96EB-EDCF151301F2}">
  <dimension ref="A1:L306"/>
  <sheetViews>
    <sheetView workbookViewId="0">
      <selection sqref="A1:D1"/>
    </sheetView>
  </sheetViews>
  <sheetFormatPr defaultRowHeight="15" x14ac:dyDescent="0.25"/>
  <cols>
    <col min="1" max="1" width="40.7109375" customWidth="1"/>
    <col min="2" max="3" width="20.7109375" customWidth="1"/>
    <col min="4" max="4" width="23.140625" customWidth="1"/>
    <col min="5" max="5" width="22.5703125" customWidth="1"/>
    <col min="6" max="7" width="8.7109375" customWidth="1"/>
  </cols>
  <sheetData>
    <row r="1" spans="1:12" ht="39.950000000000003" customHeight="1" x14ac:dyDescent="0.25">
      <c r="A1" s="111"/>
      <c r="B1" s="111"/>
      <c r="C1" s="111"/>
      <c r="D1" s="111"/>
    </row>
    <row r="2" spans="1:12" ht="30" customHeight="1" x14ac:dyDescent="0.3">
      <c r="A2" s="28" t="s">
        <v>1434</v>
      </c>
      <c r="B2" s="61"/>
      <c r="C2" s="61"/>
      <c r="D2" s="61"/>
      <c r="E2" s="61"/>
      <c r="F2" s="61"/>
      <c r="G2" s="61"/>
      <c r="H2" s="61"/>
      <c r="I2" s="61"/>
      <c r="J2" s="61"/>
      <c r="K2" s="61"/>
      <c r="L2" s="61"/>
    </row>
    <row r="3" spans="1:12" x14ac:dyDescent="0.25">
      <c r="A3" s="112" t="s">
        <v>1433</v>
      </c>
      <c r="B3" s="112"/>
      <c r="C3" s="112"/>
      <c r="D3" s="112"/>
      <c r="E3" s="112"/>
      <c r="F3" s="112"/>
      <c r="G3" s="112"/>
    </row>
    <row r="5" spans="1:12" x14ac:dyDescent="0.25">
      <c r="A5" s="112"/>
      <c r="B5" s="112"/>
      <c r="C5" s="112"/>
      <c r="D5" s="112"/>
      <c r="E5" s="112"/>
      <c r="F5" s="112"/>
      <c r="G5" s="112"/>
    </row>
    <row r="6" spans="1:12" x14ac:dyDescent="0.25">
      <c r="A6" s="113" t="s">
        <v>1432</v>
      </c>
      <c r="B6" s="113"/>
    </row>
    <row r="7" spans="1:12" x14ac:dyDescent="0.25">
      <c r="A7" s="110" t="s">
        <v>1431</v>
      </c>
      <c r="B7" s="110"/>
    </row>
    <row r="8" spans="1:12" x14ac:dyDescent="0.25">
      <c r="A8" s="1" t="s">
        <v>1430</v>
      </c>
      <c r="B8" s="1" t="s">
        <v>1429</v>
      </c>
      <c r="C8" s="1"/>
    </row>
    <row r="9" spans="1:12" ht="120" x14ac:dyDescent="0.25">
      <c r="A9" s="1" t="s">
        <v>1428</v>
      </c>
      <c r="B9" s="1" t="s">
        <v>1427</v>
      </c>
      <c r="C9" s="1"/>
    </row>
    <row r="10" spans="1:12" ht="30" x14ac:dyDescent="0.25">
      <c r="A10" s="1" t="s">
        <v>1426</v>
      </c>
      <c r="B10" s="1" t="s">
        <v>1425</v>
      </c>
      <c r="C10" s="1"/>
    </row>
    <row r="11" spans="1:12" x14ac:dyDescent="0.25">
      <c r="A11" s="1" t="s">
        <v>1424</v>
      </c>
      <c r="B11" s="47">
        <v>28128</v>
      </c>
      <c r="C11" s="1"/>
    </row>
    <row r="12" spans="1:12" x14ac:dyDescent="0.25">
      <c r="A12" s="1" t="s">
        <v>1423</v>
      </c>
      <c r="B12" s="47">
        <v>29567</v>
      </c>
      <c r="C12" s="1"/>
    </row>
    <row r="13" spans="1:12" x14ac:dyDescent="0.25">
      <c r="A13" s="1" t="s">
        <v>1422</v>
      </c>
      <c r="B13" s="1" t="s">
        <v>1421</v>
      </c>
      <c r="C13" s="1"/>
    </row>
    <row r="14" spans="1:12" x14ac:dyDescent="0.25">
      <c r="A14" s="1" t="s">
        <v>1420</v>
      </c>
      <c r="B14" s="1" t="s">
        <v>1419</v>
      </c>
      <c r="C14" s="1"/>
    </row>
    <row r="15" spans="1:12" ht="45" x14ac:dyDescent="0.25">
      <c r="A15" s="1" t="s">
        <v>1418</v>
      </c>
      <c r="B15" s="1" t="s">
        <v>1417</v>
      </c>
      <c r="C15" s="1"/>
    </row>
    <row r="16" spans="1:12" ht="105" x14ac:dyDescent="0.25">
      <c r="A16" s="1" t="s">
        <v>1416</v>
      </c>
      <c r="B16" s="1" t="s">
        <v>1415</v>
      </c>
      <c r="C16" s="1"/>
    </row>
    <row r="17" spans="1:3" x14ac:dyDescent="0.25">
      <c r="A17" s="114" t="s">
        <v>1414</v>
      </c>
      <c r="B17" s="114"/>
      <c r="C17" s="114"/>
    </row>
    <row r="18" spans="1:3" x14ac:dyDescent="0.25">
      <c r="A18" s="109" t="s">
        <v>1413</v>
      </c>
      <c r="B18" s="109"/>
      <c r="C18" s="109"/>
    </row>
    <row r="19" spans="1:3" x14ac:dyDescent="0.25">
      <c r="A19" s="109"/>
      <c r="B19" s="109"/>
      <c r="C19" s="109"/>
    </row>
    <row r="20" spans="1:3" x14ac:dyDescent="0.25">
      <c r="A20" s="109"/>
      <c r="B20" s="109"/>
      <c r="C20" s="109"/>
    </row>
    <row r="21" spans="1:3" x14ac:dyDescent="0.25">
      <c r="A21" s="109"/>
      <c r="B21" s="109"/>
      <c r="C21" s="109"/>
    </row>
    <row r="22" spans="1:3" x14ac:dyDescent="0.25">
      <c r="A22" s="109"/>
      <c r="B22" s="109"/>
      <c r="C22" s="109"/>
    </row>
    <row r="23" spans="1:3" x14ac:dyDescent="0.25">
      <c r="A23" s="109"/>
      <c r="B23" s="109"/>
      <c r="C23" s="109"/>
    </row>
    <row r="24" spans="1:3" x14ac:dyDescent="0.25">
      <c r="A24" s="109"/>
      <c r="B24" s="109"/>
      <c r="C24" s="109"/>
    </row>
    <row r="25" spans="1:3" x14ac:dyDescent="0.25">
      <c r="A25" s="109"/>
      <c r="B25" s="109"/>
      <c r="C25" s="109"/>
    </row>
    <row r="26" spans="1:3" x14ac:dyDescent="0.25">
      <c r="A26" s="109"/>
      <c r="B26" s="109"/>
      <c r="C26" s="109"/>
    </row>
    <row r="27" spans="1:3" x14ac:dyDescent="0.25">
      <c r="A27" s="109"/>
      <c r="B27" s="109"/>
      <c r="C27" s="109"/>
    </row>
    <row r="28" spans="1:3" x14ac:dyDescent="0.25">
      <c r="A28" s="109"/>
      <c r="B28" s="109"/>
      <c r="C28" s="109"/>
    </row>
    <row r="29" spans="1:3" x14ac:dyDescent="0.25">
      <c r="A29" s="109"/>
      <c r="B29" s="109"/>
      <c r="C29" s="109"/>
    </row>
    <row r="30" spans="1:3" x14ac:dyDescent="0.25">
      <c r="A30" s="109"/>
      <c r="B30" s="109"/>
      <c r="C30" s="109"/>
    </row>
    <row r="31" spans="1:3" x14ac:dyDescent="0.25">
      <c r="A31" s="109"/>
      <c r="B31" s="109"/>
      <c r="C31" s="109"/>
    </row>
    <row r="32" spans="1:3" x14ac:dyDescent="0.25">
      <c r="A32" s="109"/>
      <c r="B32" s="109"/>
      <c r="C32" s="109"/>
    </row>
    <row r="33" spans="1:3" x14ac:dyDescent="0.25">
      <c r="A33" s="109"/>
      <c r="B33" s="109"/>
      <c r="C33" s="109"/>
    </row>
    <row r="34" spans="1:3" x14ac:dyDescent="0.25">
      <c r="A34" s="109"/>
      <c r="B34" s="109"/>
      <c r="C34" s="109"/>
    </row>
    <row r="35" spans="1:3" x14ac:dyDescent="0.25">
      <c r="A35" s="109"/>
      <c r="B35" s="109"/>
      <c r="C35" s="109"/>
    </row>
    <row r="36" spans="1:3" x14ac:dyDescent="0.25">
      <c r="A36" s="109"/>
      <c r="B36" s="109"/>
      <c r="C36" s="109"/>
    </row>
    <row r="37" spans="1:3" x14ac:dyDescent="0.25">
      <c r="A37" s="2"/>
      <c r="B37" s="6" t="s">
        <v>1412</v>
      </c>
      <c r="C37" s="51">
        <v>45855</v>
      </c>
    </row>
    <row r="38" spans="1:3" x14ac:dyDescent="0.25">
      <c r="A38" s="110" t="s">
        <v>1411</v>
      </c>
      <c r="B38" s="110"/>
    </row>
    <row r="39" spans="1:3" ht="45" x14ac:dyDescent="0.25">
      <c r="A39" s="5" t="s">
        <v>1410</v>
      </c>
      <c r="B39" s="1" t="s">
        <v>1409</v>
      </c>
    </row>
    <row r="40" spans="1:3" x14ac:dyDescent="0.25">
      <c r="A40" s="5" t="s">
        <v>1408</v>
      </c>
      <c r="B40" s="2" t="s">
        <v>1407</v>
      </c>
    </row>
    <row r="41" spans="1:3" x14ac:dyDescent="0.25">
      <c r="A41" s="5" t="s">
        <v>1406</v>
      </c>
      <c r="B41" s="2" t="s">
        <v>1405</v>
      </c>
    </row>
    <row r="44" spans="1:3" x14ac:dyDescent="0.25">
      <c r="A44" s="110" t="s">
        <v>1404</v>
      </c>
      <c r="B44" s="110"/>
    </row>
    <row r="45" spans="1:3" x14ac:dyDescent="0.25">
      <c r="A45" s="1" t="s">
        <v>1403</v>
      </c>
      <c r="B45" s="109" t="s">
        <v>1402</v>
      </c>
      <c r="C45" s="109"/>
    </row>
    <row r="46" spans="1:3" x14ac:dyDescent="0.25">
      <c r="A46" s="1" t="s">
        <v>1401</v>
      </c>
      <c r="B46" s="109" t="s">
        <v>1400</v>
      </c>
      <c r="C46" s="109"/>
    </row>
    <row r="47" spans="1:3" x14ac:dyDescent="0.25">
      <c r="A47" s="1" t="s">
        <v>1399</v>
      </c>
      <c r="B47" s="109" t="s">
        <v>1398</v>
      </c>
      <c r="C47" s="109"/>
    </row>
    <row r="48" spans="1:3" x14ac:dyDescent="0.25">
      <c r="A48" s="1" t="s">
        <v>1397</v>
      </c>
      <c r="B48" s="109" t="s">
        <v>1396</v>
      </c>
      <c r="C48" s="109"/>
    </row>
    <row r="49" spans="1:5" x14ac:dyDescent="0.25">
      <c r="A49" s="1" t="s">
        <v>1395</v>
      </c>
      <c r="B49" s="109" t="s">
        <v>1394</v>
      </c>
      <c r="C49" s="109"/>
    </row>
    <row r="51" spans="1:5" x14ac:dyDescent="0.25">
      <c r="A51" s="110" t="s">
        <v>1393</v>
      </c>
      <c r="B51" s="110"/>
    </row>
    <row r="52" spans="1:5" x14ac:dyDescent="0.25">
      <c r="A52" s="109" t="s">
        <v>1392</v>
      </c>
      <c r="B52" s="109"/>
      <c r="C52" s="109"/>
      <c r="D52" s="109"/>
      <c r="E52" s="109"/>
    </row>
    <row r="53" spans="1:5" x14ac:dyDescent="0.25">
      <c r="A53" s="2"/>
      <c r="B53" s="109" t="s">
        <v>1391</v>
      </c>
      <c r="C53" s="109"/>
      <c r="D53" s="109"/>
      <c r="E53" s="109"/>
    </row>
    <row r="54" spans="1:5" x14ac:dyDescent="0.25">
      <c r="A54" s="2"/>
      <c r="B54" s="2"/>
      <c r="C54" s="109" t="s">
        <v>1390</v>
      </c>
      <c r="D54" s="109"/>
      <c r="E54" s="109"/>
    </row>
    <row r="55" spans="1:5" x14ac:dyDescent="0.25">
      <c r="A55" s="2"/>
      <c r="B55" s="109" t="s">
        <v>1389</v>
      </c>
      <c r="C55" s="109"/>
      <c r="D55" s="109"/>
      <c r="E55" s="109"/>
    </row>
    <row r="56" spans="1:5" x14ac:dyDescent="0.25">
      <c r="A56" s="2"/>
      <c r="B56" s="2"/>
      <c r="C56" s="109" t="s">
        <v>1388</v>
      </c>
      <c r="D56" s="109"/>
      <c r="E56" s="109"/>
    </row>
    <row r="57" spans="1:5" x14ac:dyDescent="0.25">
      <c r="A57" s="2"/>
      <c r="B57" s="2"/>
      <c r="C57" s="109" t="s">
        <v>1387</v>
      </c>
      <c r="D57" s="109"/>
      <c r="E57" s="109"/>
    </row>
    <row r="58" spans="1:5" x14ac:dyDescent="0.25">
      <c r="A58" s="2"/>
      <c r="B58" s="109" t="s">
        <v>1386</v>
      </c>
      <c r="C58" s="109"/>
      <c r="D58" s="109"/>
      <c r="E58" s="109"/>
    </row>
    <row r="59" spans="1:5" x14ac:dyDescent="0.25">
      <c r="A59" s="2"/>
      <c r="B59" s="2"/>
      <c r="C59" s="109" t="s">
        <v>1385</v>
      </c>
      <c r="D59" s="109"/>
      <c r="E59" s="109"/>
    </row>
    <row r="60" spans="1:5" x14ac:dyDescent="0.25">
      <c r="A60" s="2"/>
      <c r="B60" s="2"/>
      <c r="C60" s="2"/>
      <c r="D60" s="109" t="s">
        <v>1384</v>
      </c>
      <c r="E60" s="109"/>
    </row>
    <row r="61" spans="1:5" x14ac:dyDescent="0.25">
      <c r="A61" s="109" t="s">
        <v>1383</v>
      </c>
      <c r="B61" s="109"/>
      <c r="C61" s="109"/>
      <c r="D61" s="109"/>
      <c r="E61" s="109"/>
    </row>
    <row r="62" spans="1:5" x14ac:dyDescent="0.25">
      <c r="A62" s="2"/>
      <c r="B62" s="109" t="s">
        <v>1382</v>
      </c>
      <c r="C62" s="109"/>
      <c r="D62" s="109"/>
      <c r="E62" s="109"/>
    </row>
    <row r="63" spans="1:5" x14ac:dyDescent="0.25">
      <c r="A63" s="2"/>
      <c r="B63" s="2"/>
      <c r="C63" s="109" t="s">
        <v>1381</v>
      </c>
      <c r="D63" s="109"/>
      <c r="E63" s="109"/>
    </row>
    <row r="64" spans="1:5" x14ac:dyDescent="0.25">
      <c r="A64" s="2"/>
      <c r="B64" s="2"/>
      <c r="C64" s="2"/>
      <c r="D64" s="109" t="s">
        <v>1380</v>
      </c>
      <c r="E64" s="109"/>
    </row>
    <row r="65" spans="1:7" ht="30" x14ac:dyDescent="0.25">
      <c r="A65" s="2"/>
      <c r="B65" s="2"/>
      <c r="C65" s="2"/>
      <c r="D65" s="2"/>
      <c r="E65" s="1" t="s">
        <v>1379</v>
      </c>
    </row>
    <row r="66" spans="1:7" ht="45" x14ac:dyDescent="0.25">
      <c r="A66" s="2"/>
      <c r="B66" s="2"/>
      <c r="C66" s="2"/>
      <c r="D66" s="2"/>
      <c r="E66" s="1" t="s">
        <v>1378</v>
      </c>
    </row>
    <row r="67" spans="1:7" x14ac:dyDescent="0.25">
      <c r="A67" s="2"/>
      <c r="B67" s="109" t="s">
        <v>1377</v>
      </c>
      <c r="C67" s="109"/>
      <c r="D67" s="109"/>
      <c r="E67" s="109"/>
    </row>
    <row r="68" spans="1:7" x14ac:dyDescent="0.25">
      <c r="A68" s="2"/>
      <c r="B68" s="2"/>
      <c r="C68" s="109" t="s">
        <v>1376</v>
      </c>
      <c r="D68" s="109"/>
      <c r="E68" s="109"/>
    </row>
    <row r="69" spans="1:7" x14ac:dyDescent="0.25">
      <c r="A69" s="2"/>
      <c r="B69" s="2"/>
      <c r="C69" s="2"/>
      <c r="D69" s="109" t="s">
        <v>1375</v>
      </c>
      <c r="E69" s="109"/>
    </row>
    <row r="70" spans="1:7" x14ac:dyDescent="0.25">
      <c r="A70" s="2"/>
      <c r="B70" s="2"/>
      <c r="C70" s="2"/>
      <c r="D70" s="2"/>
      <c r="E70" s="1" t="s">
        <v>1374</v>
      </c>
    </row>
    <row r="71" spans="1:7" ht="60" x14ac:dyDescent="0.25">
      <c r="A71" s="2"/>
      <c r="B71" s="2"/>
      <c r="C71" s="2"/>
      <c r="D71" s="2"/>
      <c r="E71" s="2"/>
      <c r="F71" s="1" t="s">
        <v>1373</v>
      </c>
    </row>
    <row r="72" spans="1:7" ht="30" x14ac:dyDescent="0.25">
      <c r="A72" s="2"/>
      <c r="B72" s="2"/>
      <c r="C72" s="2"/>
      <c r="D72" s="2"/>
      <c r="E72" s="2"/>
      <c r="F72" s="2"/>
      <c r="G72" s="1" t="s">
        <v>1372</v>
      </c>
    </row>
    <row r="73" spans="1:7" ht="30" x14ac:dyDescent="0.25">
      <c r="A73" s="2"/>
      <c r="B73" s="2"/>
      <c r="C73" s="2"/>
      <c r="D73" s="2"/>
      <c r="E73" s="1" t="s">
        <v>1371</v>
      </c>
    </row>
    <row r="74" spans="1:7" x14ac:dyDescent="0.25">
      <c r="A74" s="2"/>
      <c r="B74" s="2"/>
      <c r="C74" s="109" t="s">
        <v>1370</v>
      </c>
      <c r="D74" s="109"/>
      <c r="E74" s="109"/>
    </row>
    <row r="75" spans="1:7" x14ac:dyDescent="0.25">
      <c r="A75" s="2"/>
      <c r="B75" s="2"/>
      <c r="C75" s="2"/>
      <c r="D75" s="109" t="s">
        <v>1369</v>
      </c>
      <c r="E75" s="109"/>
    </row>
    <row r="76" spans="1:7" ht="30" x14ac:dyDescent="0.25">
      <c r="A76" s="2"/>
      <c r="B76" s="2"/>
      <c r="C76" s="2"/>
      <c r="D76" s="2"/>
      <c r="E76" s="1" t="s">
        <v>1368</v>
      </c>
    </row>
    <row r="77" spans="1:7" ht="30" x14ac:dyDescent="0.25">
      <c r="A77" s="2"/>
      <c r="B77" s="2"/>
      <c r="C77" s="2"/>
      <c r="D77" s="2"/>
      <c r="E77" s="2"/>
      <c r="F77" s="1" t="s">
        <v>1367</v>
      </c>
    </row>
    <row r="78" spans="1:7" x14ac:dyDescent="0.25">
      <c r="A78" s="2"/>
      <c r="B78" s="2"/>
      <c r="C78" s="2"/>
      <c r="D78" s="2"/>
      <c r="E78" s="2"/>
      <c r="F78" s="2"/>
      <c r="G78" s="1" t="s">
        <v>1366</v>
      </c>
    </row>
    <row r="79" spans="1:7" x14ac:dyDescent="0.25">
      <c r="A79" s="109" t="s">
        <v>1365</v>
      </c>
      <c r="B79" s="109"/>
      <c r="C79" s="109"/>
      <c r="D79" s="109"/>
      <c r="E79" s="109"/>
    </row>
    <row r="80" spans="1:7" x14ac:dyDescent="0.25">
      <c r="A80" s="2"/>
      <c r="B80" s="109" t="s">
        <v>1364</v>
      </c>
      <c r="C80" s="109"/>
      <c r="D80" s="109"/>
      <c r="E80" s="109"/>
    </row>
    <row r="81" spans="1:6" x14ac:dyDescent="0.25">
      <c r="A81" s="2"/>
      <c r="B81" s="2"/>
      <c r="C81" s="109" t="s">
        <v>1363</v>
      </c>
      <c r="D81" s="109"/>
      <c r="E81" s="109"/>
    </row>
    <row r="82" spans="1:6" x14ac:dyDescent="0.25">
      <c r="A82" s="2"/>
      <c r="B82" s="2"/>
      <c r="C82" s="2"/>
      <c r="D82" s="109" t="s">
        <v>1362</v>
      </c>
      <c r="E82" s="109"/>
    </row>
    <row r="83" spans="1:6" ht="30" x14ac:dyDescent="0.25">
      <c r="A83" s="2"/>
      <c r="B83" s="2"/>
      <c r="C83" s="2"/>
      <c r="D83" s="2"/>
      <c r="E83" s="1" t="s">
        <v>1361</v>
      </c>
    </row>
    <row r="84" spans="1:6" x14ac:dyDescent="0.25">
      <c r="A84" s="2"/>
      <c r="B84" s="2"/>
      <c r="C84" s="109" t="s">
        <v>1360</v>
      </c>
      <c r="D84" s="109"/>
      <c r="E84" s="109"/>
    </row>
    <row r="85" spans="1:6" x14ac:dyDescent="0.25">
      <c r="A85" s="2"/>
      <c r="B85" s="2"/>
      <c r="C85" s="2"/>
      <c r="D85" s="114" t="s">
        <v>1359</v>
      </c>
      <c r="E85" s="114"/>
    </row>
    <row r="86" spans="1:6" ht="30" x14ac:dyDescent="0.25">
      <c r="A86" s="2"/>
      <c r="B86" s="2"/>
      <c r="C86" s="2"/>
      <c r="D86" s="2"/>
      <c r="E86" s="1" t="s">
        <v>1358</v>
      </c>
    </row>
    <row r="87" spans="1:6" x14ac:dyDescent="0.25">
      <c r="A87" s="2"/>
      <c r="B87" s="2"/>
      <c r="C87" s="2"/>
      <c r="D87" s="2"/>
      <c r="E87" s="1" t="s">
        <v>1357</v>
      </c>
    </row>
    <row r="88" spans="1:6" x14ac:dyDescent="0.25">
      <c r="A88" s="2"/>
      <c r="B88" s="2"/>
      <c r="C88" s="2"/>
      <c r="D88" s="2"/>
      <c r="E88" s="1" t="s">
        <v>1356</v>
      </c>
    </row>
    <row r="89" spans="1:6" ht="45" x14ac:dyDescent="0.25">
      <c r="A89" s="2"/>
      <c r="B89" s="2"/>
      <c r="C89" s="2"/>
      <c r="D89" s="2"/>
      <c r="E89" s="1" t="s">
        <v>1355</v>
      </c>
    </row>
    <row r="90" spans="1:6" ht="75" x14ac:dyDescent="0.25">
      <c r="A90" s="2"/>
      <c r="B90" s="2"/>
      <c r="C90" s="2"/>
      <c r="D90" s="2"/>
      <c r="E90" s="2"/>
      <c r="F90" s="1" t="s">
        <v>1354</v>
      </c>
    </row>
    <row r="91" spans="1:6" x14ac:dyDescent="0.25">
      <c r="A91" s="2"/>
      <c r="B91" s="2"/>
      <c r="C91" s="2"/>
      <c r="D91" s="109" t="s">
        <v>1353</v>
      </c>
      <c r="E91" s="109"/>
    </row>
    <row r="92" spans="1:6" x14ac:dyDescent="0.25">
      <c r="A92" s="2"/>
      <c r="B92" s="109" t="s">
        <v>1352</v>
      </c>
      <c r="C92" s="109"/>
      <c r="D92" s="109"/>
      <c r="E92" s="109"/>
    </row>
    <row r="93" spans="1:6" x14ac:dyDescent="0.25">
      <c r="A93" s="2"/>
      <c r="B93" s="2"/>
      <c r="C93" s="109" t="s">
        <v>1351</v>
      </c>
      <c r="D93" s="109"/>
      <c r="E93" s="109"/>
    </row>
    <row r="94" spans="1:6" x14ac:dyDescent="0.25">
      <c r="A94" s="2"/>
      <c r="B94" s="2"/>
      <c r="C94" s="2"/>
      <c r="D94" s="109" t="s">
        <v>1350</v>
      </c>
      <c r="E94" s="109"/>
    </row>
    <row r="96" spans="1:6" x14ac:dyDescent="0.25">
      <c r="A96" s="113" t="s">
        <v>1349</v>
      </c>
      <c r="B96" s="113"/>
      <c r="C96" s="113"/>
      <c r="D96" s="113"/>
      <c r="E96" s="113"/>
    </row>
    <row r="97" spans="1:5" x14ac:dyDescent="0.25">
      <c r="A97" s="110" t="s">
        <v>1326</v>
      </c>
      <c r="B97" s="110"/>
      <c r="C97" s="112" t="s">
        <v>1348</v>
      </c>
      <c r="D97" s="112"/>
    </row>
    <row r="98" spans="1:5" x14ac:dyDescent="0.25">
      <c r="A98" s="114" t="s">
        <v>1347</v>
      </c>
      <c r="B98" s="114"/>
      <c r="C98" s="57">
        <v>203.125</v>
      </c>
      <c r="D98" s="5" t="s">
        <v>1346</v>
      </c>
      <c r="E98" s="58">
        <v>54668851</v>
      </c>
    </row>
    <row r="99" spans="1:5" x14ac:dyDescent="0.25">
      <c r="A99" s="114" t="s">
        <v>1345</v>
      </c>
      <c r="B99" s="114"/>
      <c r="C99" s="57">
        <v>204.62899999999999</v>
      </c>
      <c r="D99" s="5" t="s">
        <v>1344</v>
      </c>
      <c r="E99" s="58">
        <v>54385286</v>
      </c>
    </row>
    <row r="100" spans="1:5" x14ac:dyDescent="0.25">
      <c r="A100" s="110" t="s">
        <v>1343</v>
      </c>
      <c r="B100" s="110"/>
      <c r="C100" s="57">
        <v>204.505</v>
      </c>
      <c r="D100" s="5" t="s">
        <v>1342</v>
      </c>
      <c r="E100" s="58">
        <v>14840390000</v>
      </c>
    </row>
    <row r="101" spans="1:5" x14ac:dyDescent="0.25">
      <c r="A101" s="110" t="s">
        <v>1341</v>
      </c>
      <c r="B101" s="110"/>
      <c r="C101" s="57">
        <v>202.38</v>
      </c>
      <c r="D101" s="5"/>
      <c r="E101" s="60">
        <v>45870</v>
      </c>
    </row>
    <row r="102" spans="1:5" x14ac:dyDescent="0.25">
      <c r="A102" s="114" t="s">
        <v>1340</v>
      </c>
      <c r="B102" s="114"/>
      <c r="C102" s="57">
        <v>207.88</v>
      </c>
      <c r="D102" s="5" t="s">
        <v>1339</v>
      </c>
      <c r="E102" s="57">
        <v>201.67500000000001</v>
      </c>
    </row>
    <row r="103" spans="1:5" x14ac:dyDescent="0.25">
      <c r="A103" s="114" t="s">
        <v>1338</v>
      </c>
      <c r="B103" s="114"/>
      <c r="C103" s="57">
        <v>260.10000000000002</v>
      </c>
      <c r="D103" s="5" t="s">
        <v>1337</v>
      </c>
      <c r="E103" s="57">
        <v>169.21</v>
      </c>
    </row>
    <row r="104" spans="1:5" x14ac:dyDescent="0.25">
      <c r="A104" s="114" t="s">
        <v>1336</v>
      </c>
      <c r="B104" s="114"/>
      <c r="C104" s="57">
        <v>1.23</v>
      </c>
      <c r="D104" s="5" t="s">
        <v>1335</v>
      </c>
      <c r="E104" s="57">
        <v>99.83</v>
      </c>
    </row>
    <row r="105" spans="1:5" x14ac:dyDescent="0.25">
      <c r="A105" s="114" t="s">
        <v>1334</v>
      </c>
      <c r="B105" s="114"/>
      <c r="C105" s="59">
        <v>3013047.3</v>
      </c>
      <c r="D105" s="5" t="s">
        <v>1333</v>
      </c>
      <c r="E105" s="57">
        <v>62.04</v>
      </c>
    </row>
    <row r="106" spans="1:5" x14ac:dyDescent="0.25">
      <c r="A106" s="114" t="s">
        <v>1332</v>
      </c>
      <c r="B106" s="114"/>
      <c r="C106" s="59">
        <v>2981759.3</v>
      </c>
      <c r="D106" s="5" t="s">
        <v>1331</v>
      </c>
      <c r="E106" s="58">
        <v>93946599</v>
      </c>
    </row>
    <row r="107" spans="1:5" x14ac:dyDescent="0.25">
      <c r="A107" s="114"/>
      <c r="B107" s="114"/>
      <c r="C107" s="114"/>
      <c r="D107" s="5" t="s">
        <v>1330</v>
      </c>
      <c r="E107" s="57">
        <v>0.63235079043681397</v>
      </c>
    </row>
    <row r="108" spans="1:5" x14ac:dyDescent="0.25">
      <c r="A108" s="114"/>
      <c r="B108" s="114"/>
      <c r="C108" s="114"/>
      <c r="D108" s="5" t="s">
        <v>1329</v>
      </c>
      <c r="E108" s="57">
        <v>0.51</v>
      </c>
    </row>
    <row r="110" spans="1:5" x14ac:dyDescent="0.25">
      <c r="A110" s="113" t="s">
        <v>1328</v>
      </c>
      <c r="B110" s="113"/>
      <c r="C110" s="113"/>
      <c r="D110" s="113"/>
      <c r="E110" s="113"/>
    </row>
    <row r="111" spans="1:5" x14ac:dyDescent="0.25">
      <c r="A111" s="112"/>
      <c r="B111" s="112"/>
    </row>
    <row r="112" spans="1:5" x14ac:dyDescent="0.25">
      <c r="A112" s="2"/>
    </row>
    <row r="113" spans="1:2" x14ac:dyDescent="0.25">
      <c r="A113" s="112"/>
      <c r="B113" s="112"/>
    </row>
    <row r="114" spans="1:2" x14ac:dyDescent="0.25">
      <c r="A114" s="112"/>
      <c r="B114" s="112"/>
    </row>
    <row r="115" spans="1:2" x14ac:dyDescent="0.25">
      <c r="A115" s="112"/>
      <c r="B115" s="112"/>
    </row>
    <row r="116" spans="1:2" x14ac:dyDescent="0.25">
      <c r="A116" s="112"/>
      <c r="B116" s="112"/>
    </row>
    <row r="117" spans="1:2" x14ac:dyDescent="0.25">
      <c r="A117" s="112"/>
      <c r="B117" s="112"/>
    </row>
    <row r="118" spans="1:2" x14ac:dyDescent="0.25">
      <c r="A118" s="112"/>
      <c r="B118" s="112"/>
    </row>
    <row r="119" spans="1:2" x14ac:dyDescent="0.25">
      <c r="A119" s="112"/>
      <c r="B119" s="112"/>
    </row>
    <row r="120" spans="1:2" x14ac:dyDescent="0.25">
      <c r="A120" s="112"/>
      <c r="B120" s="112"/>
    </row>
    <row r="121" spans="1:2" x14ac:dyDescent="0.25">
      <c r="A121" s="112"/>
      <c r="B121" s="112"/>
    </row>
    <row r="122" spans="1:2" x14ac:dyDescent="0.25">
      <c r="A122" s="112"/>
      <c r="B122" s="112"/>
    </row>
    <row r="123" spans="1:2" x14ac:dyDescent="0.25">
      <c r="A123" s="112"/>
      <c r="B123" s="112"/>
    </row>
    <row r="124" spans="1:2" x14ac:dyDescent="0.25">
      <c r="A124" s="112"/>
      <c r="B124" s="112"/>
    </row>
    <row r="125" spans="1:2" x14ac:dyDescent="0.25">
      <c r="A125" s="112"/>
      <c r="B125" s="112"/>
    </row>
    <row r="126" spans="1:2" x14ac:dyDescent="0.25">
      <c r="A126" s="112"/>
      <c r="B126" s="112"/>
    </row>
    <row r="127" spans="1:2" x14ac:dyDescent="0.25">
      <c r="A127" s="112"/>
      <c r="B127" s="112"/>
    </row>
    <row r="128" spans="1:2" x14ac:dyDescent="0.25">
      <c r="A128" s="112"/>
      <c r="B128" s="112"/>
    </row>
    <row r="129" spans="1:2" x14ac:dyDescent="0.25">
      <c r="A129" s="112"/>
      <c r="B129" s="112"/>
    </row>
    <row r="130" spans="1:2" x14ac:dyDescent="0.25">
      <c r="A130" s="112"/>
      <c r="B130" s="112"/>
    </row>
    <row r="131" spans="1:2" x14ac:dyDescent="0.25">
      <c r="A131" s="112"/>
      <c r="B131" s="112"/>
    </row>
    <row r="132" spans="1:2" x14ac:dyDescent="0.25">
      <c r="A132" s="112"/>
      <c r="B132" s="112"/>
    </row>
    <row r="133" spans="1:2" x14ac:dyDescent="0.25">
      <c r="A133" s="112"/>
      <c r="B133" s="112"/>
    </row>
    <row r="134" spans="1:2" x14ac:dyDescent="0.25">
      <c r="A134" s="112"/>
      <c r="B134" s="112"/>
    </row>
    <row r="135" spans="1:2" x14ac:dyDescent="0.25">
      <c r="A135" s="112"/>
      <c r="B135" s="112"/>
    </row>
    <row r="136" spans="1:2" x14ac:dyDescent="0.25">
      <c r="A136" s="112"/>
      <c r="B136" s="112"/>
    </row>
    <row r="137" spans="1:2" x14ac:dyDescent="0.25">
      <c r="A137" s="112"/>
      <c r="B137" s="112"/>
    </row>
    <row r="138" spans="1:2" x14ac:dyDescent="0.25">
      <c r="A138" s="112"/>
      <c r="B138" s="112"/>
    </row>
    <row r="139" spans="1:2" x14ac:dyDescent="0.25">
      <c r="A139" s="112"/>
      <c r="B139" s="112"/>
    </row>
    <row r="140" spans="1:2" x14ac:dyDescent="0.25">
      <c r="A140" s="112"/>
      <c r="B140" s="112"/>
    </row>
    <row r="141" spans="1:2" x14ac:dyDescent="0.25">
      <c r="A141" s="112"/>
      <c r="B141" s="112"/>
    </row>
    <row r="142" spans="1:2" x14ac:dyDescent="0.25">
      <c r="A142" s="112"/>
      <c r="B142" s="112"/>
    </row>
    <row r="143" spans="1:2" x14ac:dyDescent="0.25">
      <c r="A143" s="113" t="s">
        <v>1327</v>
      </c>
      <c r="B143" s="113"/>
    </row>
    <row r="144" spans="1:2" x14ac:dyDescent="0.25">
      <c r="A144" s="110" t="s">
        <v>1317</v>
      </c>
      <c r="B144" s="110"/>
    </row>
    <row r="145" spans="1:5" x14ac:dyDescent="0.25">
      <c r="A145" s="49"/>
      <c r="B145" s="48" t="s">
        <v>1326</v>
      </c>
    </row>
    <row r="146" spans="1:5" x14ac:dyDescent="0.25">
      <c r="A146" s="1" t="s">
        <v>1325</v>
      </c>
      <c r="B146" s="52">
        <v>30.89</v>
      </c>
    </row>
    <row r="147" spans="1:5" x14ac:dyDescent="0.25">
      <c r="A147" s="1" t="s">
        <v>1324</v>
      </c>
      <c r="B147" s="52">
        <v>26.35</v>
      </c>
    </row>
    <row r="148" spans="1:5" x14ac:dyDescent="0.25">
      <c r="A148" s="1" t="s">
        <v>1323</v>
      </c>
      <c r="B148" s="52">
        <v>45.82</v>
      </c>
    </row>
    <row r="149" spans="1:5" x14ac:dyDescent="0.25">
      <c r="A149" s="1" t="s">
        <v>1322</v>
      </c>
      <c r="B149" s="52">
        <v>45.82</v>
      </c>
    </row>
    <row r="150" spans="1:5" x14ac:dyDescent="0.25">
      <c r="A150" s="1" t="s">
        <v>1321</v>
      </c>
      <c r="B150" s="52">
        <v>7.3</v>
      </c>
    </row>
    <row r="151" spans="1:5" x14ac:dyDescent="0.25">
      <c r="A151" s="1" t="s">
        <v>1320</v>
      </c>
      <c r="B151" s="52">
        <v>18.93</v>
      </c>
    </row>
    <row r="152" spans="1:5" x14ac:dyDescent="0.25">
      <c r="A152" s="1" t="s">
        <v>1319</v>
      </c>
      <c r="B152" s="52">
        <v>0.65</v>
      </c>
    </row>
    <row r="154" spans="1:5" x14ac:dyDescent="0.25">
      <c r="A154" s="113" t="s">
        <v>1318</v>
      </c>
      <c r="B154" s="113"/>
      <c r="C154" s="113"/>
      <c r="D154" s="113"/>
      <c r="E154" s="113"/>
    </row>
    <row r="155" spans="1:5" x14ac:dyDescent="0.25">
      <c r="A155" s="110" t="s">
        <v>1317</v>
      </c>
      <c r="B155" s="110"/>
      <c r="C155" s="110"/>
      <c r="D155" s="110"/>
      <c r="E155" s="110"/>
    </row>
    <row r="156" spans="1:5" x14ac:dyDescent="0.25">
      <c r="A156" s="1" t="s">
        <v>1316</v>
      </c>
      <c r="B156" s="56">
        <v>45472</v>
      </c>
      <c r="C156" s="56">
        <v>45836</v>
      </c>
    </row>
    <row r="157" spans="1:5" x14ac:dyDescent="0.25">
      <c r="A157" s="1" t="s">
        <v>1315</v>
      </c>
      <c r="B157" s="55">
        <v>385603000</v>
      </c>
      <c r="C157" s="55">
        <v>408625000</v>
      </c>
    </row>
    <row r="158" spans="1:5" x14ac:dyDescent="0.25">
      <c r="A158" s="1" t="s">
        <v>1314</v>
      </c>
      <c r="B158" s="55">
        <v>131781000</v>
      </c>
      <c r="C158" s="55">
        <v>141696000</v>
      </c>
    </row>
    <row r="159" spans="1:5" x14ac:dyDescent="0.25">
      <c r="A159" s="1" t="s">
        <v>1313</v>
      </c>
      <c r="B159" s="55">
        <v>120594000</v>
      </c>
      <c r="C159" s="55">
        <v>130214000</v>
      </c>
      <c r="E159" s="62"/>
    </row>
    <row r="160" spans="1:5" x14ac:dyDescent="0.25">
      <c r="A160" s="1" t="s">
        <v>1312</v>
      </c>
      <c r="B160" s="55">
        <v>101956000</v>
      </c>
      <c r="C160" s="55">
        <v>99280000</v>
      </c>
    </row>
    <row r="161" spans="1:5" x14ac:dyDescent="0.25">
      <c r="A161" s="1" t="s">
        <v>1311</v>
      </c>
      <c r="B161" s="54">
        <v>-8702000</v>
      </c>
      <c r="C161" s="54">
        <v>-12381000</v>
      </c>
    </row>
    <row r="162" spans="1:5" x14ac:dyDescent="0.25">
      <c r="A162" s="1" t="s">
        <v>1310</v>
      </c>
      <c r="B162" s="55">
        <v>331612000</v>
      </c>
      <c r="C162" s="55">
        <v>331495000</v>
      </c>
    </row>
    <row r="163" spans="1:5" x14ac:dyDescent="0.25">
      <c r="A163" s="1" t="s">
        <v>1309</v>
      </c>
      <c r="B163" s="55">
        <v>264904000</v>
      </c>
      <c r="C163" s="55">
        <v>265665000</v>
      </c>
    </row>
    <row r="164" spans="1:5" x14ac:dyDescent="0.25">
      <c r="A164" s="1" t="s">
        <v>1308</v>
      </c>
      <c r="B164" s="55">
        <v>66708000</v>
      </c>
      <c r="C164" s="55">
        <v>65830000</v>
      </c>
      <c r="E164" s="62"/>
    </row>
    <row r="165" spans="1:5" x14ac:dyDescent="0.25">
      <c r="A165" s="1" t="s">
        <v>1307</v>
      </c>
      <c r="B165" s="55">
        <v>61801000</v>
      </c>
      <c r="C165" s="55">
        <v>55372000</v>
      </c>
    </row>
    <row r="166" spans="1:5" x14ac:dyDescent="0.25">
      <c r="A166" s="1" t="s">
        <v>1306</v>
      </c>
      <c r="B166" s="54">
        <v>-51737000</v>
      </c>
      <c r="C166" s="54">
        <v>-31288000</v>
      </c>
    </row>
    <row r="167" spans="1:5" x14ac:dyDescent="0.25">
      <c r="A167" s="1" t="s">
        <v>1305</v>
      </c>
      <c r="B167" s="52">
        <v>4.38</v>
      </c>
      <c r="C167" s="52">
        <v>4.43</v>
      </c>
    </row>
    <row r="168" spans="1:5" x14ac:dyDescent="0.25">
      <c r="A168" s="1" t="s">
        <v>1304</v>
      </c>
      <c r="B168" s="52">
        <v>22.61</v>
      </c>
      <c r="C168" s="52">
        <v>24.55</v>
      </c>
    </row>
    <row r="169" spans="1:5" x14ac:dyDescent="0.25">
      <c r="A169" s="1" t="s">
        <v>1303</v>
      </c>
      <c r="B169" s="52">
        <v>160.58000000000001</v>
      </c>
      <c r="C169" s="52">
        <v>149.81</v>
      </c>
    </row>
    <row r="170" spans="1:5" x14ac:dyDescent="0.25">
      <c r="A170" s="113" t="s">
        <v>1302</v>
      </c>
      <c r="B170" s="113"/>
    </row>
    <row r="171" spans="1:5" x14ac:dyDescent="0.25">
      <c r="A171" s="110" t="s">
        <v>1301</v>
      </c>
      <c r="B171" s="110"/>
    </row>
    <row r="172" spans="1:5" x14ac:dyDescent="0.25">
      <c r="A172" s="1" t="s">
        <v>1300</v>
      </c>
      <c r="B172" s="6" t="s">
        <v>1299</v>
      </c>
    </row>
    <row r="173" spans="1:5" x14ac:dyDescent="0.25">
      <c r="A173" s="1" t="s">
        <v>1298</v>
      </c>
      <c r="B173" s="6" t="s">
        <v>1297</v>
      </c>
    </row>
    <row r="174" spans="1:5" x14ac:dyDescent="0.25">
      <c r="A174" s="1" t="s">
        <v>1296</v>
      </c>
      <c r="B174" s="6" t="s">
        <v>1295</v>
      </c>
    </row>
    <row r="175" spans="1:5" x14ac:dyDescent="0.25">
      <c r="A175" s="1" t="s">
        <v>1294</v>
      </c>
      <c r="B175" s="6" t="s">
        <v>1293</v>
      </c>
    </row>
    <row r="176" spans="1:5" x14ac:dyDescent="0.25">
      <c r="A176" s="1" t="s">
        <v>1292</v>
      </c>
      <c r="B176" s="6" t="s">
        <v>1291</v>
      </c>
    </row>
    <row r="177" spans="1:7" x14ac:dyDescent="0.25">
      <c r="A177" s="1" t="s">
        <v>1290</v>
      </c>
      <c r="B177" s="6" t="s">
        <v>1289</v>
      </c>
    </row>
    <row r="178" spans="1:7" x14ac:dyDescent="0.25">
      <c r="A178" s="1" t="s">
        <v>1288</v>
      </c>
      <c r="B178" s="6" t="s">
        <v>1287</v>
      </c>
    </row>
    <row r="179" spans="1:7" x14ac:dyDescent="0.25">
      <c r="A179" s="1" t="s">
        <v>1286</v>
      </c>
      <c r="B179" s="6" t="s">
        <v>1285</v>
      </c>
    </row>
    <row r="180" spans="1:7" x14ac:dyDescent="0.25">
      <c r="A180" s="1" t="s">
        <v>1284</v>
      </c>
      <c r="B180" s="6" t="s">
        <v>1283</v>
      </c>
    </row>
    <row r="181" spans="1:7" x14ac:dyDescent="0.25">
      <c r="A181" s="1" t="s">
        <v>1282</v>
      </c>
      <c r="B181" s="6" t="s">
        <v>1281</v>
      </c>
    </row>
    <row r="182" spans="1:7" x14ac:dyDescent="0.25">
      <c r="A182" s="1" t="s">
        <v>1280</v>
      </c>
      <c r="B182" s="6" t="s">
        <v>1279</v>
      </c>
    </row>
    <row r="183" spans="1:7" x14ac:dyDescent="0.25">
      <c r="A183" s="1" t="s">
        <v>1278</v>
      </c>
      <c r="B183" s="6" t="s">
        <v>1277</v>
      </c>
    </row>
    <row r="184" spans="1:7" x14ac:dyDescent="0.25">
      <c r="A184" s="1" t="s">
        <v>1276</v>
      </c>
      <c r="B184" s="6" t="s">
        <v>1275</v>
      </c>
    </row>
    <row r="185" spans="1:7" x14ac:dyDescent="0.25">
      <c r="A185" s="1" t="s">
        <v>1274</v>
      </c>
      <c r="B185" s="6" t="s">
        <v>1273</v>
      </c>
    </row>
    <row r="186" spans="1:7" x14ac:dyDescent="0.25">
      <c r="A186" s="110" t="s">
        <v>1272</v>
      </c>
      <c r="B186" s="110"/>
    </row>
    <row r="187" spans="1:7" ht="30" x14ac:dyDescent="0.25">
      <c r="A187" s="1" t="s">
        <v>1271</v>
      </c>
      <c r="B187" s="1" t="s">
        <v>1270</v>
      </c>
      <c r="C187" s="6" t="s">
        <v>1269</v>
      </c>
    </row>
    <row r="188" spans="1:7" ht="45" x14ac:dyDescent="0.25">
      <c r="A188" s="1" t="s">
        <v>1268</v>
      </c>
      <c r="B188" s="1" t="s">
        <v>1267</v>
      </c>
      <c r="C188" s="6" t="s">
        <v>1266</v>
      </c>
    </row>
    <row r="189" spans="1:7" ht="45" x14ac:dyDescent="0.25">
      <c r="A189" s="1" t="s">
        <v>1265</v>
      </c>
      <c r="B189" s="1" t="s">
        <v>1264</v>
      </c>
      <c r="C189" s="6" t="s">
        <v>1263</v>
      </c>
    </row>
    <row r="190" spans="1:7" x14ac:dyDescent="0.25">
      <c r="A190" s="1" t="s">
        <v>1262</v>
      </c>
      <c r="B190" s="1" t="s">
        <v>1261</v>
      </c>
      <c r="C190" s="6" t="s">
        <v>1260</v>
      </c>
    </row>
    <row r="191" spans="1:7" x14ac:dyDescent="0.25">
      <c r="A191" s="113" t="s">
        <v>1259</v>
      </c>
      <c r="B191" s="113"/>
      <c r="C191" s="113"/>
      <c r="D191" s="113"/>
    </row>
    <row r="192" spans="1:7" x14ac:dyDescent="0.25">
      <c r="A192" s="112"/>
      <c r="B192" s="112"/>
      <c r="C192" s="112"/>
      <c r="D192" s="112"/>
      <c r="E192" s="112"/>
      <c r="F192" s="112"/>
      <c r="G192" s="112"/>
    </row>
    <row r="193" spans="1:7" x14ac:dyDescent="0.25">
      <c r="A193" s="2"/>
    </row>
    <row r="194" spans="1:7" x14ac:dyDescent="0.25">
      <c r="A194" s="2"/>
    </row>
    <row r="195" spans="1:7" x14ac:dyDescent="0.25">
      <c r="A195" s="2"/>
    </row>
    <row r="196" spans="1:7" x14ac:dyDescent="0.25">
      <c r="A196" s="2"/>
    </row>
    <row r="197" spans="1:7" x14ac:dyDescent="0.25">
      <c r="A197" s="2"/>
    </row>
    <row r="198" spans="1:7" x14ac:dyDescent="0.25">
      <c r="A198" s="2"/>
    </row>
    <row r="199" spans="1:7" x14ac:dyDescent="0.25">
      <c r="A199" s="2"/>
    </row>
    <row r="200" spans="1:7" x14ac:dyDescent="0.25">
      <c r="A200" s="2"/>
    </row>
    <row r="201" spans="1:7" x14ac:dyDescent="0.25">
      <c r="A201" s="2"/>
    </row>
    <row r="202" spans="1:7" x14ac:dyDescent="0.25">
      <c r="A202" s="2"/>
    </row>
    <row r="203" spans="1:7" x14ac:dyDescent="0.25">
      <c r="A203" s="112"/>
      <c r="B203" s="112"/>
      <c r="C203" s="112"/>
      <c r="D203" s="112"/>
      <c r="E203" s="112"/>
      <c r="F203" s="112"/>
      <c r="G203" s="112"/>
    </row>
    <row r="204" spans="1:7" x14ac:dyDescent="0.25">
      <c r="A204" s="50" t="s">
        <v>1258</v>
      </c>
      <c r="B204" s="53" t="s">
        <v>1257</v>
      </c>
    </row>
    <row r="205" spans="1:7" x14ac:dyDescent="0.25">
      <c r="A205" s="49"/>
      <c r="B205" s="48"/>
    </row>
    <row r="206" spans="1:7" x14ac:dyDescent="0.25">
      <c r="A206" s="1" t="s">
        <v>1256</v>
      </c>
      <c r="B206" s="52">
        <v>27.42</v>
      </c>
    </row>
    <row r="207" spans="1:7" x14ac:dyDescent="0.25">
      <c r="A207" s="1" t="s">
        <v>1255</v>
      </c>
      <c r="B207" s="52">
        <v>47.98</v>
      </c>
    </row>
    <row r="208" spans="1:7" x14ac:dyDescent="0.25">
      <c r="A208" s="1" t="s">
        <v>1254</v>
      </c>
      <c r="B208" s="52">
        <v>24.71</v>
      </c>
    </row>
    <row r="209" spans="1:7" x14ac:dyDescent="0.25">
      <c r="A209" s="1" t="s">
        <v>1253</v>
      </c>
      <c r="B209" s="52">
        <v>2.66</v>
      </c>
    </row>
    <row r="210" spans="1:7" x14ac:dyDescent="0.25">
      <c r="A210" s="1" t="s">
        <v>1252</v>
      </c>
      <c r="B210" s="52">
        <v>22.52</v>
      </c>
    </row>
    <row r="211" spans="1:7" x14ac:dyDescent="0.25">
      <c r="A211" s="112"/>
      <c r="B211" s="112"/>
    </row>
    <row r="212" spans="1:7" x14ac:dyDescent="0.25">
      <c r="A212" s="112"/>
      <c r="B212" s="112"/>
      <c r="C212" s="112"/>
      <c r="D212" s="112"/>
      <c r="E212" s="112"/>
      <c r="F212" s="112"/>
      <c r="G212" s="112"/>
    </row>
    <row r="213" spans="1:7" ht="30" x14ac:dyDescent="0.25">
      <c r="A213" s="49"/>
      <c r="B213" s="48" t="s">
        <v>1251</v>
      </c>
      <c r="C213" s="48" t="s">
        <v>1250</v>
      </c>
      <c r="D213" s="48" t="s">
        <v>1249</v>
      </c>
      <c r="E213" s="48" t="s">
        <v>1248</v>
      </c>
      <c r="F213" s="48" t="s">
        <v>1247</v>
      </c>
    </row>
    <row r="214" spans="1:7" x14ac:dyDescent="0.25">
      <c r="A214" s="1" t="s">
        <v>1246</v>
      </c>
      <c r="B214" s="52">
        <v>1.76</v>
      </c>
      <c r="C214" s="52">
        <v>2.4700000000000002</v>
      </c>
      <c r="D214" s="52">
        <v>7.38</v>
      </c>
      <c r="E214" s="52">
        <v>7.95</v>
      </c>
      <c r="F214" s="52">
        <v>7.68</v>
      </c>
    </row>
    <row r="215" spans="1:7" x14ac:dyDescent="0.25">
      <c r="A215" s="1" t="s">
        <v>1245</v>
      </c>
      <c r="B215" s="52">
        <v>101318580.95</v>
      </c>
      <c r="C215" s="52">
        <v>129563507.97</v>
      </c>
      <c r="D215" s="52">
        <v>414933326.16000003</v>
      </c>
      <c r="E215" s="52">
        <v>435152273.11000001</v>
      </c>
      <c r="F215" s="52">
        <v>427859253.30000001</v>
      </c>
    </row>
    <row r="216" spans="1:7" x14ac:dyDescent="0.25">
      <c r="A216" s="1" t="s">
        <v>1244</v>
      </c>
      <c r="B216" s="52">
        <v>34298823.780000001</v>
      </c>
      <c r="C216" s="52">
        <v>44552702.350000001</v>
      </c>
      <c r="D216" s="52">
        <v>143832417.44</v>
      </c>
      <c r="E216" s="52">
        <v>149548886.25999999</v>
      </c>
      <c r="F216" s="52">
        <v>144361179.09999999</v>
      </c>
    </row>
    <row r="217" spans="1:7" x14ac:dyDescent="0.25">
      <c r="A217" s="112"/>
      <c r="B217" s="112"/>
      <c r="C217" s="112"/>
      <c r="D217" s="112"/>
      <c r="E217" s="112"/>
      <c r="F217" s="112"/>
    </row>
    <row r="218" spans="1:7" x14ac:dyDescent="0.25">
      <c r="A218" s="113" t="s">
        <v>1243</v>
      </c>
      <c r="B218" s="113"/>
      <c r="C218" s="113"/>
      <c r="D218" s="113"/>
    </row>
    <row r="219" spans="1:7" x14ac:dyDescent="0.25">
      <c r="A219" s="49" t="s">
        <v>1242</v>
      </c>
      <c r="B219" s="49" t="s">
        <v>1241</v>
      </c>
      <c r="C219" s="49" t="s">
        <v>1240</v>
      </c>
      <c r="D219" s="49" t="s">
        <v>1239</v>
      </c>
    </row>
    <row r="220" spans="1:7" ht="75" x14ac:dyDescent="0.25">
      <c r="A220" s="1" t="s">
        <v>1229</v>
      </c>
      <c r="B220" s="1" t="s">
        <v>1236</v>
      </c>
      <c r="C220" s="1" t="s">
        <v>1238</v>
      </c>
      <c r="D220" s="1" t="s">
        <v>1237</v>
      </c>
    </row>
    <row r="221" spans="1:7" ht="90" x14ac:dyDescent="0.25">
      <c r="A221" s="1" t="s">
        <v>1229</v>
      </c>
      <c r="B221" s="1" t="s">
        <v>1236</v>
      </c>
      <c r="C221" s="1" t="s">
        <v>1235</v>
      </c>
      <c r="D221" s="1" t="s">
        <v>1234</v>
      </c>
    </row>
    <row r="222" spans="1:7" ht="75" x14ac:dyDescent="0.25">
      <c r="A222" s="1" t="s">
        <v>1229</v>
      </c>
      <c r="B222" s="1" t="s">
        <v>1228</v>
      </c>
      <c r="C222" s="1" t="s">
        <v>1233</v>
      </c>
      <c r="D222" s="1" t="s">
        <v>1232</v>
      </c>
    </row>
    <row r="223" spans="1:7" ht="90" x14ac:dyDescent="0.25">
      <c r="A223" s="1" t="s">
        <v>1229</v>
      </c>
      <c r="B223" s="1" t="s">
        <v>1228</v>
      </c>
      <c r="C223" s="1" t="s">
        <v>1231</v>
      </c>
      <c r="D223" s="1" t="s">
        <v>1230</v>
      </c>
    </row>
    <row r="224" spans="1:7" ht="75" x14ac:dyDescent="0.25">
      <c r="A224" s="1" t="s">
        <v>1229</v>
      </c>
      <c r="B224" s="1" t="s">
        <v>1228</v>
      </c>
      <c r="C224" s="1" t="s">
        <v>1227</v>
      </c>
      <c r="D224" s="1" t="s">
        <v>1226</v>
      </c>
    </row>
    <row r="225" spans="1:7" x14ac:dyDescent="0.25">
      <c r="A225" s="113" t="s">
        <v>1225</v>
      </c>
      <c r="B225" s="113"/>
      <c r="C225" s="113"/>
      <c r="D225" s="113"/>
      <c r="E225" s="113"/>
      <c r="F225" s="113"/>
      <c r="G225" s="113"/>
    </row>
    <row r="226" spans="1:7" ht="90" x14ac:dyDescent="0.25">
      <c r="A226" s="49" t="s">
        <v>1224</v>
      </c>
      <c r="B226" s="49" t="s">
        <v>1223</v>
      </c>
      <c r="C226" s="49" t="s">
        <v>1222</v>
      </c>
      <c r="D226" s="49" t="s">
        <v>1221</v>
      </c>
      <c r="E226" s="49" t="s">
        <v>1220</v>
      </c>
      <c r="F226" s="49" t="s">
        <v>1219</v>
      </c>
      <c r="G226" s="49" t="s">
        <v>1218</v>
      </c>
    </row>
    <row r="227" spans="1:7" ht="30" x14ac:dyDescent="0.25">
      <c r="A227" s="1" t="s">
        <v>1217</v>
      </c>
      <c r="B227" s="1" t="s">
        <v>1216</v>
      </c>
      <c r="C227" s="1" t="s">
        <v>1215</v>
      </c>
      <c r="D227" s="47">
        <v>41387</v>
      </c>
      <c r="E227" s="47">
        <v>45796</v>
      </c>
      <c r="F227" s="1" t="s">
        <v>1214</v>
      </c>
      <c r="G227" s="47">
        <v>41387</v>
      </c>
    </row>
    <row r="228" spans="1:7" x14ac:dyDescent="0.25">
      <c r="A228" s="109" t="s">
        <v>1213</v>
      </c>
      <c r="B228" s="109"/>
      <c r="C228" s="109"/>
      <c r="D228" s="109"/>
      <c r="E228" s="109"/>
      <c r="F228" s="109"/>
      <c r="G228" s="109"/>
    </row>
    <row r="229" spans="1:7" x14ac:dyDescent="0.25">
      <c r="A229" s="113" t="s">
        <v>1212</v>
      </c>
      <c r="B229" s="113"/>
      <c r="C229" s="113"/>
      <c r="D229" s="113"/>
    </row>
    <row r="230" spans="1:7" x14ac:dyDescent="0.25">
      <c r="A230" s="49"/>
      <c r="B230" s="49"/>
      <c r="C230" s="49"/>
      <c r="D230" s="49"/>
    </row>
    <row r="231" spans="1:7" ht="30" x14ac:dyDescent="0.25">
      <c r="A231" s="1" t="s">
        <v>1211</v>
      </c>
      <c r="B231" s="1" t="s">
        <v>1210</v>
      </c>
      <c r="C231" s="1" t="s">
        <v>1209</v>
      </c>
      <c r="D231" s="1" t="s">
        <v>1208</v>
      </c>
    </row>
    <row r="232" spans="1:7" ht="45" x14ac:dyDescent="0.25">
      <c r="A232" s="1" t="s">
        <v>1207</v>
      </c>
      <c r="B232" s="1" t="s">
        <v>1206</v>
      </c>
      <c r="C232" s="1" t="s">
        <v>1205</v>
      </c>
      <c r="D232" s="1" t="s">
        <v>114</v>
      </c>
    </row>
    <row r="233" spans="1:7" ht="30" x14ac:dyDescent="0.25">
      <c r="A233" s="1" t="s">
        <v>1203</v>
      </c>
      <c r="B233" s="1" t="s">
        <v>1202</v>
      </c>
      <c r="C233" s="1" t="s">
        <v>1201</v>
      </c>
      <c r="D233" s="1" t="s">
        <v>1204</v>
      </c>
    </row>
    <row r="234" spans="1:7" ht="30" x14ac:dyDescent="0.25">
      <c r="A234" s="1" t="s">
        <v>1203</v>
      </c>
      <c r="B234" s="1" t="s">
        <v>1202</v>
      </c>
      <c r="C234" s="1" t="s">
        <v>1201</v>
      </c>
      <c r="D234" s="1" t="s">
        <v>1200</v>
      </c>
    </row>
    <row r="235" spans="1:7" ht="30" x14ac:dyDescent="0.25">
      <c r="A235" s="1" t="s">
        <v>1203</v>
      </c>
      <c r="B235" s="1" t="s">
        <v>1202</v>
      </c>
      <c r="C235" s="1" t="s">
        <v>1201</v>
      </c>
      <c r="D235" s="1" t="s">
        <v>1200</v>
      </c>
    </row>
    <row r="237" spans="1:7" x14ac:dyDescent="0.25">
      <c r="A237" s="113" t="s">
        <v>1199</v>
      </c>
      <c r="B237" s="113"/>
      <c r="C237" s="113"/>
      <c r="D237" s="113"/>
      <c r="E237" s="113"/>
      <c r="F237" s="113"/>
    </row>
    <row r="238" spans="1:7" x14ac:dyDescent="0.25">
      <c r="A238" s="110" t="s">
        <v>1198</v>
      </c>
      <c r="B238" s="110"/>
      <c r="C238" s="110"/>
      <c r="D238" s="110"/>
      <c r="E238" s="110"/>
      <c r="F238" s="110"/>
    </row>
    <row r="239" spans="1:7" x14ac:dyDescent="0.25">
      <c r="A239" s="109" t="s">
        <v>1197</v>
      </c>
      <c r="B239" s="109"/>
      <c r="C239" s="109"/>
    </row>
    <row r="240" spans="1:7" x14ac:dyDescent="0.25">
      <c r="A240" s="109" t="s">
        <v>1196</v>
      </c>
      <c r="B240" s="109"/>
      <c r="C240" s="109"/>
    </row>
    <row r="241" spans="1:6" x14ac:dyDescent="0.25">
      <c r="A241" s="109" t="s">
        <v>1195</v>
      </c>
      <c r="B241" s="109"/>
      <c r="C241" s="109"/>
    </row>
    <row r="242" spans="1:6" x14ac:dyDescent="0.25">
      <c r="A242" s="109" t="s">
        <v>1194</v>
      </c>
      <c r="B242" s="109"/>
      <c r="C242" s="109"/>
    </row>
    <row r="243" spans="1:6" x14ac:dyDescent="0.25">
      <c r="A243" s="109" t="s">
        <v>1193</v>
      </c>
      <c r="B243" s="109"/>
      <c r="C243" s="109"/>
    </row>
    <row r="245" spans="1:6" x14ac:dyDescent="0.25">
      <c r="A245" s="110" t="s">
        <v>1192</v>
      </c>
      <c r="B245" s="110"/>
      <c r="C245" s="110"/>
      <c r="D245" s="110"/>
      <c r="E245" s="110"/>
      <c r="F245" s="110"/>
    </row>
    <row r="246" spans="1:6" x14ac:dyDescent="0.25">
      <c r="A246" s="50" t="s">
        <v>1191</v>
      </c>
      <c r="B246" s="51">
        <v>45596.5</v>
      </c>
      <c r="C246" s="50" t="s">
        <v>1190</v>
      </c>
      <c r="D246" s="51">
        <v>45869.5</v>
      </c>
    </row>
    <row r="247" spans="1:6" x14ac:dyDescent="0.25">
      <c r="A247" s="109" t="s">
        <v>1190</v>
      </c>
      <c r="B247" s="109"/>
      <c r="C247" s="109"/>
      <c r="D247" s="47">
        <v>45870</v>
      </c>
    </row>
    <row r="248" spans="1:6" x14ac:dyDescent="0.25">
      <c r="A248" s="109" t="s">
        <v>1189</v>
      </c>
      <c r="B248" s="109"/>
      <c r="C248" s="109"/>
      <c r="D248" s="47">
        <v>45869</v>
      </c>
    </row>
    <row r="249" spans="1:6" x14ac:dyDescent="0.25">
      <c r="A249" s="109" t="s">
        <v>1188</v>
      </c>
      <c r="B249" s="109"/>
      <c r="C249" s="109"/>
      <c r="D249" s="47">
        <v>45869</v>
      </c>
    </row>
    <row r="250" spans="1:6" x14ac:dyDescent="0.25">
      <c r="A250" s="109" t="s">
        <v>1187</v>
      </c>
      <c r="B250" s="109"/>
      <c r="C250" s="109"/>
      <c r="D250" s="47">
        <v>45869</v>
      </c>
    </row>
    <row r="251" spans="1:6" x14ac:dyDescent="0.25">
      <c r="A251" s="109" t="s">
        <v>1186</v>
      </c>
      <c r="B251" s="109"/>
      <c r="C251" s="109"/>
      <c r="D251" s="47">
        <v>45869</v>
      </c>
    </row>
    <row r="252" spans="1:6" x14ac:dyDescent="0.25">
      <c r="A252" s="109" t="s">
        <v>1185</v>
      </c>
      <c r="B252" s="109"/>
      <c r="C252" s="109"/>
      <c r="D252" s="47">
        <v>45763</v>
      </c>
    </row>
    <row r="253" spans="1:6" x14ac:dyDescent="0.25">
      <c r="A253" s="109" t="s">
        <v>1184</v>
      </c>
      <c r="B253" s="109"/>
      <c r="C253" s="109"/>
      <c r="D253" s="47">
        <v>45721</v>
      </c>
    </row>
    <row r="254" spans="1:6" x14ac:dyDescent="0.25">
      <c r="A254" s="109" t="s">
        <v>1183</v>
      </c>
      <c r="B254" s="109"/>
      <c r="C254" s="109"/>
      <c r="D254" s="47">
        <v>45701</v>
      </c>
    </row>
    <row r="255" spans="1:6" x14ac:dyDescent="0.25">
      <c r="A255" s="109" t="s">
        <v>1182</v>
      </c>
      <c r="B255" s="109"/>
      <c r="C255" s="109"/>
      <c r="D255" s="47">
        <v>45667</v>
      </c>
    </row>
    <row r="256" spans="1:6" x14ac:dyDescent="0.25">
      <c r="A256" s="109" t="s">
        <v>1181</v>
      </c>
      <c r="B256" s="109"/>
      <c r="C256" s="109"/>
      <c r="D256" s="47">
        <v>45667</v>
      </c>
    </row>
    <row r="258" spans="1:6" x14ac:dyDescent="0.25">
      <c r="A258" s="110" t="s">
        <v>1180</v>
      </c>
      <c r="B258" s="110"/>
      <c r="C258" s="110"/>
      <c r="D258" s="110"/>
      <c r="E258" s="110"/>
      <c r="F258" s="110"/>
    </row>
    <row r="259" spans="1:6" ht="30" x14ac:dyDescent="0.25">
      <c r="A259" s="1" t="s">
        <v>1179</v>
      </c>
      <c r="B259" s="1" t="s">
        <v>1178</v>
      </c>
      <c r="C259" s="47">
        <v>45870</v>
      </c>
    </row>
    <row r="260" spans="1:6" ht="30" x14ac:dyDescent="0.25">
      <c r="A260" s="1" t="s">
        <v>1177</v>
      </c>
      <c r="B260" s="1" t="s">
        <v>1166</v>
      </c>
      <c r="C260" s="47">
        <v>45869</v>
      </c>
    </row>
    <row r="261" spans="1:6" ht="45" x14ac:dyDescent="0.25">
      <c r="A261" s="1" t="s">
        <v>1176</v>
      </c>
      <c r="B261" s="1" t="s">
        <v>1175</v>
      </c>
      <c r="C261" s="47">
        <v>45869</v>
      </c>
    </row>
    <row r="262" spans="1:6" ht="30" x14ac:dyDescent="0.25">
      <c r="A262" s="1" t="s">
        <v>1174</v>
      </c>
      <c r="B262" s="1" t="s">
        <v>1167</v>
      </c>
      <c r="C262" s="47">
        <v>45869</v>
      </c>
    </row>
    <row r="263" spans="1:6" ht="45" x14ac:dyDescent="0.25">
      <c r="A263" s="1" t="s">
        <v>1173</v>
      </c>
      <c r="B263" s="1" t="s">
        <v>1172</v>
      </c>
      <c r="C263" s="47">
        <v>45869</v>
      </c>
    </row>
    <row r="265" spans="1:6" x14ac:dyDescent="0.25">
      <c r="A265" s="110" t="s">
        <v>1171</v>
      </c>
      <c r="B265" s="110"/>
      <c r="C265" s="110"/>
      <c r="D265" s="110"/>
      <c r="E265" s="110"/>
      <c r="F265" s="110"/>
    </row>
    <row r="266" spans="1:6" x14ac:dyDescent="0.25">
      <c r="A266" s="113" t="s">
        <v>1170</v>
      </c>
      <c r="B266" s="113"/>
      <c r="C266" s="113"/>
    </row>
    <row r="267" spans="1:6" x14ac:dyDescent="0.25">
      <c r="A267" s="1" t="s">
        <v>1169</v>
      </c>
      <c r="B267" s="1"/>
      <c r="C267" s="47">
        <v>45880</v>
      </c>
    </row>
    <row r="268" spans="1:6" x14ac:dyDescent="0.25">
      <c r="A268" s="1" t="s">
        <v>1166</v>
      </c>
      <c r="B268" s="1"/>
      <c r="C268" s="47">
        <v>45960</v>
      </c>
    </row>
    <row r="270" spans="1:6" x14ac:dyDescent="0.25">
      <c r="A270" s="113" t="s">
        <v>1168</v>
      </c>
      <c r="B270" s="113"/>
      <c r="C270" s="113"/>
    </row>
    <row r="271" spans="1:6" x14ac:dyDescent="0.25">
      <c r="A271" s="1" t="s">
        <v>1167</v>
      </c>
      <c r="B271" s="1"/>
      <c r="C271" s="47">
        <v>45869</v>
      </c>
    </row>
    <row r="272" spans="1:6" x14ac:dyDescent="0.25">
      <c r="A272" s="1" t="s">
        <v>1166</v>
      </c>
      <c r="B272" s="1"/>
      <c r="C272" s="47">
        <v>45869</v>
      </c>
    </row>
    <row r="273" spans="1:7" x14ac:dyDescent="0.25">
      <c r="A273" s="1" t="s">
        <v>1165</v>
      </c>
      <c r="B273" s="1"/>
      <c r="C273" s="47">
        <v>45817</v>
      </c>
    </row>
    <row r="274" spans="1:7" x14ac:dyDescent="0.25">
      <c r="A274" s="113" t="s">
        <v>1164</v>
      </c>
      <c r="B274" s="113"/>
      <c r="C274" s="113"/>
      <c r="D274" s="113"/>
      <c r="E274" s="113"/>
    </row>
    <row r="275" spans="1:7" x14ac:dyDescent="0.25">
      <c r="A275" s="49" t="s">
        <v>1163</v>
      </c>
      <c r="B275" s="49" t="s">
        <v>1162</v>
      </c>
      <c r="C275" s="49" t="s">
        <v>1161</v>
      </c>
      <c r="D275" s="49" t="s">
        <v>1160</v>
      </c>
      <c r="E275" s="48" t="s">
        <v>1159</v>
      </c>
    </row>
    <row r="276" spans="1:7" ht="30" x14ac:dyDescent="0.25">
      <c r="A276" s="1" t="s">
        <v>1158</v>
      </c>
      <c r="B276" s="1" t="s">
        <v>1157</v>
      </c>
      <c r="C276" s="1" t="s">
        <v>1149</v>
      </c>
      <c r="D276" s="47">
        <v>43335</v>
      </c>
      <c r="E276" s="6" t="s">
        <v>114</v>
      </c>
    </row>
    <row r="277" spans="1:7" ht="30" x14ac:dyDescent="0.25">
      <c r="A277" s="1" t="s">
        <v>1156</v>
      </c>
      <c r="B277" s="1" t="s">
        <v>1150</v>
      </c>
      <c r="C277" s="1" t="s">
        <v>1149</v>
      </c>
      <c r="D277" s="47">
        <v>43333</v>
      </c>
      <c r="E277" s="6">
        <v>0</v>
      </c>
    </row>
    <row r="278" spans="1:7" ht="30" x14ac:dyDescent="0.25">
      <c r="A278" s="1" t="s">
        <v>1155</v>
      </c>
      <c r="B278" s="1" t="s">
        <v>1154</v>
      </c>
      <c r="C278" s="1" t="s">
        <v>1149</v>
      </c>
      <c r="D278" s="47">
        <v>43125</v>
      </c>
      <c r="E278" s="6">
        <v>0</v>
      </c>
    </row>
    <row r="279" spans="1:7" ht="30" x14ac:dyDescent="0.25">
      <c r="A279" s="1" t="s">
        <v>1153</v>
      </c>
      <c r="B279" s="1" t="s">
        <v>1152</v>
      </c>
      <c r="C279" s="1" t="s">
        <v>1149</v>
      </c>
      <c r="D279" s="47">
        <v>43125</v>
      </c>
      <c r="E279" s="6">
        <v>0</v>
      </c>
    </row>
    <row r="280" spans="1:7" ht="30" x14ac:dyDescent="0.25">
      <c r="A280" s="1" t="s">
        <v>1151</v>
      </c>
      <c r="B280" s="1" t="s">
        <v>1150</v>
      </c>
      <c r="C280" s="1" t="s">
        <v>1149</v>
      </c>
      <c r="D280" s="47">
        <v>43125</v>
      </c>
      <c r="E280" s="6">
        <v>0</v>
      </c>
    </row>
    <row r="281" spans="1:7" x14ac:dyDescent="0.25">
      <c r="A281" s="112"/>
      <c r="B281" s="112"/>
      <c r="C281" s="112"/>
      <c r="D281" s="112"/>
      <c r="E281" s="112"/>
    </row>
    <row r="282" spans="1:7" x14ac:dyDescent="0.25">
      <c r="A282" s="112"/>
      <c r="B282" s="112"/>
      <c r="C282" s="112"/>
      <c r="D282" s="112"/>
      <c r="E282" s="112"/>
      <c r="F282" s="112"/>
      <c r="G282" s="112"/>
    </row>
    <row r="283" spans="1:7" x14ac:dyDescent="0.25">
      <c r="A283" s="113" t="s">
        <v>1148</v>
      </c>
      <c r="B283" s="113"/>
      <c r="C283" s="113"/>
      <c r="D283" s="113"/>
      <c r="E283" s="113"/>
      <c r="F283" s="113"/>
      <c r="G283" s="113"/>
    </row>
    <row r="284" spans="1:7" ht="60" x14ac:dyDescent="0.25">
      <c r="A284" s="46" t="s">
        <v>1147</v>
      </c>
      <c r="B284" s="46" t="s">
        <v>1146</v>
      </c>
      <c r="C284" s="46" t="s">
        <v>1145</v>
      </c>
      <c r="D284" s="46" t="s">
        <v>1144</v>
      </c>
      <c r="E284" s="46" t="s">
        <v>1143</v>
      </c>
      <c r="F284" s="46" t="s">
        <v>1142</v>
      </c>
      <c r="G284" s="46" t="s">
        <v>1141</v>
      </c>
    </row>
    <row r="285" spans="1:7" x14ac:dyDescent="0.25">
      <c r="A285" s="1" t="s">
        <v>1140</v>
      </c>
      <c r="B285" s="1">
        <v>109776</v>
      </c>
      <c r="C285" s="45">
        <v>1415826462</v>
      </c>
      <c r="D285" s="44">
        <v>9.5399999999999991</v>
      </c>
      <c r="E285" s="43">
        <v>286535</v>
      </c>
      <c r="F285" s="1" t="s">
        <v>1135</v>
      </c>
      <c r="G285" s="2"/>
    </row>
    <row r="286" spans="1:7" x14ac:dyDescent="0.25">
      <c r="A286" s="1" t="s">
        <v>1139</v>
      </c>
      <c r="B286" s="1">
        <v>4048287</v>
      </c>
      <c r="C286" s="45">
        <v>1135352984</v>
      </c>
      <c r="D286" s="44">
        <v>7.65</v>
      </c>
      <c r="E286" s="43">
        <v>229772.7</v>
      </c>
      <c r="F286" s="1" t="s">
        <v>1135</v>
      </c>
      <c r="G286" s="2"/>
    </row>
    <row r="287" spans="1:7" x14ac:dyDescent="0.25">
      <c r="A287" s="1" t="s">
        <v>1138</v>
      </c>
      <c r="B287" s="1">
        <v>110652</v>
      </c>
      <c r="C287" s="45">
        <v>596025766</v>
      </c>
      <c r="D287" s="44">
        <v>4.0199999999999996</v>
      </c>
      <c r="E287" s="43">
        <v>120623.7</v>
      </c>
      <c r="F287" s="1" t="s">
        <v>1135</v>
      </c>
      <c r="G287" s="2"/>
    </row>
    <row r="288" spans="1:7" x14ac:dyDescent="0.25">
      <c r="A288" s="1" t="s">
        <v>1137</v>
      </c>
      <c r="B288" s="1">
        <v>4119759</v>
      </c>
      <c r="C288" s="45">
        <v>349807156</v>
      </c>
      <c r="D288" s="44">
        <v>2.36</v>
      </c>
      <c r="E288" s="43">
        <v>70794</v>
      </c>
      <c r="F288" s="1" t="s">
        <v>1135</v>
      </c>
      <c r="G288" s="2"/>
    </row>
    <row r="289" spans="1:10" x14ac:dyDescent="0.25">
      <c r="A289" s="1" t="s">
        <v>1136</v>
      </c>
      <c r="B289" s="1">
        <v>103462</v>
      </c>
      <c r="C289" s="45">
        <v>300000000</v>
      </c>
      <c r="D289" s="44">
        <v>2.02</v>
      </c>
      <c r="E289" s="43">
        <v>60714</v>
      </c>
      <c r="F289" s="1" t="s">
        <v>1135</v>
      </c>
      <c r="G289" s="2"/>
    </row>
    <row r="290" spans="1:10" x14ac:dyDescent="0.25">
      <c r="A290" s="112" t="s">
        <v>1134</v>
      </c>
      <c r="B290" s="112"/>
      <c r="C290" s="112"/>
      <c r="D290" s="112"/>
      <c r="E290" s="112"/>
      <c r="F290" s="112"/>
      <c r="G290" s="112"/>
    </row>
    <row r="292" spans="1:10" x14ac:dyDescent="0.25">
      <c r="A292" s="109" t="s">
        <v>1133</v>
      </c>
      <c r="B292" s="109"/>
      <c r="C292" s="109"/>
      <c r="D292" s="109"/>
      <c r="E292" s="109"/>
      <c r="F292" s="109"/>
      <c r="G292" s="109"/>
      <c r="H292" s="109"/>
      <c r="I292" s="109"/>
      <c r="J292" s="109"/>
    </row>
    <row r="293" spans="1:10" x14ac:dyDescent="0.25">
      <c r="A293" s="109"/>
      <c r="B293" s="109"/>
      <c r="C293" s="109"/>
      <c r="D293" s="109"/>
      <c r="E293" s="109"/>
      <c r="F293" s="109"/>
      <c r="G293" s="109"/>
      <c r="H293" s="109"/>
      <c r="I293" s="109"/>
      <c r="J293" s="109"/>
    </row>
    <row r="295" spans="1:10" x14ac:dyDescent="0.25">
      <c r="A295" s="109" t="s">
        <v>1132</v>
      </c>
      <c r="B295" s="109"/>
      <c r="C295" s="109"/>
      <c r="D295" s="109"/>
      <c r="E295" s="109"/>
      <c r="F295" s="109"/>
      <c r="G295" s="109"/>
      <c r="H295" s="109"/>
      <c r="I295" s="109"/>
      <c r="J295" s="109"/>
    </row>
    <row r="296" spans="1:10" x14ac:dyDescent="0.25">
      <c r="A296" s="109"/>
      <c r="B296" s="109"/>
      <c r="C296" s="109"/>
      <c r="D296" s="109"/>
      <c r="E296" s="109"/>
      <c r="F296" s="109"/>
      <c r="G296" s="109"/>
      <c r="H296" s="109"/>
      <c r="I296" s="109"/>
      <c r="J296" s="109"/>
    </row>
    <row r="298" spans="1:10" x14ac:dyDescent="0.25">
      <c r="A298" s="109"/>
      <c r="B298" s="109"/>
      <c r="C298" s="109"/>
      <c r="D298" s="109"/>
      <c r="E298" s="109"/>
      <c r="F298" s="109"/>
      <c r="G298" s="109"/>
      <c r="H298" s="109"/>
      <c r="I298" s="109"/>
      <c r="J298" s="109"/>
    </row>
    <row r="299" spans="1:10" x14ac:dyDescent="0.25">
      <c r="A299" s="109"/>
      <c r="B299" s="109"/>
      <c r="C299" s="109"/>
      <c r="D299" s="109"/>
      <c r="E299" s="109"/>
      <c r="F299" s="109"/>
      <c r="G299" s="109"/>
      <c r="H299" s="109"/>
      <c r="I299" s="109"/>
      <c r="J299" s="109"/>
    </row>
    <row r="300" spans="1:10" x14ac:dyDescent="0.25">
      <c r="A300" s="109"/>
      <c r="B300" s="109"/>
      <c r="C300" s="109"/>
      <c r="D300" s="109"/>
      <c r="E300" s="109"/>
      <c r="F300" s="109"/>
      <c r="G300" s="109"/>
      <c r="H300" s="109"/>
      <c r="I300" s="109"/>
      <c r="J300" s="109"/>
    </row>
    <row r="301" spans="1:10" x14ac:dyDescent="0.25">
      <c r="A301" s="109"/>
      <c r="B301" s="109"/>
      <c r="C301" s="109"/>
      <c r="D301" s="109"/>
      <c r="E301" s="109"/>
      <c r="F301" s="109"/>
      <c r="G301" s="109"/>
      <c r="H301" s="109"/>
      <c r="I301" s="109"/>
      <c r="J301" s="109"/>
    </row>
    <row r="303" spans="1:10" x14ac:dyDescent="0.25">
      <c r="A303" s="109"/>
      <c r="B303" s="109"/>
      <c r="C303" s="109"/>
      <c r="D303" s="109"/>
      <c r="E303" s="109"/>
      <c r="F303" s="109"/>
      <c r="G303" s="109"/>
      <c r="H303" s="109"/>
      <c r="I303" s="109"/>
      <c r="J303" s="109"/>
    </row>
    <row r="304" spans="1:10" x14ac:dyDescent="0.25">
      <c r="A304" s="109"/>
      <c r="B304" s="109"/>
      <c r="C304" s="109"/>
      <c r="D304" s="109"/>
      <c r="E304" s="109"/>
      <c r="F304" s="109"/>
      <c r="G304" s="109"/>
      <c r="H304" s="109"/>
      <c r="I304" s="109"/>
      <c r="J304" s="109"/>
    </row>
    <row r="305" spans="1:10" x14ac:dyDescent="0.25">
      <c r="A305" s="109"/>
      <c r="B305" s="109"/>
      <c r="C305" s="109"/>
      <c r="D305" s="109"/>
      <c r="E305" s="109"/>
      <c r="F305" s="109"/>
      <c r="G305" s="109"/>
      <c r="H305" s="109"/>
      <c r="I305" s="109"/>
      <c r="J305" s="109"/>
    </row>
    <row r="306" spans="1:10" x14ac:dyDescent="0.25">
      <c r="A306" s="109"/>
      <c r="B306" s="109"/>
      <c r="C306" s="109"/>
      <c r="D306" s="109"/>
      <c r="E306" s="109"/>
      <c r="F306" s="109"/>
      <c r="G306" s="109"/>
      <c r="H306" s="109"/>
      <c r="I306" s="109"/>
      <c r="J306" s="109"/>
    </row>
  </sheetData>
  <mergeCells count="137">
    <mergeCell ref="A303:J306"/>
    <mergeCell ref="A270:C270"/>
    <mergeCell ref="A274:E274"/>
    <mergeCell ref="A281:E281"/>
    <mergeCell ref="A282:G282"/>
    <mergeCell ref="A283:G283"/>
    <mergeCell ref="A290:G290"/>
    <mergeCell ref="A292:J293"/>
    <mergeCell ref="A295:J296"/>
    <mergeCell ref="A298:J301"/>
    <mergeCell ref="A258:F258"/>
    <mergeCell ref="A265:F265"/>
    <mergeCell ref="A266:C266"/>
    <mergeCell ref="A240:C240"/>
    <mergeCell ref="A241:C241"/>
    <mergeCell ref="A242:C242"/>
    <mergeCell ref="A243:C243"/>
    <mergeCell ref="A245:F245"/>
    <mergeCell ref="A247:C247"/>
    <mergeCell ref="A248:C248"/>
    <mergeCell ref="A251:C251"/>
    <mergeCell ref="A252:C252"/>
    <mergeCell ref="A253:C253"/>
    <mergeCell ref="A254:C254"/>
    <mergeCell ref="A255:C255"/>
    <mergeCell ref="A256:C256"/>
    <mergeCell ref="A249:C249"/>
    <mergeCell ref="A250:C250"/>
    <mergeCell ref="A212:G212"/>
    <mergeCell ref="A217:F217"/>
    <mergeCell ref="A218:D218"/>
    <mergeCell ref="A225:G225"/>
    <mergeCell ref="A228:G228"/>
    <mergeCell ref="A229:D229"/>
    <mergeCell ref="A237:F237"/>
    <mergeCell ref="A238:F238"/>
    <mergeCell ref="A239:C239"/>
    <mergeCell ref="A154:E154"/>
    <mergeCell ref="A155:E155"/>
    <mergeCell ref="A170:B170"/>
    <mergeCell ref="A171:B171"/>
    <mergeCell ref="A186:B186"/>
    <mergeCell ref="A191:D191"/>
    <mergeCell ref="A192:G192"/>
    <mergeCell ref="A203:G203"/>
    <mergeCell ref="A211:B211"/>
    <mergeCell ref="A142:B142"/>
    <mergeCell ref="A143:B143"/>
    <mergeCell ref="A144:B144"/>
    <mergeCell ref="A127:B127"/>
    <mergeCell ref="A128:B128"/>
    <mergeCell ref="A129:B129"/>
    <mergeCell ref="A130:B130"/>
    <mergeCell ref="A131:B131"/>
    <mergeCell ref="A132:B132"/>
    <mergeCell ref="A133:B133"/>
    <mergeCell ref="A136:B136"/>
    <mergeCell ref="A137:B137"/>
    <mergeCell ref="A138:B138"/>
    <mergeCell ref="A139:B139"/>
    <mergeCell ref="A140:B140"/>
    <mergeCell ref="A141:B141"/>
    <mergeCell ref="A134:B134"/>
    <mergeCell ref="A135:B135"/>
    <mergeCell ref="A118:B118"/>
    <mergeCell ref="A119:B119"/>
    <mergeCell ref="A120:B120"/>
    <mergeCell ref="A121:B121"/>
    <mergeCell ref="A122:B122"/>
    <mergeCell ref="A123:B123"/>
    <mergeCell ref="A124:B124"/>
    <mergeCell ref="A125:B125"/>
    <mergeCell ref="A126:B126"/>
    <mergeCell ref="A107:C107"/>
    <mergeCell ref="A108:C108"/>
    <mergeCell ref="A110:E110"/>
    <mergeCell ref="A111:B111"/>
    <mergeCell ref="A113:B113"/>
    <mergeCell ref="A114:B114"/>
    <mergeCell ref="A115:B115"/>
    <mergeCell ref="A116:B116"/>
    <mergeCell ref="A117:B117"/>
    <mergeCell ref="A104:B104"/>
    <mergeCell ref="A105:B105"/>
    <mergeCell ref="A106:B106"/>
    <mergeCell ref="D82:E82"/>
    <mergeCell ref="C84:E84"/>
    <mergeCell ref="D85:E85"/>
    <mergeCell ref="D91:E91"/>
    <mergeCell ref="B92:E92"/>
    <mergeCell ref="C93:E93"/>
    <mergeCell ref="D94:E94"/>
    <mergeCell ref="A98:B98"/>
    <mergeCell ref="A99:B99"/>
    <mergeCell ref="A100:B100"/>
    <mergeCell ref="A101:B101"/>
    <mergeCell ref="A102:B102"/>
    <mergeCell ref="A103:B103"/>
    <mergeCell ref="A96:E96"/>
    <mergeCell ref="A97:B97"/>
    <mergeCell ref="C97:D97"/>
    <mergeCell ref="D64:E64"/>
    <mergeCell ref="B67:E67"/>
    <mergeCell ref="C68:E68"/>
    <mergeCell ref="D69:E69"/>
    <mergeCell ref="C74:E74"/>
    <mergeCell ref="D75:E75"/>
    <mergeCell ref="A79:E79"/>
    <mergeCell ref="B80:E80"/>
    <mergeCell ref="C81:E81"/>
    <mergeCell ref="B55:E55"/>
    <mergeCell ref="C56:E56"/>
    <mergeCell ref="C57:E57"/>
    <mergeCell ref="B58:E58"/>
    <mergeCell ref="C59:E59"/>
    <mergeCell ref="D60:E60"/>
    <mergeCell ref="A61:E61"/>
    <mergeCell ref="B62:E62"/>
    <mergeCell ref="C63:E63"/>
    <mergeCell ref="B45:C45"/>
    <mergeCell ref="B46:C46"/>
    <mergeCell ref="B47:C47"/>
    <mergeCell ref="B48:C48"/>
    <mergeCell ref="B49:C49"/>
    <mergeCell ref="A51:B51"/>
    <mergeCell ref="A52:E52"/>
    <mergeCell ref="B53:E53"/>
    <mergeCell ref="C54:E54"/>
    <mergeCell ref="A18:C36"/>
    <mergeCell ref="A38:B38"/>
    <mergeCell ref="A44:B44"/>
    <mergeCell ref="A1:D1"/>
    <mergeCell ref="A3:G3"/>
    <mergeCell ref="A5:G5"/>
    <mergeCell ref="A6:B6"/>
    <mergeCell ref="A7:B7"/>
    <mergeCell ref="A17:C17"/>
  </mergeCells>
  <pageMargins left="0.7" right="0.7" top="0.75" bottom="0.75" header="0.3" footer="0.3"/>
  <pageSetup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81"/>
  <sheetViews>
    <sheetView zoomScale="95" zoomScaleNormal="160" workbookViewId="0">
      <selection activeCell="A5" sqref="A5"/>
    </sheetView>
  </sheetViews>
  <sheetFormatPr defaultRowHeight="15" x14ac:dyDescent="0.25"/>
  <cols>
    <col min="1" max="1" width="25.7109375" customWidth="1"/>
    <col min="2" max="13" width="16.140625" customWidth="1"/>
  </cols>
  <sheetData>
    <row r="1" spans="1:13" ht="39.950000000000003" customHeight="1" x14ac:dyDescent="0.25">
      <c r="A1" s="111"/>
      <c r="B1" s="111"/>
      <c r="C1" s="111"/>
      <c r="D1" s="111"/>
    </row>
    <row r="2" spans="1:13" ht="30" customHeight="1" x14ac:dyDescent="0.3">
      <c r="A2" s="116" t="s">
        <v>1131</v>
      </c>
      <c r="B2" s="116"/>
      <c r="C2" s="116"/>
      <c r="D2" s="116"/>
      <c r="E2" s="116"/>
      <c r="F2" s="116"/>
      <c r="G2" s="116"/>
      <c r="H2" s="116"/>
      <c r="I2" s="116"/>
      <c r="J2" s="116"/>
      <c r="K2" s="116"/>
      <c r="L2" s="116"/>
      <c r="M2" s="116"/>
    </row>
    <row r="3" spans="1:13" x14ac:dyDescent="0.25">
      <c r="A3" s="2" t="s">
        <v>0</v>
      </c>
    </row>
    <row r="5" spans="1:13" x14ac:dyDescent="0.25">
      <c r="A5" s="2" t="s">
        <v>1</v>
      </c>
      <c r="B5" s="1"/>
    </row>
    <row r="6" spans="1:13" x14ac:dyDescent="0.25">
      <c r="A6" s="2" t="s">
        <v>2</v>
      </c>
      <c r="B6" s="1"/>
    </row>
    <row r="7" spans="1:13" x14ac:dyDescent="0.25">
      <c r="A7" s="2" t="s">
        <v>3</v>
      </c>
      <c r="B7" s="1"/>
    </row>
    <row r="8" spans="1:13" x14ac:dyDescent="0.25">
      <c r="A8" s="2" t="s">
        <v>4</v>
      </c>
      <c r="B8" s="1"/>
    </row>
    <row r="9" spans="1:13" x14ac:dyDescent="0.25">
      <c r="A9" s="2" t="s">
        <v>5</v>
      </c>
      <c r="B9" s="1"/>
    </row>
    <row r="10" spans="1:13" x14ac:dyDescent="0.25">
      <c r="A10" s="2" t="s">
        <v>6</v>
      </c>
      <c r="B10" s="1"/>
    </row>
    <row r="11" spans="1:13" x14ac:dyDescent="0.25">
      <c r="A11" s="2" t="s">
        <v>7</v>
      </c>
      <c r="B11" s="1"/>
    </row>
    <row r="12" spans="1:13" x14ac:dyDescent="0.25">
      <c r="A12" s="2" t="s">
        <v>8</v>
      </c>
      <c r="B12" s="1"/>
    </row>
    <row r="13" spans="1:13" x14ac:dyDescent="0.25">
      <c r="A13" s="2" t="s">
        <v>9</v>
      </c>
      <c r="B13" s="1"/>
    </row>
    <row r="14" spans="1:13" x14ac:dyDescent="0.25">
      <c r="A14" s="2" t="s">
        <v>10</v>
      </c>
      <c r="B14" s="1"/>
    </row>
    <row r="15" spans="1:13" x14ac:dyDescent="0.25">
      <c r="A15" s="112" t="s">
        <v>11</v>
      </c>
      <c r="B15" s="112"/>
      <c r="C15" s="112"/>
      <c r="D15" s="112"/>
      <c r="E15" s="112"/>
      <c r="F15" s="112"/>
      <c r="G15" s="112"/>
      <c r="H15" s="112"/>
      <c r="I15" s="112"/>
      <c r="J15" s="112"/>
      <c r="K15" s="112"/>
      <c r="L15" s="112"/>
      <c r="M15" s="112"/>
    </row>
    <row r="16" spans="1:13" x14ac:dyDescent="0.25">
      <c r="A16" s="109"/>
      <c r="B16" s="109"/>
      <c r="C16" s="109"/>
      <c r="D16" s="109"/>
      <c r="E16" s="109"/>
      <c r="F16" s="109"/>
      <c r="G16" s="109"/>
      <c r="H16" s="109"/>
      <c r="I16" s="109"/>
      <c r="J16" s="109"/>
      <c r="K16" s="109"/>
      <c r="L16" s="109"/>
      <c r="M16" s="109"/>
    </row>
    <row r="17" spans="1:13" x14ac:dyDescent="0.25">
      <c r="A17" s="115"/>
      <c r="B17" s="115"/>
      <c r="C17" s="115"/>
      <c r="D17" s="115"/>
      <c r="E17" s="115"/>
      <c r="F17" s="115"/>
      <c r="G17" s="115"/>
      <c r="H17" s="115"/>
      <c r="I17" s="115"/>
      <c r="J17" s="115"/>
      <c r="K17" s="115"/>
      <c r="L17" s="115"/>
      <c r="M17" s="115"/>
    </row>
    <row r="18" spans="1:13" ht="30" x14ac:dyDescent="0.25">
      <c r="A18" s="3" t="s">
        <v>12</v>
      </c>
      <c r="B18" s="4" t="s">
        <v>13</v>
      </c>
      <c r="C18" s="4" t="s">
        <v>14</v>
      </c>
      <c r="D18" s="4" t="s">
        <v>15</v>
      </c>
      <c r="E18" s="4" t="s">
        <v>16</v>
      </c>
      <c r="F18" s="4" t="s">
        <v>17</v>
      </c>
      <c r="G18" s="4" t="s">
        <v>18</v>
      </c>
      <c r="H18" s="4" t="s">
        <v>19</v>
      </c>
      <c r="I18" s="4" t="s">
        <v>20</v>
      </c>
      <c r="J18" s="4" t="s">
        <v>21</v>
      </c>
      <c r="K18" s="4" t="s">
        <v>22</v>
      </c>
      <c r="L18" s="4" t="s">
        <v>23</v>
      </c>
      <c r="M18" s="4" t="s">
        <v>24</v>
      </c>
    </row>
    <row r="19" spans="1:13" x14ac:dyDescent="0.25">
      <c r="A19" s="5" t="s">
        <v>25</v>
      </c>
      <c r="B19" s="2"/>
      <c r="C19" s="2"/>
      <c r="D19" s="2"/>
      <c r="E19" s="2"/>
      <c r="F19" s="2"/>
      <c r="G19" s="2"/>
      <c r="H19" s="2"/>
      <c r="I19" s="2"/>
      <c r="J19" s="2"/>
      <c r="K19" s="2"/>
      <c r="L19" s="2"/>
      <c r="M19" s="2"/>
    </row>
    <row r="20" spans="1:13" x14ac:dyDescent="0.25">
      <c r="A20" s="1" t="s">
        <v>26</v>
      </c>
      <c r="B20" s="6" t="s">
        <v>27</v>
      </c>
      <c r="C20" s="6" t="s">
        <v>28</v>
      </c>
      <c r="D20" s="6" t="s">
        <v>29</v>
      </c>
      <c r="E20" s="6" t="s">
        <v>30</v>
      </c>
      <c r="F20" s="6" t="s">
        <v>31</v>
      </c>
      <c r="G20" s="6" t="s">
        <v>32</v>
      </c>
      <c r="H20" s="6" t="s">
        <v>33</v>
      </c>
      <c r="I20" s="6" t="s">
        <v>34</v>
      </c>
      <c r="J20" s="6" t="s">
        <v>35</v>
      </c>
      <c r="K20" s="6" t="s">
        <v>36</v>
      </c>
      <c r="L20" s="6" t="s">
        <v>37</v>
      </c>
      <c r="M20" s="6" t="s">
        <v>38</v>
      </c>
    </row>
    <row r="21" spans="1:13" x14ac:dyDescent="0.25">
      <c r="A21" s="1" t="s">
        <v>39</v>
      </c>
      <c r="B21" s="6" t="s">
        <v>27</v>
      </c>
      <c r="C21" s="6" t="s">
        <v>28</v>
      </c>
      <c r="D21" s="6" t="s">
        <v>29</v>
      </c>
      <c r="E21" s="6" t="s">
        <v>30</v>
      </c>
      <c r="F21" s="6" t="s">
        <v>31</v>
      </c>
      <c r="G21" s="6" t="s">
        <v>32</v>
      </c>
      <c r="H21" s="6" t="s">
        <v>33</v>
      </c>
      <c r="I21" s="6" t="s">
        <v>34</v>
      </c>
      <c r="J21" s="6" t="s">
        <v>35</v>
      </c>
      <c r="K21" s="6" t="s">
        <v>36</v>
      </c>
      <c r="L21" s="6" t="s">
        <v>37</v>
      </c>
      <c r="M21" s="6" t="s">
        <v>38</v>
      </c>
    </row>
    <row r="22" spans="1:13" x14ac:dyDescent="0.25">
      <c r="A22" s="1" t="s">
        <v>40</v>
      </c>
      <c r="B22" s="6" t="s">
        <v>41</v>
      </c>
      <c r="C22" s="6" t="s">
        <v>42</v>
      </c>
      <c r="D22" s="6" t="s">
        <v>43</v>
      </c>
      <c r="E22" s="6" t="s">
        <v>44</v>
      </c>
      <c r="F22" s="6" t="s">
        <v>45</v>
      </c>
      <c r="G22" s="6" t="s">
        <v>32</v>
      </c>
      <c r="H22" s="6" t="s">
        <v>33</v>
      </c>
      <c r="I22" s="6" t="s">
        <v>34</v>
      </c>
      <c r="J22" s="6" t="s">
        <v>35</v>
      </c>
      <c r="K22" s="6" t="s">
        <v>36</v>
      </c>
      <c r="L22" s="6" t="s">
        <v>37</v>
      </c>
      <c r="M22" s="6" t="s">
        <v>38</v>
      </c>
    </row>
    <row r="23" spans="1:13" x14ac:dyDescent="0.25">
      <c r="A23" s="1" t="s">
        <v>46</v>
      </c>
      <c r="B23" s="6" t="s">
        <v>41</v>
      </c>
      <c r="C23" s="6" t="s">
        <v>47</v>
      </c>
      <c r="D23" s="6" t="s">
        <v>48</v>
      </c>
      <c r="E23" s="6" t="s">
        <v>49</v>
      </c>
      <c r="F23" s="6" t="s">
        <v>50</v>
      </c>
      <c r="G23" s="6" t="s">
        <v>32</v>
      </c>
      <c r="H23" s="6" t="s">
        <v>51</v>
      </c>
      <c r="I23" s="6" t="s">
        <v>34</v>
      </c>
      <c r="J23" s="6" t="s">
        <v>35</v>
      </c>
      <c r="K23" s="6" t="s">
        <v>36</v>
      </c>
      <c r="L23" s="6" t="s">
        <v>37</v>
      </c>
      <c r="M23" s="6" t="s">
        <v>38</v>
      </c>
    </row>
    <row r="24" spans="1:13" x14ac:dyDescent="0.25">
      <c r="A24" s="1" t="s">
        <v>52</v>
      </c>
      <c r="B24" s="6" t="s">
        <v>53</v>
      </c>
      <c r="C24" s="6" t="s">
        <v>54</v>
      </c>
      <c r="D24" s="6" t="s">
        <v>55</v>
      </c>
      <c r="E24" s="6" t="s">
        <v>56</v>
      </c>
      <c r="F24" s="6" t="s">
        <v>57</v>
      </c>
      <c r="G24" s="6" t="s">
        <v>58</v>
      </c>
      <c r="H24" s="6" t="s">
        <v>59</v>
      </c>
      <c r="I24" s="6" t="s">
        <v>60</v>
      </c>
      <c r="J24" s="6" t="s">
        <v>61</v>
      </c>
      <c r="K24" s="6" t="s">
        <v>62</v>
      </c>
      <c r="L24" s="6" t="s">
        <v>37</v>
      </c>
      <c r="M24" s="6" t="s">
        <v>38</v>
      </c>
    </row>
    <row r="25" spans="1:13" x14ac:dyDescent="0.25">
      <c r="A25" s="1" t="s">
        <v>63</v>
      </c>
      <c r="B25" s="6" t="s">
        <v>64</v>
      </c>
      <c r="C25" s="6" t="s">
        <v>65</v>
      </c>
      <c r="D25" s="6" t="s">
        <v>66</v>
      </c>
      <c r="E25" s="6" t="s">
        <v>67</v>
      </c>
      <c r="F25" s="6" t="s">
        <v>68</v>
      </c>
      <c r="G25" s="6" t="s">
        <v>69</v>
      </c>
      <c r="H25" s="6" t="s">
        <v>70</v>
      </c>
      <c r="I25" s="6" t="s">
        <v>71</v>
      </c>
      <c r="J25" s="6" t="s">
        <v>72</v>
      </c>
      <c r="K25" s="6" t="s">
        <v>73</v>
      </c>
      <c r="L25" s="6" t="s">
        <v>37</v>
      </c>
      <c r="M25" s="6" t="s">
        <v>38</v>
      </c>
    </row>
    <row r="26" spans="1:13" x14ac:dyDescent="0.25">
      <c r="A26" s="1" t="s">
        <v>74</v>
      </c>
      <c r="B26" s="7">
        <v>6.7460000000000006E-2</v>
      </c>
      <c r="C26" s="7">
        <v>0.11352</v>
      </c>
      <c r="D26" s="7">
        <v>7.1440000000000003E-2</v>
      </c>
      <c r="E26" s="7">
        <v>8.5529999999999995E-2</v>
      </c>
      <c r="F26" s="7">
        <v>4.5960000000000001E-2</v>
      </c>
      <c r="G26" s="7">
        <v>3.875E-2</v>
      </c>
      <c r="H26" s="7">
        <v>0.32672000000000001</v>
      </c>
      <c r="I26" s="7">
        <v>0.36251</v>
      </c>
      <c r="J26" s="7">
        <v>0.53500000000000003</v>
      </c>
      <c r="K26" s="7">
        <v>1.4999999999999999E-2</v>
      </c>
      <c r="L26" s="7">
        <v>0</v>
      </c>
      <c r="M26" s="7">
        <v>0</v>
      </c>
    </row>
    <row r="27" spans="1:13" x14ac:dyDescent="0.25">
      <c r="A27" s="1" t="s">
        <v>75</v>
      </c>
      <c r="B27" s="6" t="s">
        <v>76</v>
      </c>
      <c r="C27" s="6" t="s">
        <v>77</v>
      </c>
      <c r="D27" s="6" t="s">
        <v>78</v>
      </c>
      <c r="E27" s="6" t="s">
        <v>79</v>
      </c>
      <c r="F27" s="6" t="s">
        <v>80</v>
      </c>
      <c r="G27" s="6" t="s">
        <v>81</v>
      </c>
      <c r="H27" s="6" t="s">
        <v>82</v>
      </c>
      <c r="I27" s="6" t="s">
        <v>83</v>
      </c>
      <c r="J27" s="6" t="s">
        <v>84</v>
      </c>
      <c r="K27" s="6" t="s">
        <v>84</v>
      </c>
      <c r="L27" s="6" t="s">
        <v>85</v>
      </c>
      <c r="M27" s="6" t="s">
        <v>85</v>
      </c>
    </row>
    <row r="28" spans="1:13" x14ac:dyDescent="0.25">
      <c r="A28" s="1" t="s">
        <v>86</v>
      </c>
      <c r="B28" s="6" t="s">
        <v>87</v>
      </c>
      <c r="C28" s="6" t="s">
        <v>87</v>
      </c>
      <c r="D28" s="6" t="s">
        <v>87</v>
      </c>
      <c r="E28" s="6" t="s">
        <v>87</v>
      </c>
      <c r="F28" s="6" t="s">
        <v>87</v>
      </c>
      <c r="G28" s="6" t="s">
        <v>87</v>
      </c>
      <c r="H28" s="6" t="s">
        <v>87</v>
      </c>
      <c r="I28" s="6" t="s">
        <v>87</v>
      </c>
      <c r="J28" s="6" t="s">
        <v>87</v>
      </c>
      <c r="K28" s="6" t="s">
        <v>87</v>
      </c>
      <c r="L28" s="6" t="s">
        <v>87</v>
      </c>
      <c r="M28" s="6" t="s">
        <v>87</v>
      </c>
    </row>
    <row r="29" spans="1:13" x14ac:dyDescent="0.25">
      <c r="A29" s="1" t="s">
        <v>88</v>
      </c>
      <c r="B29" s="6" t="s">
        <v>27</v>
      </c>
      <c r="C29" s="6" t="s">
        <v>28</v>
      </c>
      <c r="D29" s="6" t="s">
        <v>29</v>
      </c>
      <c r="E29" s="6" t="s">
        <v>30</v>
      </c>
      <c r="F29" s="6" t="s">
        <v>89</v>
      </c>
      <c r="G29" s="6" t="s">
        <v>90</v>
      </c>
      <c r="H29" s="6" t="s">
        <v>91</v>
      </c>
      <c r="I29" s="6" t="s">
        <v>92</v>
      </c>
      <c r="J29" s="6" t="s">
        <v>35</v>
      </c>
      <c r="K29" s="6" t="s">
        <v>36</v>
      </c>
      <c r="L29" s="6" t="s">
        <v>37</v>
      </c>
      <c r="M29" s="6" t="s">
        <v>38</v>
      </c>
    </row>
    <row r="30" spans="1:13" x14ac:dyDescent="0.25">
      <c r="A30" s="1" t="s">
        <v>39</v>
      </c>
      <c r="B30" s="6" t="s">
        <v>27</v>
      </c>
      <c r="C30" s="6" t="s">
        <v>28</v>
      </c>
      <c r="D30" s="6" t="s">
        <v>29</v>
      </c>
      <c r="E30" s="6" t="s">
        <v>30</v>
      </c>
      <c r="F30" s="6" t="s">
        <v>89</v>
      </c>
      <c r="G30" s="6" t="s">
        <v>90</v>
      </c>
      <c r="H30" s="6" t="s">
        <v>91</v>
      </c>
      <c r="I30" s="6" t="s">
        <v>92</v>
      </c>
      <c r="J30" s="6" t="s">
        <v>35</v>
      </c>
      <c r="K30" s="6" t="s">
        <v>36</v>
      </c>
      <c r="L30" s="6" t="s">
        <v>37</v>
      </c>
      <c r="M30" s="6" t="s">
        <v>38</v>
      </c>
    </row>
    <row r="31" spans="1:13" x14ac:dyDescent="0.25">
      <c r="A31" s="1" t="s">
        <v>40</v>
      </c>
      <c r="B31" s="6" t="s">
        <v>41</v>
      </c>
      <c r="C31" s="6" t="s">
        <v>93</v>
      </c>
      <c r="D31" s="6" t="s">
        <v>43</v>
      </c>
      <c r="E31" s="6" t="s">
        <v>94</v>
      </c>
      <c r="F31" s="6" t="s">
        <v>94</v>
      </c>
      <c r="G31" s="6" t="s">
        <v>90</v>
      </c>
      <c r="H31" s="6" t="s">
        <v>91</v>
      </c>
      <c r="I31" s="6" t="s">
        <v>92</v>
      </c>
      <c r="J31" s="6" t="s">
        <v>35</v>
      </c>
      <c r="K31" s="6" t="s">
        <v>36</v>
      </c>
      <c r="L31" s="6" t="s">
        <v>37</v>
      </c>
      <c r="M31" s="6" t="s">
        <v>38</v>
      </c>
    </row>
    <row r="32" spans="1:13" x14ac:dyDescent="0.25">
      <c r="A32" s="1" t="s">
        <v>46</v>
      </c>
      <c r="B32" s="6" t="s">
        <v>41</v>
      </c>
      <c r="C32" s="6" t="s">
        <v>95</v>
      </c>
      <c r="D32" s="6" t="s">
        <v>48</v>
      </c>
      <c r="E32" s="6" t="s">
        <v>49</v>
      </c>
      <c r="F32" s="6" t="s">
        <v>94</v>
      </c>
      <c r="G32" s="6" t="s">
        <v>32</v>
      </c>
      <c r="H32" s="6" t="s">
        <v>51</v>
      </c>
      <c r="I32" s="6" t="s">
        <v>34</v>
      </c>
      <c r="J32" s="6" t="s">
        <v>35</v>
      </c>
      <c r="K32" s="6" t="s">
        <v>36</v>
      </c>
      <c r="L32" s="6" t="s">
        <v>37</v>
      </c>
      <c r="M32" s="6" t="s">
        <v>38</v>
      </c>
    </row>
    <row r="33" spans="1:13" x14ac:dyDescent="0.25">
      <c r="A33" s="1" t="s">
        <v>52</v>
      </c>
      <c r="B33" s="6" t="s">
        <v>53</v>
      </c>
      <c r="C33" s="6" t="s">
        <v>54</v>
      </c>
      <c r="D33" s="6" t="s">
        <v>55</v>
      </c>
      <c r="E33" s="6" t="s">
        <v>96</v>
      </c>
      <c r="F33" s="6" t="s">
        <v>44</v>
      </c>
      <c r="G33" s="6" t="s">
        <v>58</v>
      </c>
      <c r="H33" s="6" t="s">
        <v>59</v>
      </c>
      <c r="I33" s="6" t="s">
        <v>60</v>
      </c>
      <c r="J33" s="6" t="s">
        <v>61</v>
      </c>
      <c r="K33" s="6" t="s">
        <v>62</v>
      </c>
      <c r="L33" s="6" t="s">
        <v>37</v>
      </c>
      <c r="M33" s="6" t="s">
        <v>38</v>
      </c>
    </row>
    <row r="34" spans="1:13" x14ac:dyDescent="0.25">
      <c r="A34" s="1" t="s">
        <v>63</v>
      </c>
      <c r="B34" s="6" t="s">
        <v>64</v>
      </c>
      <c r="C34" s="6" t="s">
        <v>65</v>
      </c>
      <c r="D34" s="6" t="s">
        <v>66</v>
      </c>
      <c r="E34" s="6" t="s">
        <v>97</v>
      </c>
      <c r="F34" s="6" t="s">
        <v>98</v>
      </c>
      <c r="G34" s="6" t="s">
        <v>99</v>
      </c>
      <c r="H34" s="6" t="s">
        <v>70</v>
      </c>
      <c r="I34" s="6" t="s">
        <v>71</v>
      </c>
      <c r="J34" s="6" t="s">
        <v>72</v>
      </c>
      <c r="K34" s="6" t="s">
        <v>73</v>
      </c>
      <c r="L34" s="6" t="s">
        <v>37</v>
      </c>
      <c r="M34" s="6" t="s">
        <v>38</v>
      </c>
    </row>
    <row r="35" spans="1:13" x14ac:dyDescent="0.25">
      <c r="A35" s="1" t="s">
        <v>74</v>
      </c>
      <c r="B35" s="7">
        <v>6.7290000000000003E-2</v>
      </c>
      <c r="C35" s="7">
        <v>0.11254</v>
      </c>
      <c r="D35" s="7">
        <v>7.1650000000000005E-2</v>
      </c>
      <c r="E35" s="7">
        <v>6.3600000000000004E-2</v>
      </c>
      <c r="F35" s="7">
        <v>1.0999999999999999E-2</v>
      </c>
      <c r="G35" s="7">
        <v>4.9410000000000003E-2</v>
      </c>
      <c r="H35" s="7">
        <v>0.34499000000000002</v>
      </c>
      <c r="I35" s="7">
        <v>0.37070999999999998</v>
      </c>
      <c r="J35" s="7">
        <v>0.53500000000000003</v>
      </c>
      <c r="K35" s="7">
        <v>1.4999999999999999E-2</v>
      </c>
      <c r="L35" s="7">
        <v>0</v>
      </c>
      <c r="M35" s="7">
        <v>0</v>
      </c>
    </row>
    <row r="36" spans="1:13" x14ac:dyDescent="0.25">
      <c r="A36" s="1" t="s">
        <v>75</v>
      </c>
      <c r="B36" s="6" t="s">
        <v>76</v>
      </c>
      <c r="C36" s="6" t="s">
        <v>100</v>
      </c>
      <c r="D36" s="6" t="s">
        <v>101</v>
      </c>
      <c r="E36" s="6" t="s">
        <v>102</v>
      </c>
      <c r="F36" s="6" t="s">
        <v>103</v>
      </c>
      <c r="G36" s="6" t="s">
        <v>104</v>
      </c>
      <c r="H36" s="6" t="s">
        <v>76</v>
      </c>
      <c r="I36" s="6" t="s">
        <v>83</v>
      </c>
      <c r="J36" s="6" t="s">
        <v>84</v>
      </c>
      <c r="K36" s="6" t="s">
        <v>84</v>
      </c>
      <c r="L36" s="6" t="s">
        <v>85</v>
      </c>
      <c r="M36" s="6" t="s">
        <v>85</v>
      </c>
    </row>
    <row r="37" spans="1:13" x14ac:dyDescent="0.25">
      <c r="A37" s="1" t="s">
        <v>86</v>
      </c>
      <c r="B37" s="6" t="s">
        <v>87</v>
      </c>
      <c r="C37" s="6" t="s">
        <v>87</v>
      </c>
      <c r="D37" s="6" t="s">
        <v>87</v>
      </c>
      <c r="E37" s="6" t="s">
        <v>87</v>
      </c>
      <c r="F37" s="6" t="s">
        <v>87</v>
      </c>
      <c r="G37" s="6" t="s">
        <v>87</v>
      </c>
      <c r="H37" s="6" t="s">
        <v>87</v>
      </c>
      <c r="I37" s="6" t="s">
        <v>87</v>
      </c>
      <c r="J37" s="6" t="s">
        <v>87</v>
      </c>
      <c r="K37" s="6" t="s">
        <v>87</v>
      </c>
      <c r="L37" s="6" t="s">
        <v>87</v>
      </c>
      <c r="M37" s="6" t="s">
        <v>87</v>
      </c>
    </row>
    <row r="38" spans="1:13" x14ac:dyDescent="0.25">
      <c r="A38" s="1" t="s">
        <v>105</v>
      </c>
      <c r="B38" s="6" t="s">
        <v>106</v>
      </c>
      <c r="C38" s="6" t="s">
        <v>107</v>
      </c>
      <c r="D38" s="6" t="s">
        <v>108</v>
      </c>
      <c r="E38" s="6" t="s">
        <v>109</v>
      </c>
      <c r="F38" s="6" t="s">
        <v>110</v>
      </c>
      <c r="G38" s="6" t="s">
        <v>111</v>
      </c>
      <c r="H38" s="6" t="s">
        <v>112</v>
      </c>
      <c r="I38" s="6" t="s">
        <v>113</v>
      </c>
      <c r="J38" s="6" t="s">
        <v>114</v>
      </c>
      <c r="K38" s="6" t="s">
        <v>114</v>
      </c>
      <c r="L38" s="6" t="s">
        <v>114</v>
      </c>
      <c r="M38" s="6" t="s">
        <v>114</v>
      </c>
    </row>
    <row r="39" spans="1:13" x14ac:dyDescent="0.25">
      <c r="A39" s="1" t="s">
        <v>39</v>
      </c>
      <c r="B39" s="6" t="s">
        <v>106</v>
      </c>
      <c r="C39" s="6" t="s">
        <v>107</v>
      </c>
      <c r="D39" s="6" t="s">
        <v>108</v>
      </c>
      <c r="E39" s="6" t="s">
        <v>109</v>
      </c>
      <c r="F39" s="6" t="s">
        <v>110</v>
      </c>
      <c r="G39" s="6" t="s">
        <v>111</v>
      </c>
      <c r="H39" s="6" t="s">
        <v>112</v>
      </c>
      <c r="I39" s="6" t="s">
        <v>113</v>
      </c>
      <c r="J39" s="6" t="s">
        <v>114</v>
      </c>
      <c r="K39" s="6" t="s">
        <v>114</v>
      </c>
      <c r="L39" s="6" t="s">
        <v>114</v>
      </c>
      <c r="M39" s="6" t="s">
        <v>114</v>
      </c>
    </row>
    <row r="40" spans="1:13" x14ac:dyDescent="0.25">
      <c r="A40" s="1" t="s">
        <v>40</v>
      </c>
      <c r="B40" s="6" t="s">
        <v>115</v>
      </c>
      <c r="C40" s="6" t="s">
        <v>116</v>
      </c>
      <c r="D40" s="6" t="s">
        <v>117</v>
      </c>
      <c r="E40" s="6" t="s">
        <v>117</v>
      </c>
      <c r="F40" s="6" t="s">
        <v>58</v>
      </c>
      <c r="G40" s="6" t="s">
        <v>111</v>
      </c>
      <c r="H40" s="6" t="s">
        <v>112</v>
      </c>
      <c r="I40" s="6" t="s">
        <v>113</v>
      </c>
      <c r="J40" s="6" t="s">
        <v>114</v>
      </c>
      <c r="K40" s="6" t="s">
        <v>114</v>
      </c>
      <c r="L40" s="6" t="s">
        <v>114</v>
      </c>
      <c r="M40" s="6" t="s">
        <v>114</v>
      </c>
    </row>
    <row r="41" spans="1:13" x14ac:dyDescent="0.25">
      <c r="A41" s="1" t="s">
        <v>46</v>
      </c>
      <c r="B41" s="6" t="s">
        <v>115</v>
      </c>
      <c r="C41" s="6" t="s">
        <v>116</v>
      </c>
      <c r="D41" s="6" t="s">
        <v>117</v>
      </c>
      <c r="E41" s="6" t="s">
        <v>117</v>
      </c>
      <c r="F41" s="6" t="s">
        <v>58</v>
      </c>
      <c r="G41" s="6" t="s">
        <v>111</v>
      </c>
      <c r="H41" s="6" t="s">
        <v>112</v>
      </c>
      <c r="I41" s="6" t="s">
        <v>113</v>
      </c>
      <c r="J41" s="6" t="s">
        <v>114</v>
      </c>
      <c r="K41" s="6" t="s">
        <v>114</v>
      </c>
      <c r="L41" s="6" t="s">
        <v>114</v>
      </c>
      <c r="M41" s="6" t="s">
        <v>114</v>
      </c>
    </row>
    <row r="42" spans="1:13" x14ac:dyDescent="0.25">
      <c r="A42" s="1" t="s">
        <v>52</v>
      </c>
      <c r="B42" s="6" t="s">
        <v>115</v>
      </c>
      <c r="C42" s="6" t="s">
        <v>116</v>
      </c>
      <c r="D42" s="6" t="s">
        <v>117</v>
      </c>
      <c r="E42" s="6" t="s">
        <v>117</v>
      </c>
      <c r="F42" s="6" t="s">
        <v>58</v>
      </c>
      <c r="G42" s="6" t="s">
        <v>111</v>
      </c>
      <c r="H42" s="6" t="s">
        <v>118</v>
      </c>
      <c r="I42" s="6" t="s">
        <v>113</v>
      </c>
      <c r="J42" s="6" t="s">
        <v>114</v>
      </c>
      <c r="K42" s="6" t="s">
        <v>114</v>
      </c>
      <c r="L42" s="6" t="s">
        <v>114</v>
      </c>
      <c r="M42" s="6" t="s">
        <v>114</v>
      </c>
    </row>
    <row r="43" spans="1:13" x14ac:dyDescent="0.25">
      <c r="A43" s="1" t="s">
        <v>63</v>
      </c>
      <c r="B43" s="6" t="s">
        <v>115</v>
      </c>
      <c r="C43" s="6" t="s">
        <v>116</v>
      </c>
      <c r="D43" s="6" t="s">
        <v>117</v>
      </c>
      <c r="E43" s="6" t="s">
        <v>117</v>
      </c>
      <c r="F43" s="6" t="s">
        <v>58</v>
      </c>
      <c r="G43" s="6" t="s">
        <v>111</v>
      </c>
      <c r="H43" s="6" t="s">
        <v>119</v>
      </c>
      <c r="I43" s="6" t="s">
        <v>113</v>
      </c>
      <c r="J43" s="6" t="s">
        <v>114</v>
      </c>
      <c r="K43" s="6" t="s">
        <v>114</v>
      </c>
      <c r="L43" s="6" t="s">
        <v>114</v>
      </c>
      <c r="M43" s="6" t="s">
        <v>114</v>
      </c>
    </row>
    <row r="44" spans="1:13" x14ac:dyDescent="0.25">
      <c r="A44" s="1" t="s">
        <v>74</v>
      </c>
      <c r="B44" s="7">
        <v>0</v>
      </c>
      <c r="C44" s="7">
        <v>0</v>
      </c>
      <c r="D44" s="7">
        <v>0</v>
      </c>
      <c r="E44" s="7">
        <v>0</v>
      </c>
      <c r="F44" s="7">
        <v>0</v>
      </c>
      <c r="G44" s="7">
        <v>0</v>
      </c>
      <c r="H44" s="7">
        <v>0.40316000000000002</v>
      </c>
      <c r="I44" s="7">
        <v>0</v>
      </c>
      <c r="J44" s="6" t="s">
        <v>114</v>
      </c>
      <c r="K44" s="6" t="s">
        <v>114</v>
      </c>
      <c r="L44" s="6" t="s">
        <v>114</v>
      </c>
      <c r="M44" s="6" t="s">
        <v>114</v>
      </c>
    </row>
    <row r="45" spans="1:13" x14ac:dyDescent="0.25">
      <c r="A45" s="1" t="s">
        <v>75</v>
      </c>
      <c r="B45" s="6" t="s">
        <v>85</v>
      </c>
      <c r="C45" s="6" t="s">
        <v>85</v>
      </c>
      <c r="D45" s="6" t="s">
        <v>85</v>
      </c>
      <c r="E45" s="6" t="s">
        <v>85</v>
      </c>
      <c r="F45" s="6" t="s">
        <v>85</v>
      </c>
      <c r="G45" s="6" t="s">
        <v>120</v>
      </c>
      <c r="H45" s="6" t="s">
        <v>84</v>
      </c>
      <c r="I45" s="6" t="s">
        <v>85</v>
      </c>
      <c r="J45" s="6" t="s">
        <v>114</v>
      </c>
      <c r="K45" s="6" t="s">
        <v>114</v>
      </c>
      <c r="L45" s="6" t="s">
        <v>114</v>
      </c>
      <c r="M45" s="6" t="s">
        <v>114</v>
      </c>
    </row>
    <row r="46" spans="1:13" x14ac:dyDescent="0.25">
      <c r="A46" s="1" t="s">
        <v>86</v>
      </c>
      <c r="B46" s="6" t="s">
        <v>87</v>
      </c>
      <c r="C46" s="6" t="s">
        <v>87</v>
      </c>
      <c r="D46" s="6" t="s">
        <v>87</v>
      </c>
      <c r="E46" s="6" t="s">
        <v>87</v>
      </c>
      <c r="F46" s="6" t="s">
        <v>87</v>
      </c>
      <c r="G46" s="6" t="s">
        <v>87</v>
      </c>
      <c r="H46" s="6" t="s">
        <v>87</v>
      </c>
      <c r="I46" s="6" t="s">
        <v>87</v>
      </c>
      <c r="J46" s="6" t="s">
        <v>114</v>
      </c>
      <c r="K46" s="6" t="s">
        <v>114</v>
      </c>
      <c r="L46" s="6" t="s">
        <v>114</v>
      </c>
      <c r="M46" s="6" t="s">
        <v>114</v>
      </c>
    </row>
    <row r="47" spans="1:13" x14ac:dyDescent="0.25">
      <c r="A47" s="1" t="s">
        <v>121</v>
      </c>
      <c r="B47" s="6" t="s">
        <v>122</v>
      </c>
      <c r="C47" s="6" t="s">
        <v>123</v>
      </c>
      <c r="D47" s="6" t="s">
        <v>124</v>
      </c>
      <c r="E47" s="6" t="s">
        <v>125</v>
      </c>
      <c r="F47" s="6" t="s">
        <v>126</v>
      </c>
      <c r="G47" s="6" t="s">
        <v>127</v>
      </c>
      <c r="H47" s="6" t="s">
        <v>128</v>
      </c>
      <c r="I47" s="6" t="s">
        <v>129</v>
      </c>
      <c r="J47" s="6" t="s">
        <v>130</v>
      </c>
      <c r="K47" s="6" t="s">
        <v>131</v>
      </c>
      <c r="L47" s="6" t="s">
        <v>132</v>
      </c>
      <c r="M47" s="6" t="s">
        <v>133</v>
      </c>
    </row>
    <row r="48" spans="1:13" x14ac:dyDescent="0.25">
      <c r="A48" s="1" t="s">
        <v>39</v>
      </c>
      <c r="B48" s="6" t="s">
        <v>122</v>
      </c>
      <c r="C48" s="6" t="s">
        <v>123</v>
      </c>
      <c r="D48" s="6" t="s">
        <v>124</v>
      </c>
      <c r="E48" s="6" t="s">
        <v>125</v>
      </c>
      <c r="F48" s="6" t="s">
        <v>126</v>
      </c>
      <c r="G48" s="6" t="s">
        <v>127</v>
      </c>
      <c r="H48" s="6" t="s">
        <v>128</v>
      </c>
      <c r="I48" s="6" t="s">
        <v>129</v>
      </c>
      <c r="J48" s="6" t="s">
        <v>130</v>
      </c>
      <c r="K48" s="6" t="s">
        <v>131</v>
      </c>
      <c r="L48" s="6" t="s">
        <v>132</v>
      </c>
      <c r="M48" s="6" t="s">
        <v>133</v>
      </c>
    </row>
    <row r="49" spans="1:13" x14ac:dyDescent="0.25">
      <c r="A49" s="1" t="s">
        <v>40</v>
      </c>
      <c r="B49" s="6" t="s">
        <v>134</v>
      </c>
      <c r="C49" s="6" t="s">
        <v>135</v>
      </c>
      <c r="D49" s="6" t="s">
        <v>136</v>
      </c>
      <c r="E49" s="6" t="s">
        <v>137</v>
      </c>
      <c r="F49" s="6" t="s">
        <v>138</v>
      </c>
      <c r="G49" s="6" t="s">
        <v>127</v>
      </c>
      <c r="H49" s="6" t="s">
        <v>128</v>
      </c>
      <c r="I49" s="6" t="s">
        <v>129</v>
      </c>
      <c r="J49" s="6" t="s">
        <v>130</v>
      </c>
      <c r="K49" s="6" t="s">
        <v>131</v>
      </c>
      <c r="L49" s="6" t="s">
        <v>132</v>
      </c>
      <c r="M49" s="6" t="s">
        <v>133</v>
      </c>
    </row>
    <row r="50" spans="1:13" x14ac:dyDescent="0.25">
      <c r="A50" s="1" t="s">
        <v>46</v>
      </c>
      <c r="B50" s="6" t="s">
        <v>134</v>
      </c>
      <c r="C50" s="6" t="s">
        <v>135</v>
      </c>
      <c r="D50" s="6" t="s">
        <v>139</v>
      </c>
      <c r="E50" s="6" t="s">
        <v>140</v>
      </c>
      <c r="F50" s="6" t="s">
        <v>138</v>
      </c>
      <c r="G50" s="6" t="s">
        <v>141</v>
      </c>
      <c r="H50" s="6" t="s">
        <v>142</v>
      </c>
      <c r="I50" s="6" t="s">
        <v>143</v>
      </c>
      <c r="J50" s="6" t="s">
        <v>130</v>
      </c>
      <c r="K50" s="6" t="s">
        <v>131</v>
      </c>
      <c r="L50" s="6" t="s">
        <v>132</v>
      </c>
      <c r="M50" s="6" t="s">
        <v>133</v>
      </c>
    </row>
    <row r="51" spans="1:13" x14ac:dyDescent="0.25">
      <c r="A51" s="1" t="s">
        <v>52</v>
      </c>
      <c r="B51" s="6" t="s">
        <v>144</v>
      </c>
      <c r="C51" s="6" t="s">
        <v>139</v>
      </c>
      <c r="D51" s="6" t="s">
        <v>141</v>
      </c>
      <c r="E51" s="6" t="s">
        <v>145</v>
      </c>
      <c r="F51" s="6" t="s">
        <v>141</v>
      </c>
      <c r="G51" s="6" t="s">
        <v>146</v>
      </c>
      <c r="H51" s="6" t="s">
        <v>147</v>
      </c>
      <c r="I51" s="6" t="s">
        <v>148</v>
      </c>
      <c r="J51" s="6" t="s">
        <v>149</v>
      </c>
      <c r="K51" s="6" t="s">
        <v>150</v>
      </c>
      <c r="L51" s="6" t="s">
        <v>132</v>
      </c>
      <c r="M51" s="6" t="s">
        <v>133</v>
      </c>
    </row>
    <row r="52" spans="1:13" x14ac:dyDescent="0.25">
      <c r="A52" s="1" t="s">
        <v>63</v>
      </c>
      <c r="B52" s="6" t="s">
        <v>151</v>
      </c>
      <c r="C52" s="6" t="s">
        <v>152</v>
      </c>
      <c r="D52" s="6" t="s">
        <v>144</v>
      </c>
      <c r="E52" s="6" t="s">
        <v>140</v>
      </c>
      <c r="F52" s="6" t="s">
        <v>153</v>
      </c>
      <c r="G52" s="6" t="s">
        <v>141</v>
      </c>
      <c r="H52" s="6" t="s">
        <v>141</v>
      </c>
      <c r="I52" s="6" t="s">
        <v>141</v>
      </c>
      <c r="J52" s="6" t="s">
        <v>154</v>
      </c>
      <c r="K52" s="6" t="s">
        <v>155</v>
      </c>
      <c r="L52" s="6" t="s">
        <v>132</v>
      </c>
      <c r="M52" s="6" t="s">
        <v>133</v>
      </c>
    </row>
    <row r="53" spans="1:13" x14ac:dyDescent="0.25">
      <c r="A53" s="1" t="s">
        <v>74</v>
      </c>
      <c r="B53" s="7">
        <v>9.11E-3</v>
      </c>
      <c r="C53" s="7">
        <v>1.9640000000000001E-2</v>
      </c>
      <c r="D53" s="7">
        <v>3.3000000000000002E-2</v>
      </c>
      <c r="E53" s="7">
        <v>1.43E-2</v>
      </c>
      <c r="F53" s="7">
        <v>1.268E-2</v>
      </c>
      <c r="G53" s="7">
        <v>2.1520000000000001E-2</v>
      </c>
      <c r="H53" s="7">
        <v>3.9440000000000003E-2</v>
      </c>
      <c r="I53" s="7">
        <v>5.6230000000000002E-2</v>
      </c>
      <c r="J53" s="7">
        <v>0.01</v>
      </c>
      <c r="K53" s="7">
        <v>0.02</v>
      </c>
      <c r="L53" s="7">
        <v>0</v>
      </c>
      <c r="M53" s="7">
        <v>0</v>
      </c>
    </row>
    <row r="54" spans="1:13" x14ac:dyDescent="0.25">
      <c r="A54" s="1" t="s">
        <v>75</v>
      </c>
      <c r="B54" s="6" t="s">
        <v>156</v>
      </c>
      <c r="C54" s="6" t="s">
        <v>83</v>
      </c>
      <c r="D54" s="6" t="s">
        <v>83</v>
      </c>
      <c r="E54" s="6" t="s">
        <v>157</v>
      </c>
      <c r="F54" s="6" t="s">
        <v>158</v>
      </c>
      <c r="G54" s="6" t="s">
        <v>159</v>
      </c>
      <c r="H54" s="6" t="s">
        <v>160</v>
      </c>
      <c r="I54" s="6" t="s">
        <v>161</v>
      </c>
      <c r="J54" s="6" t="s">
        <v>84</v>
      </c>
      <c r="K54" s="6" t="s">
        <v>84</v>
      </c>
      <c r="L54" s="6" t="s">
        <v>85</v>
      </c>
      <c r="M54" s="6" t="s">
        <v>85</v>
      </c>
    </row>
    <row r="55" spans="1:13" x14ac:dyDescent="0.25">
      <c r="A55" s="1" t="s">
        <v>86</v>
      </c>
      <c r="B55" s="6" t="s">
        <v>87</v>
      </c>
      <c r="C55" s="6" t="s">
        <v>87</v>
      </c>
      <c r="D55" s="6" t="s">
        <v>87</v>
      </c>
      <c r="E55" s="6" t="s">
        <v>87</v>
      </c>
      <c r="F55" s="6" t="s">
        <v>87</v>
      </c>
      <c r="G55" s="6" t="s">
        <v>87</v>
      </c>
      <c r="H55" s="6" t="s">
        <v>87</v>
      </c>
      <c r="I55" s="6" t="s">
        <v>87</v>
      </c>
      <c r="J55" s="6" t="s">
        <v>87</v>
      </c>
      <c r="K55" s="6" t="s">
        <v>87</v>
      </c>
      <c r="L55" s="6" t="s">
        <v>87</v>
      </c>
      <c r="M55" s="6" t="s">
        <v>87</v>
      </c>
    </row>
    <row r="56" spans="1:13" x14ac:dyDescent="0.25">
      <c r="A56" s="1" t="s">
        <v>162</v>
      </c>
      <c r="B56" s="6" t="s">
        <v>163</v>
      </c>
      <c r="C56" s="6" t="s">
        <v>164</v>
      </c>
      <c r="D56" s="6" t="s">
        <v>165</v>
      </c>
      <c r="E56" s="6" t="s">
        <v>166</v>
      </c>
      <c r="F56" s="6" t="s">
        <v>167</v>
      </c>
      <c r="G56" s="6" t="s">
        <v>168</v>
      </c>
      <c r="H56" s="6" t="s">
        <v>169</v>
      </c>
      <c r="I56" s="6" t="s">
        <v>114</v>
      </c>
      <c r="J56" s="6" t="s">
        <v>114</v>
      </c>
      <c r="K56" s="6" t="s">
        <v>114</v>
      </c>
      <c r="L56" s="6" t="s">
        <v>114</v>
      </c>
      <c r="M56" s="6" t="s">
        <v>114</v>
      </c>
    </row>
    <row r="57" spans="1:13" x14ac:dyDescent="0.25">
      <c r="A57" s="1" t="s">
        <v>39</v>
      </c>
      <c r="B57" s="6" t="s">
        <v>163</v>
      </c>
      <c r="C57" s="6" t="s">
        <v>164</v>
      </c>
      <c r="D57" s="6" t="s">
        <v>165</v>
      </c>
      <c r="E57" s="6" t="s">
        <v>166</v>
      </c>
      <c r="F57" s="6" t="s">
        <v>167</v>
      </c>
      <c r="G57" s="6" t="s">
        <v>168</v>
      </c>
      <c r="H57" s="6" t="s">
        <v>169</v>
      </c>
      <c r="I57" s="6" t="s">
        <v>114</v>
      </c>
      <c r="J57" s="6" t="s">
        <v>114</v>
      </c>
      <c r="K57" s="6" t="s">
        <v>114</v>
      </c>
      <c r="L57" s="6" t="s">
        <v>114</v>
      </c>
      <c r="M57" s="6" t="s">
        <v>114</v>
      </c>
    </row>
    <row r="58" spans="1:13" x14ac:dyDescent="0.25">
      <c r="A58" s="1" t="s">
        <v>40</v>
      </c>
      <c r="B58" s="6" t="s">
        <v>170</v>
      </c>
      <c r="C58" s="6" t="s">
        <v>170</v>
      </c>
      <c r="D58" s="6" t="s">
        <v>171</v>
      </c>
      <c r="E58" s="6" t="s">
        <v>172</v>
      </c>
      <c r="F58" s="6" t="s">
        <v>173</v>
      </c>
      <c r="G58" s="6" t="s">
        <v>168</v>
      </c>
      <c r="H58" s="6" t="s">
        <v>169</v>
      </c>
      <c r="I58" s="6" t="s">
        <v>114</v>
      </c>
      <c r="J58" s="6" t="s">
        <v>114</v>
      </c>
      <c r="K58" s="6" t="s">
        <v>114</v>
      </c>
      <c r="L58" s="6" t="s">
        <v>114</v>
      </c>
      <c r="M58" s="6" t="s">
        <v>114</v>
      </c>
    </row>
    <row r="59" spans="1:13" x14ac:dyDescent="0.25">
      <c r="A59" s="1" t="s">
        <v>46</v>
      </c>
      <c r="B59" s="6" t="s">
        <v>170</v>
      </c>
      <c r="C59" s="6" t="s">
        <v>170</v>
      </c>
      <c r="D59" s="6" t="s">
        <v>174</v>
      </c>
      <c r="E59" s="6" t="s">
        <v>175</v>
      </c>
      <c r="F59" s="6" t="s">
        <v>173</v>
      </c>
      <c r="G59" s="6" t="s">
        <v>168</v>
      </c>
      <c r="H59" s="6" t="s">
        <v>169</v>
      </c>
      <c r="I59" s="6" t="s">
        <v>114</v>
      </c>
      <c r="J59" s="6" t="s">
        <v>114</v>
      </c>
      <c r="K59" s="6" t="s">
        <v>114</v>
      </c>
      <c r="L59" s="6" t="s">
        <v>114</v>
      </c>
      <c r="M59" s="6" t="s">
        <v>114</v>
      </c>
    </row>
    <row r="60" spans="1:13" x14ac:dyDescent="0.25">
      <c r="A60" s="1" t="s">
        <v>52</v>
      </c>
      <c r="B60" s="6" t="s">
        <v>176</v>
      </c>
      <c r="C60" s="6" t="s">
        <v>177</v>
      </c>
      <c r="D60" s="6" t="s">
        <v>178</v>
      </c>
      <c r="E60" s="6" t="s">
        <v>179</v>
      </c>
      <c r="F60" s="6" t="s">
        <v>173</v>
      </c>
      <c r="G60" s="6" t="s">
        <v>180</v>
      </c>
      <c r="H60" s="6" t="s">
        <v>181</v>
      </c>
      <c r="I60" s="6" t="s">
        <v>114</v>
      </c>
      <c r="J60" s="6" t="s">
        <v>114</v>
      </c>
      <c r="K60" s="6" t="s">
        <v>114</v>
      </c>
      <c r="L60" s="6" t="s">
        <v>114</v>
      </c>
      <c r="M60" s="6" t="s">
        <v>114</v>
      </c>
    </row>
    <row r="61" spans="1:13" x14ac:dyDescent="0.25">
      <c r="A61" s="1" t="s">
        <v>63</v>
      </c>
      <c r="B61" s="6" t="s">
        <v>182</v>
      </c>
      <c r="C61" s="6" t="s">
        <v>183</v>
      </c>
      <c r="D61" s="6" t="s">
        <v>184</v>
      </c>
      <c r="E61" s="6" t="s">
        <v>170</v>
      </c>
      <c r="F61" s="6" t="s">
        <v>185</v>
      </c>
      <c r="G61" s="6" t="s">
        <v>186</v>
      </c>
      <c r="H61" s="6" t="s">
        <v>187</v>
      </c>
      <c r="I61" s="6" t="s">
        <v>114</v>
      </c>
      <c r="J61" s="6" t="s">
        <v>114</v>
      </c>
      <c r="K61" s="6" t="s">
        <v>114</v>
      </c>
      <c r="L61" s="6" t="s">
        <v>114</v>
      </c>
      <c r="M61" s="6" t="s">
        <v>114</v>
      </c>
    </row>
    <row r="62" spans="1:13" x14ac:dyDescent="0.25">
      <c r="A62" s="1" t="s">
        <v>74</v>
      </c>
      <c r="B62" s="7">
        <v>2.5000000000000001E-2</v>
      </c>
      <c r="C62" s="7">
        <v>6.5000000000000002E-2</v>
      </c>
      <c r="D62" s="7">
        <v>0.37017</v>
      </c>
      <c r="E62" s="7">
        <v>8.5000000000000006E-2</v>
      </c>
      <c r="F62" s="7">
        <v>5.0000000000000001E-3</v>
      </c>
      <c r="G62" s="7">
        <v>0.08</v>
      </c>
      <c r="H62" s="7">
        <v>0.14000000000000001</v>
      </c>
      <c r="I62" s="6" t="s">
        <v>114</v>
      </c>
      <c r="J62" s="6" t="s">
        <v>114</v>
      </c>
      <c r="K62" s="6" t="s">
        <v>114</v>
      </c>
      <c r="L62" s="6" t="s">
        <v>114</v>
      </c>
      <c r="M62" s="6" t="s">
        <v>114</v>
      </c>
    </row>
    <row r="63" spans="1:13" x14ac:dyDescent="0.25">
      <c r="A63" s="1" t="s">
        <v>75</v>
      </c>
      <c r="B63" s="6" t="s">
        <v>84</v>
      </c>
      <c r="C63" s="6" t="s">
        <v>84</v>
      </c>
      <c r="D63" s="6" t="s">
        <v>188</v>
      </c>
      <c r="E63" s="6" t="s">
        <v>188</v>
      </c>
      <c r="F63" s="6" t="s">
        <v>84</v>
      </c>
      <c r="G63" s="6" t="s">
        <v>84</v>
      </c>
      <c r="H63" s="6" t="s">
        <v>84</v>
      </c>
      <c r="I63" s="6" t="s">
        <v>114</v>
      </c>
      <c r="J63" s="6" t="s">
        <v>114</v>
      </c>
      <c r="K63" s="6" t="s">
        <v>114</v>
      </c>
      <c r="L63" s="6" t="s">
        <v>114</v>
      </c>
      <c r="M63" s="6" t="s">
        <v>114</v>
      </c>
    </row>
    <row r="64" spans="1:13" x14ac:dyDescent="0.25">
      <c r="A64" s="1" t="s">
        <v>86</v>
      </c>
      <c r="B64" s="6" t="s">
        <v>87</v>
      </c>
      <c r="C64" s="6" t="s">
        <v>87</v>
      </c>
      <c r="D64" s="6" t="s">
        <v>87</v>
      </c>
      <c r="E64" s="6" t="s">
        <v>87</v>
      </c>
      <c r="F64" s="6" t="s">
        <v>87</v>
      </c>
      <c r="G64" s="6" t="s">
        <v>87</v>
      </c>
      <c r="H64" s="6" t="s">
        <v>87</v>
      </c>
      <c r="I64" s="6" t="s">
        <v>114</v>
      </c>
      <c r="J64" s="6" t="s">
        <v>114</v>
      </c>
      <c r="K64" s="6" t="s">
        <v>114</v>
      </c>
      <c r="L64" s="6" t="s">
        <v>114</v>
      </c>
      <c r="M64" s="6" t="s">
        <v>114</v>
      </c>
    </row>
    <row r="65" spans="1:13" x14ac:dyDescent="0.25">
      <c r="A65" s="1" t="s">
        <v>189</v>
      </c>
      <c r="B65" s="6" t="s">
        <v>163</v>
      </c>
      <c r="C65" s="6" t="s">
        <v>190</v>
      </c>
      <c r="D65" s="6" t="s">
        <v>191</v>
      </c>
      <c r="E65" s="6" t="s">
        <v>166</v>
      </c>
      <c r="F65" s="6" t="s">
        <v>167</v>
      </c>
      <c r="G65" s="6" t="s">
        <v>192</v>
      </c>
      <c r="H65" s="6" t="s">
        <v>193</v>
      </c>
      <c r="I65" s="6" t="s">
        <v>194</v>
      </c>
      <c r="J65" s="6" t="s">
        <v>114</v>
      </c>
      <c r="K65" s="6" t="s">
        <v>114</v>
      </c>
      <c r="L65" s="6" t="s">
        <v>114</v>
      </c>
      <c r="M65" s="6" t="s">
        <v>114</v>
      </c>
    </row>
    <row r="66" spans="1:13" x14ac:dyDescent="0.25">
      <c r="A66" s="1" t="s">
        <v>39</v>
      </c>
      <c r="B66" s="6" t="s">
        <v>163</v>
      </c>
      <c r="C66" s="6" t="s">
        <v>190</v>
      </c>
      <c r="D66" s="6" t="s">
        <v>191</v>
      </c>
      <c r="E66" s="6" t="s">
        <v>166</v>
      </c>
      <c r="F66" s="6" t="s">
        <v>167</v>
      </c>
      <c r="G66" s="6" t="s">
        <v>192</v>
      </c>
      <c r="H66" s="6" t="s">
        <v>193</v>
      </c>
      <c r="I66" s="6" t="s">
        <v>194</v>
      </c>
      <c r="J66" s="6" t="s">
        <v>114</v>
      </c>
      <c r="K66" s="6" t="s">
        <v>114</v>
      </c>
      <c r="L66" s="6" t="s">
        <v>114</v>
      </c>
      <c r="M66" s="6" t="s">
        <v>114</v>
      </c>
    </row>
    <row r="67" spans="1:13" x14ac:dyDescent="0.25">
      <c r="A67" s="1" t="s">
        <v>40</v>
      </c>
      <c r="B67" s="6" t="s">
        <v>195</v>
      </c>
      <c r="C67" s="6" t="s">
        <v>183</v>
      </c>
      <c r="D67" s="6" t="s">
        <v>196</v>
      </c>
      <c r="E67" s="6" t="s">
        <v>182</v>
      </c>
      <c r="F67" s="6" t="s">
        <v>197</v>
      </c>
      <c r="G67" s="6" t="s">
        <v>192</v>
      </c>
      <c r="H67" s="6" t="s">
        <v>193</v>
      </c>
      <c r="I67" s="6" t="s">
        <v>194</v>
      </c>
      <c r="J67" s="6" t="s">
        <v>114</v>
      </c>
      <c r="K67" s="6" t="s">
        <v>114</v>
      </c>
      <c r="L67" s="6" t="s">
        <v>114</v>
      </c>
      <c r="M67" s="6" t="s">
        <v>114</v>
      </c>
    </row>
    <row r="68" spans="1:13" x14ac:dyDescent="0.25">
      <c r="A68" s="1" t="s">
        <v>46</v>
      </c>
      <c r="B68" s="6" t="s">
        <v>174</v>
      </c>
      <c r="C68" s="6" t="s">
        <v>198</v>
      </c>
      <c r="D68" s="6" t="s">
        <v>199</v>
      </c>
      <c r="E68" s="6" t="s">
        <v>200</v>
      </c>
      <c r="F68" s="6" t="s">
        <v>185</v>
      </c>
      <c r="G68" s="6" t="s">
        <v>180</v>
      </c>
      <c r="H68" s="6" t="s">
        <v>201</v>
      </c>
      <c r="I68" s="6" t="s">
        <v>202</v>
      </c>
      <c r="J68" s="6" t="s">
        <v>114</v>
      </c>
      <c r="K68" s="6" t="s">
        <v>114</v>
      </c>
      <c r="L68" s="6" t="s">
        <v>114</v>
      </c>
      <c r="M68" s="6" t="s">
        <v>114</v>
      </c>
    </row>
    <row r="69" spans="1:13" x14ac:dyDescent="0.25">
      <c r="A69" s="1" t="s">
        <v>52</v>
      </c>
      <c r="B69" s="6" t="s">
        <v>203</v>
      </c>
      <c r="C69" s="6" t="s">
        <v>173</v>
      </c>
      <c r="D69" s="6" t="s">
        <v>204</v>
      </c>
      <c r="E69" s="6" t="s">
        <v>179</v>
      </c>
      <c r="F69" s="6" t="s">
        <v>205</v>
      </c>
      <c r="G69" s="6" t="s">
        <v>202</v>
      </c>
      <c r="H69" s="6" t="s">
        <v>206</v>
      </c>
      <c r="I69" s="6" t="s">
        <v>207</v>
      </c>
      <c r="J69" s="6" t="s">
        <v>114</v>
      </c>
      <c r="K69" s="6" t="s">
        <v>114</v>
      </c>
      <c r="L69" s="6" t="s">
        <v>114</v>
      </c>
      <c r="M69" s="6" t="s">
        <v>114</v>
      </c>
    </row>
    <row r="70" spans="1:13" x14ac:dyDescent="0.25">
      <c r="A70" s="1" t="s">
        <v>63</v>
      </c>
      <c r="B70" s="6" t="s">
        <v>208</v>
      </c>
      <c r="C70" s="6" t="s">
        <v>209</v>
      </c>
      <c r="D70" s="6" t="s">
        <v>210</v>
      </c>
      <c r="E70" s="6" t="s">
        <v>211</v>
      </c>
      <c r="F70" s="6" t="s">
        <v>182</v>
      </c>
      <c r="G70" s="6" t="s">
        <v>212</v>
      </c>
      <c r="H70" s="6" t="s">
        <v>213</v>
      </c>
      <c r="I70" s="6" t="s">
        <v>214</v>
      </c>
      <c r="J70" s="6" t="s">
        <v>114</v>
      </c>
      <c r="K70" s="6" t="s">
        <v>114</v>
      </c>
      <c r="L70" s="6" t="s">
        <v>114</v>
      </c>
      <c r="M70" s="6" t="s">
        <v>114</v>
      </c>
    </row>
    <row r="71" spans="1:13" x14ac:dyDescent="0.25">
      <c r="A71" s="1" t="s">
        <v>74</v>
      </c>
      <c r="B71" s="7">
        <v>8.0790000000000001E-2</v>
      </c>
      <c r="C71" s="7">
        <v>0.34999000000000002</v>
      </c>
      <c r="D71" s="7">
        <v>0.50344999999999995</v>
      </c>
      <c r="E71" s="7">
        <v>0.24326999999999999</v>
      </c>
      <c r="F71" s="7">
        <v>0.27474999999999999</v>
      </c>
      <c r="G71" s="7">
        <v>0.45668999999999998</v>
      </c>
      <c r="H71" s="7">
        <v>0.93603999999999998</v>
      </c>
      <c r="I71" s="7">
        <v>1.35924</v>
      </c>
      <c r="J71" s="6" t="s">
        <v>114</v>
      </c>
      <c r="K71" s="6" t="s">
        <v>114</v>
      </c>
      <c r="L71" s="6" t="s">
        <v>114</v>
      </c>
      <c r="M71" s="6" t="s">
        <v>114</v>
      </c>
    </row>
    <row r="72" spans="1:13" x14ac:dyDescent="0.25">
      <c r="A72" s="1" t="s">
        <v>75</v>
      </c>
      <c r="B72" s="6" t="s">
        <v>215</v>
      </c>
      <c r="C72" s="6" t="s">
        <v>216</v>
      </c>
      <c r="D72" s="6" t="s">
        <v>161</v>
      </c>
      <c r="E72" s="6" t="s">
        <v>217</v>
      </c>
      <c r="F72" s="6" t="s">
        <v>218</v>
      </c>
      <c r="G72" s="6" t="s">
        <v>216</v>
      </c>
      <c r="H72" s="6" t="s">
        <v>216</v>
      </c>
      <c r="I72" s="6" t="s">
        <v>219</v>
      </c>
      <c r="J72" s="6" t="s">
        <v>114</v>
      </c>
      <c r="K72" s="6" t="s">
        <v>114</v>
      </c>
      <c r="L72" s="6" t="s">
        <v>114</v>
      </c>
      <c r="M72" s="6" t="s">
        <v>114</v>
      </c>
    </row>
    <row r="73" spans="1:13" x14ac:dyDescent="0.25">
      <c r="A73" s="1" t="s">
        <v>86</v>
      </c>
      <c r="B73" s="6" t="s">
        <v>87</v>
      </c>
      <c r="C73" s="6" t="s">
        <v>87</v>
      </c>
      <c r="D73" s="6" t="s">
        <v>87</v>
      </c>
      <c r="E73" s="6" t="s">
        <v>87</v>
      </c>
      <c r="F73" s="6" t="s">
        <v>87</v>
      </c>
      <c r="G73" s="6" t="s">
        <v>87</v>
      </c>
      <c r="H73" s="6" t="s">
        <v>87</v>
      </c>
      <c r="I73" s="6" t="s">
        <v>87</v>
      </c>
      <c r="J73" s="6" t="s">
        <v>114</v>
      </c>
      <c r="K73" s="6" t="s">
        <v>114</v>
      </c>
      <c r="L73" s="6" t="s">
        <v>114</v>
      </c>
      <c r="M73" s="6" t="s">
        <v>114</v>
      </c>
    </row>
    <row r="74" spans="1:13" x14ac:dyDescent="0.25">
      <c r="A74" s="1" t="s">
        <v>220</v>
      </c>
      <c r="B74" s="6" t="s">
        <v>221</v>
      </c>
      <c r="C74" s="6" t="s">
        <v>222</v>
      </c>
      <c r="D74" s="6" t="s">
        <v>223</v>
      </c>
      <c r="E74" s="6" t="s">
        <v>224</v>
      </c>
      <c r="F74" s="6" t="s">
        <v>225</v>
      </c>
      <c r="G74" s="6" t="s">
        <v>226</v>
      </c>
      <c r="H74" s="6" t="s">
        <v>227</v>
      </c>
      <c r="I74" s="6" t="s">
        <v>228</v>
      </c>
      <c r="J74" s="6" t="s">
        <v>114</v>
      </c>
      <c r="K74" s="6" t="s">
        <v>114</v>
      </c>
      <c r="L74" s="6" t="s">
        <v>114</v>
      </c>
      <c r="M74" s="6" t="s">
        <v>114</v>
      </c>
    </row>
    <row r="75" spans="1:13" x14ac:dyDescent="0.25">
      <c r="A75" s="1" t="s">
        <v>39</v>
      </c>
      <c r="B75" s="6" t="s">
        <v>221</v>
      </c>
      <c r="C75" s="6" t="s">
        <v>222</v>
      </c>
      <c r="D75" s="6" t="s">
        <v>223</v>
      </c>
      <c r="E75" s="6" t="s">
        <v>224</v>
      </c>
      <c r="F75" s="6" t="s">
        <v>225</v>
      </c>
      <c r="G75" s="6" t="s">
        <v>226</v>
      </c>
      <c r="H75" s="6" t="s">
        <v>227</v>
      </c>
      <c r="I75" s="6" t="s">
        <v>228</v>
      </c>
      <c r="J75" s="6" t="s">
        <v>114</v>
      </c>
      <c r="K75" s="6" t="s">
        <v>114</v>
      </c>
      <c r="L75" s="6" t="s">
        <v>114</v>
      </c>
      <c r="M75" s="6" t="s">
        <v>114</v>
      </c>
    </row>
    <row r="76" spans="1:13" x14ac:dyDescent="0.25">
      <c r="A76" s="1" t="s">
        <v>40</v>
      </c>
      <c r="B76" s="6" t="s">
        <v>229</v>
      </c>
      <c r="C76" s="6" t="s">
        <v>55</v>
      </c>
      <c r="D76" s="6" t="s">
        <v>230</v>
      </c>
      <c r="E76" s="6" t="s">
        <v>231</v>
      </c>
      <c r="F76" s="6" t="s">
        <v>232</v>
      </c>
      <c r="G76" s="6" t="s">
        <v>226</v>
      </c>
      <c r="H76" s="6" t="s">
        <v>227</v>
      </c>
      <c r="I76" s="6" t="s">
        <v>228</v>
      </c>
      <c r="J76" s="6" t="s">
        <v>114</v>
      </c>
      <c r="K76" s="6" t="s">
        <v>114</v>
      </c>
      <c r="L76" s="6" t="s">
        <v>114</v>
      </c>
      <c r="M76" s="6" t="s">
        <v>114</v>
      </c>
    </row>
    <row r="77" spans="1:13" x14ac:dyDescent="0.25">
      <c r="A77" s="1" t="s">
        <v>46</v>
      </c>
      <c r="B77" s="6" t="s">
        <v>233</v>
      </c>
      <c r="C77" s="6" t="s">
        <v>234</v>
      </c>
      <c r="D77" s="6" t="s">
        <v>235</v>
      </c>
      <c r="E77" s="6" t="s">
        <v>236</v>
      </c>
      <c r="F77" s="6" t="s">
        <v>237</v>
      </c>
      <c r="G77" s="6" t="s">
        <v>226</v>
      </c>
      <c r="H77" s="6" t="s">
        <v>238</v>
      </c>
      <c r="I77" s="6" t="s">
        <v>228</v>
      </c>
      <c r="J77" s="6" t="s">
        <v>114</v>
      </c>
      <c r="K77" s="6" t="s">
        <v>114</v>
      </c>
      <c r="L77" s="6" t="s">
        <v>114</v>
      </c>
      <c r="M77" s="6" t="s">
        <v>114</v>
      </c>
    </row>
    <row r="78" spans="1:13" x14ac:dyDescent="0.25">
      <c r="A78" s="1" t="s">
        <v>52</v>
      </c>
      <c r="B78" s="6" t="s">
        <v>239</v>
      </c>
      <c r="C78" s="6" t="s">
        <v>240</v>
      </c>
      <c r="D78" s="6" t="s">
        <v>241</v>
      </c>
      <c r="E78" s="6" t="s">
        <v>91</v>
      </c>
      <c r="F78" s="6" t="s">
        <v>242</v>
      </c>
      <c r="G78" s="6" t="s">
        <v>243</v>
      </c>
      <c r="H78" s="6" t="s">
        <v>244</v>
      </c>
      <c r="I78" s="6" t="s">
        <v>245</v>
      </c>
      <c r="J78" s="6" t="s">
        <v>114</v>
      </c>
      <c r="K78" s="6" t="s">
        <v>114</v>
      </c>
      <c r="L78" s="6" t="s">
        <v>114</v>
      </c>
      <c r="M78" s="6" t="s">
        <v>114</v>
      </c>
    </row>
    <row r="79" spans="1:13" x14ac:dyDescent="0.25">
      <c r="A79" s="1" t="s">
        <v>63</v>
      </c>
      <c r="B79" s="6" t="s">
        <v>198</v>
      </c>
      <c r="C79" s="6" t="s">
        <v>246</v>
      </c>
      <c r="D79" s="6" t="s">
        <v>247</v>
      </c>
      <c r="E79" s="6" t="s">
        <v>248</v>
      </c>
      <c r="F79" s="6" t="s">
        <v>249</v>
      </c>
      <c r="G79" s="6" t="s">
        <v>250</v>
      </c>
      <c r="H79" s="6" t="s">
        <v>251</v>
      </c>
      <c r="I79" s="6" t="s">
        <v>252</v>
      </c>
      <c r="J79" s="6" t="s">
        <v>114</v>
      </c>
      <c r="K79" s="6" t="s">
        <v>114</v>
      </c>
      <c r="L79" s="6" t="s">
        <v>114</v>
      </c>
      <c r="M79" s="6" t="s">
        <v>114</v>
      </c>
    </row>
    <row r="80" spans="1:13" x14ac:dyDescent="0.25">
      <c r="A80" s="1" t="s">
        <v>74</v>
      </c>
      <c r="B80" s="7">
        <v>0.40279999999999999</v>
      </c>
      <c r="C80" s="7">
        <v>0.27535999999999999</v>
      </c>
      <c r="D80" s="7">
        <v>0.51849999999999996</v>
      </c>
      <c r="E80" s="7">
        <v>0.43729000000000001</v>
      </c>
      <c r="F80" s="7">
        <v>0.44540999999999997</v>
      </c>
      <c r="G80" s="7">
        <v>0.38849</v>
      </c>
      <c r="H80" s="7">
        <v>0.49762000000000001</v>
      </c>
      <c r="I80" s="7">
        <v>3.662E-2</v>
      </c>
      <c r="J80" s="6" t="s">
        <v>114</v>
      </c>
      <c r="K80" s="6" t="s">
        <v>114</v>
      </c>
      <c r="L80" s="6" t="s">
        <v>114</v>
      </c>
      <c r="M80" s="6" t="s">
        <v>114</v>
      </c>
    </row>
    <row r="81" spans="1:13" x14ac:dyDescent="0.25">
      <c r="A81" s="1" t="s">
        <v>75</v>
      </c>
      <c r="B81" s="6" t="s">
        <v>188</v>
      </c>
      <c r="C81" s="6" t="s">
        <v>215</v>
      </c>
      <c r="D81" s="6" t="s">
        <v>253</v>
      </c>
      <c r="E81" s="6" t="s">
        <v>254</v>
      </c>
      <c r="F81" s="6" t="s">
        <v>255</v>
      </c>
      <c r="G81" s="6" t="s">
        <v>255</v>
      </c>
      <c r="H81" s="6" t="s">
        <v>255</v>
      </c>
      <c r="I81" s="6" t="s">
        <v>84</v>
      </c>
      <c r="J81" s="6" t="s">
        <v>114</v>
      </c>
      <c r="K81" s="6" t="s">
        <v>114</v>
      </c>
      <c r="L81" s="6" t="s">
        <v>114</v>
      </c>
      <c r="M81" s="6" t="s">
        <v>114</v>
      </c>
    </row>
    <row r="82" spans="1:13" x14ac:dyDescent="0.25">
      <c r="A82" s="1" t="s">
        <v>86</v>
      </c>
      <c r="B82" s="6" t="s">
        <v>87</v>
      </c>
      <c r="C82" s="6" t="s">
        <v>87</v>
      </c>
      <c r="D82" s="6" t="s">
        <v>87</v>
      </c>
      <c r="E82" s="6" t="s">
        <v>87</v>
      </c>
      <c r="F82" s="6" t="s">
        <v>87</v>
      </c>
      <c r="G82" s="6" t="s">
        <v>87</v>
      </c>
      <c r="H82" s="6" t="s">
        <v>87</v>
      </c>
      <c r="I82" s="6" t="s">
        <v>87</v>
      </c>
      <c r="J82" s="6" t="s">
        <v>114</v>
      </c>
      <c r="K82" s="6" t="s">
        <v>114</v>
      </c>
      <c r="L82" s="6" t="s">
        <v>114</v>
      </c>
      <c r="M82" s="6" t="s">
        <v>114</v>
      </c>
    </row>
    <row r="83" spans="1:13" ht="30" x14ac:dyDescent="0.25">
      <c r="A83" s="1" t="s">
        <v>256</v>
      </c>
      <c r="B83" s="6" t="s">
        <v>114</v>
      </c>
      <c r="C83" s="6" t="s">
        <v>114</v>
      </c>
      <c r="D83" s="6" t="s">
        <v>114</v>
      </c>
      <c r="E83" s="6" t="s">
        <v>257</v>
      </c>
      <c r="F83" s="6" t="s">
        <v>258</v>
      </c>
      <c r="G83" s="6" t="s">
        <v>259</v>
      </c>
      <c r="H83" s="6" t="s">
        <v>260</v>
      </c>
      <c r="I83" s="6" t="s">
        <v>261</v>
      </c>
      <c r="J83" s="6" t="s">
        <v>262</v>
      </c>
      <c r="K83" s="6" t="s">
        <v>263</v>
      </c>
      <c r="L83" s="6" t="s">
        <v>114</v>
      </c>
      <c r="M83" s="6" t="s">
        <v>114</v>
      </c>
    </row>
    <row r="84" spans="1:13" x14ac:dyDescent="0.25">
      <c r="A84" s="1" t="s">
        <v>39</v>
      </c>
      <c r="B84" s="6" t="s">
        <v>114</v>
      </c>
      <c r="C84" s="6" t="s">
        <v>114</v>
      </c>
      <c r="D84" s="6" t="s">
        <v>114</v>
      </c>
      <c r="E84" s="6" t="s">
        <v>257</v>
      </c>
      <c r="F84" s="6" t="s">
        <v>258</v>
      </c>
      <c r="G84" s="6" t="s">
        <v>259</v>
      </c>
      <c r="H84" s="6" t="s">
        <v>260</v>
      </c>
      <c r="I84" s="6" t="s">
        <v>261</v>
      </c>
      <c r="J84" s="6" t="s">
        <v>262</v>
      </c>
      <c r="K84" s="6" t="s">
        <v>263</v>
      </c>
      <c r="L84" s="6" t="s">
        <v>114</v>
      </c>
      <c r="M84" s="6" t="s">
        <v>114</v>
      </c>
    </row>
    <row r="85" spans="1:13" x14ac:dyDescent="0.25">
      <c r="A85" s="1" t="s">
        <v>40</v>
      </c>
      <c r="B85" s="6" t="s">
        <v>114</v>
      </c>
      <c r="C85" s="6" t="s">
        <v>114</v>
      </c>
      <c r="D85" s="6" t="s">
        <v>114</v>
      </c>
      <c r="E85" s="6" t="s">
        <v>264</v>
      </c>
      <c r="F85" s="6" t="s">
        <v>265</v>
      </c>
      <c r="G85" s="6" t="s">
        <v>259</v>
      </c>
      <c r="H85" s="6" t="s">
        <v>260</v>
      </c>
      <c r="I85" s="6" t="s">
        <v>261</v>
      </c>
      <c r="J85" s="6" t="s">
        <v>262</v>
      </c>
      <c r="K85" s="6" t="s">
        <v>263</v>
      </c>
      <c r="L85" s="6" t="s">
        <v>114</v>
      </c>
      <c r="M85" s="6" t="s">
        <v>114</v>
      </c>
    </row>
    <row r="86" spans="1:13" x14ac:dyDescent="0.25">
      <c r="A86" s="1" t="s">
        <v>46</v>
      </c>
      <c r="B86" s="6" t="s">
        <v>114</v>
      </c>
      <c r="C86" s="6" t="s">
        <v>114</v>
      </c>
      <c r="D86" s="6" t="s">
        <v>114</v>
      </c>
      <c r="E86" s="6" t="s">
        <v>266</v>
      </c>
      <c r="F86" s="6" t="s">
        <v>267</v>
      </c>
      <c r="G86" s="6" t="s">
        <v>268</v>
      </c>
      <c r="H86" s="6" t="s">
        <v>269</v>
      </c>
      <c r="I86" s="6" t="s">
        <v>270</v>
      </c>
      <c r="J86" s="6" t="s">
        <v>262</v>
      </c>
      <c r="K86" s="6" t="s">
        <v>263</v>
      </c>
      <c r="L86" s="6" t="s">
        <v>114</v>
      </c>
      <c r="M86" s="6" t="s">
        <v>114</v>
      </c>
    </row>
    <row r="87" spans="1:13" x14ac:dyDescent="0.25">
      <c r="A87" s="1" t="s">
        <v>52</v>
      </c>
      <c r="B87" s="6" t="s">
        <v>114</v>
      </c>
      <c r="C87" s="6" t="s">
        <v>114</v>
      </c>
      <c r="D87" s="6" t="s">
        <v>114</v>
      </c>
      <c r="E87" s="6" t="s">
        <v>271</v>
      </c>
      <c r="F87" s="6" t="s">
        <v>272</v>
      </c>
      <c r="G87" s="6" t="s">
        <v>273</v>
      </c>
      <c r="H87" s="6" t="s">
        <v>274</v>
      </c>
      <c r="I87" s="6" t="s">
        <v>275</v>
      </c>
      <c r="J87" s="6" t="s">
        <v>262</v>
      </c>
      <c r="K87" s="6" t="s">
        <v>263</v>
      </c>
      <c r="L87" s="6" t="s">
        <v>114</v>
      </c>
      <c r="M87" s="6" t="s">
        <v>114</v>
      </c>
    </row>
    <row r="88" spans="1:13" x14ac:dyDescent="0.25">
      <c r="A88" s="1" t="s">
        <v>63</v>
      </c>
      <c r="B88" s="6" t="s">
        <v>114</v>
      </c>
      <c r="C88" s="6" t="s">
        <v>114</v>
      </c>
      <c r="D88" s="6" t="s">
        <v>114</v>
      </c>
      <c r="E88" s="6" t="s">
        <v>276</v>
      </c>
      <c r="F88" s="6" t="s">
        <v>277</v>
      </c>
      <c r="G88" s="6" t="s">
        <v>278</v>
      </c>
      <c r="H88" s="6" t="s">
        <v>279</v>
      </c>
      <c r="I88" s="6" t="s">
        <v>280</v>
      </c>
      <c r="J88" s="6" t="s">
        <v>262</v>
      </c>
      <c r="K88" s="6" t="s">
        <v>263</v>
      </c>
      <c r="L88" s="6" t="s">
        <v>114</v>
      </c>
      <c r="M88" s="6" t="s">
        <v>114</v>
      </c>
    </row>
    <row r="89" spans="1:13" x14ac:dyDescent="0.25">
      <c r="A89" s="1" t="s">
        <v>74</v>
      </c>
      <c r="B89" s="6" t="s">
        <v>114</v>
      </c>
      <c r="C89" s="6" t="s">
        <v>114</v>
      </c>
      <c r="D89" s="6" t="s">
        <v>114</v>
      </c>
      <c r="E89" s="7">
        <v>60.638449999999999</v>
      </c>
      <c r="F89" s="7">
        <v>123.474622</v>
      </c>
      <c r="G89" s="7">
        <v>75.098482000000004</v>
      </c>
      <c r="H89" s="7">
        <v>219.42589899999999</v>
      </c>
      <c r="I89" s="7">
        <v>362.84526</v>
      </c>
      <c r="J89" s="7">
        <v>0</v>
      </c>
      <c r="K89" s="7">
        <v>0</v>
      </c>
      <c r="L89" s="6" t="s">
        <v>114</v>
      </c>
      <c r="M89" s="6" t="s">
        <v>114</v>
      </c>
    </row>
    <row r="90" spans="1:13" x14ac:dyDescent="0.25">
      <c r="A90" s="1" t="s">
        <v>75</v>
      </c>
      <c r="B90" s="6" t="s">
        <v>114</v>
      </c>
      <c r="C90" s="6" t="s">
        <v>114</v>
      </c>
      <c r="D90" s="6" t="s">
        <v>114</v>
      </c>
      <c r="E90" s="6" t="s">
        <v>281</v>
      </c>
      <c r="F90" s="6" t="s">
        <v>282</v>
      </c>
      <c r="G90" s="6" t="s">
        <v>283</v>
      </c>
      <c r="H90" s="6" t="s">
        <v>284</v>
      </c>
      <c r="I90" s="6" t="s">
        <v>285</v>
      </c>
      <c r="J90" s="6" t="s">
        <v>85</v>
      </c>
      <c r="K90" s="6" t="s">
        <v>85</v>
      </c>
      <c r="L90" s="6" t="s">
        <v>114</v>
      </c>
      <c r="M90" s="6" t="s">
        <v>114</v>
      </c>
    </row>
    <row r="91" spans="1:13" x14ac:dyDescent="0.25">
      <c r="A91" s="1" t="s">
        <v>86</v>
      </c>
      <c r="B91" s="6" t="s">
        <v>114</v>
      </c>
      <c r="C91" s="6" t="s">
        <v>114</v>
      </c>
      <c r="D91" s="6" t="s">
        <v>114</v>
      </c>
      <c r="E91" s="6" t="s">
        <v>87</v>
      </c>
      <c r="F91" s="6" t="s">
        <v>87</v>
      </c>
      <c r="G91" s="6" t="s">
        <v>87</v>
      </c>
      <c r="H91" s="6" t="s">
        <v>87</v>
      </c>
      <c r="I91" s="6" t="s">
        <v>87</v>
      </c>
      <c r="J91" s="6" t="s">
        <v>87</v>
      </c>
      <c r="K91" s="6" t="s">
        <v>87</v>
      </c>
      <c r="L91" s="6" t="s">
        <v>114</v>
      </c>
      <c r="M91" s="6" t="s">
        <v>114</v>
      </c>
    </row>
    <row r="92" spans="1:13" x14ac:dyDescent="0.25">
      <c r="A92" s="2"/>
    </row>
    <row r="93" spans="1:13" x14ac:dyDescent="0.25">
      <c r="A93" s="115"/>
      <c r="B93" s="115"/>
      <c r="C93" s="115"/>
      <c r="D93" s="115"/>
      <c r="E93" s="115"/>
      <c r="F93" s="115"/>
      <c r="G93" s="115"/>
      <c r="H93" s="115"/>
      <c r="I93" s="115"/>
      <c r="J93" s="115"/>
      <c r="K93" s="115"/>
      <c r="L93" s="115"/>
      <c r="M93" s="115"/>
    </row>
    <row r="94" spans="1:13" ht="30" x14ac:dyDescent="0.25">
      <c r="A94" s="3" t="s">
        <v>286</v>
      </c>
      <c r="B94" s="4" t="s">
        <v>13</v>
      </c>
      <c r="C94" s="4" t="s">
        <v>14</v>
      </c>
      <c r="D94" s="4" t="s">
        <v>15</v>
      </c>
      <c r="E94" s="4" t="s">
        <v>16</v>
      </c>
      <c r="F94" s="4" t="s">
        <v>17</v>
      </c>
      <c r="G94" s="4" t="s">
        <v>18</v>
      </c>
      <c r="H94" s="4" t="s">
        <v>19</v>
      </c>
      <c r="I94" s="4" t="s">
        <v>20</v>
      </c>
      <c r="J94" s="4" t="s">
        <v>21</v>
      </c>
      <c r="K94" s="4" t="s">
        <v>22</v>
      </c>
      <c r="L94" s="4" t="s">
        <v>23</v>
      </c>
      <c r="M94" s="4" t="s">
        <v>24</v>
      </c>
    </row>
    <row r="95" spans="1:13" x14ac:dyDescent="0.25">
      <c r="A95" s="1" t="s">
        <v>287</v>
      </c>
      <c r="B95" s="6" t="s">
        <v>288</v>
      </c>
      <c r="C95" s="6" t="s">
        <v>289</v>
      </c>
      <c r="D95" s="6" t="s">
        <v>290</v>
      </c>
      <c r="E95" s="6" t="s">
        <v>291</v>
      </c>
      <c r="F95" s="6" t="s">
        <v>292</v>
      </c>
      <c r="G95" s="6" t="s">
        <v>293</v>
      </c>
      <c r="H95" s="6" t="s">
        <v>294</v>
      </c>
      <c r="I95" s="6" t="s">
        <v>295</v>
      </c>
      <c r="J95" s="6" t="s">
        <v>296</v>
      </c>
      <c r="K95" s="6" t="s">
        <v>297</v>
      </c>
      <c r="L95" s="6" t="s">
        <v>298</v>
      </c>
      <c r="M95" s="6" t="s">
        <v>299</v>
      </c>
    </row>
    <row r="96" spans="1:13" x14ac:dyDescent="0.25">
      <c r="A96" s="1" t="s">
        <v>39</v>
      </c>
      <c r="B96" s="6" t="s">
        <v>288</v>
      </c>
      <c r="C96" s="6" t="s">
        <v>289</v>
      </c>
      <c r="D96" s="6" t="s">
        <v>290</v>
      </c>
      <c r="E96" s="6" t="s">
        <v>291</v>
      </c>
      <c r="F96" s="6" t="s">
        <v>292</v>
      </c>
      <c r="G96" s="6" t="s">
        <v>293</v>
      </c>
      <c r="H96" s="6" t="s">
        <v>294</v>
      </c>
      <c r="I96" s="6" t="s">
        <v>295</v>
      </c>
      <c r="J96" s="6" t="s">
        <v>296</v>
      </c>
      <c r="K96" s="6" t="s">
        <v>297</v>
      </c>
      <c r="L96" s="6" t="s">
        <v>298</v>
      </c>
      <c r="M96" s="6" t="s">
        <v>299</v>
      </c>
    </row>
    <row r="97" spans="1:13" x14ac:dyDescent="0.25">
      <c r="A97" s="1" t="s">
        <v>40</v>
      </c>
      <c r="B97" s="6" t="s">
        <v>300</v>
      </c>
      <c r="C97" s="6" t="s">
        <v>301</v>
      </c>
      <c r="D97" s="6" t="s">
        <v>302</v>
      </c>
      <c r="E97" s="6" t="s">
        <v>303</v>
      </c>
      <c r="F97" s="6" t="s">
        <v>304</v>
      </c>
      <c r="G97" s="6" t="s">
        <v>293</v>
      </c>
      <c r="H97" s="6" t="s">
        <v>294</v>
      </c>
      <c r="I97" s="6" t="s">
        <v>295</v>
      </c>
      <c r="J97" s="6" t="s">
        <v>296</v>
      </c>
      <c r="K97" s="6" t="s">
        <v>297</v>
      </c>
      <c r="L97" s="6" t="s">
        <v>298</v>
      </c>
      <c r="M97" s="6" t="s">
        <v>299</v>
      </c>
    </row>
    <row r="98" spans="1:13" x14ac:dyDescent="0.25">
      <c r="A98" s="1" t="s">
        <v>46</v>
      </c>
      <c r="B98" s="6" t="s">
        <v>305</v>
      </c>
      <c r="C98" s="6" t="s">
        <v>306</v>
      </c>
      <c r="D98" s="6" t="s">
        <v>307</v>
      </c>
      <c r="E98" s="6" t="s">
        <v>308</v>
      </c>
      <c r="F98" s="6" t="s">
        <v>309</v>
      </c>
      <c r="G98" s="6" t="s">
        <v>310</v>
      </c>
      <c r="H98" s="6" t="s">
        <v>311</v>
      </c>
      <c r="I98" s="6" t="s">
        <v>312</v>
      </c>
      <c r="J98" s="6" t="s">
        <v>296</v>
      </c>
      <c r="K98" s="6" t="s">
        <v>297</v>
      </c>
      <c r="L98" s="6" t="s">
        <v>298</v>
      </c>
      <c r="M98" s="6" t="s">
        <v>299</v>
      </c>
    </row>
    <row r="99" spans="1:13" x14ac:dyDescent="0.25">
      <c r="A99" s="1" t="s">
        <v>52</v>
      </c>
      <c r="B99" s="6" t="s">
        <v>313</v>
      </c>
      <c r="C99" s="6" t="s">
        <v>314</v>
      </c>
      <c r="D99" s="6" t="s">
        <v>315</v>
      </c>
      <c r="E99" s="6" t="s">
        <v>316</v>
      </c>
      <c r="F99" s="6" t="s">
        <v>317</v>
      </c>
      <c r="G99" s="6" t="s">
        <v>318</v>
      </c>
      <c r="H99" s="6" t="s">
        <v>319</v>
      </c>
      <c r="I99" s="6" t="s">
        <v>320</v>
      </c>
      <c r="J99" s="6" t="s">
        <v>321</v>
      </c>
      <c r="K99" s="6" t="s">
        <v>322</v>
      </c>
      <c r="L99" s="6" t="s">
        <v>298</v>
      </c>
      <c r="M99" s="6" t="s">
        <v>299</v>
      </c>
    </row>
    <row r="100" spans="1:13" x14ac:dyDescent="0.25">
      <c r="A100" s="1" t="s">
        <v>63</v>
      </c>
      <c r="B100" s="6" t="s">
        <v>323</v>
      </c>
      <c r="C100" s="6" t="s">
        <v>324</v>
      </c>
      <c r="D100" s="6" t="s">
        <v>325</v>
      </c>
      <c r="E100" s="6" t="s">
        <v>326</v>
      </c>
      <c r="F100" s="6" t="s">
        <v>327</v>
      </c>
      <c r="G100" s="6" t="s">
        <v>328</v>
      </c>
      <c r="H100" s="6" t="s">
        <v>329</v>
      </c>
      <c r="I100" s="6" t="s">
        <v>330</v>
      </c>
      <c r="J100" s="6" t="s">
        <v>331</v>
      </c>
      <c r="K100" s="6" t="s">
        <v>332</v>
      </c>
      <c r="L100" s="6" t="s">
        <v>298</v>
      </c>
      <c r="M100" s="6" t="s">
        <v>299</v>
      </c>
    </row>
    <row r="101" spans="1:13" x14ac:dyDescent="0.25">
      <c r="A101" s="1" t="s">
        <v>74</v>
      </c>
      <c r="B101" s="7">
        <v>3503.3777700000001</v>
      </c>
      <c r="C101" s="7">
        <v>3451.3266699999999</v>
      </c>
      <c r="D101" s="7">
        <v>1848.6891900000001</v>
      </c>
      <c r="E101" s="7">
        <v>3400.2077599999998</v>
      </c>
      <c r="F101" s="7">
        <v>2662.1266999999998</v>
      </c>
      <c r="G101" s="7">
        <v>2068.0437900000002</v>
      </c>
      <c r="H101" s="7">
        <v>13058.573469999999</v>
      </c>
      <c r="I101" s="7">
        <v>12231.42735</v>
      </c>
      <c r="J101" s="7">
        <v>10971.5</v>
      </c>
      <c r="K101" s="7">
        <v>2012</v>
      </c>
      <c r="L101" s="7">
        <v>0</v>
      </c>
      <c r="M101" s="7">
        <v>0</v>
      </c>
    </row>
    <row r="102" spans="1:13" x14ac:dyDescent="0.25">
      <c r="A102" s="1" t="s">
        <v>75</v>
      </c>
      <c r="B102" s="6" t="s">
        <v>333</v>
      </c>
      <c r="C102" s="6" t="s">
        <v>334</v>
      </c>
      <c r="D102" s="6" t="s">
        <v>78</v>
      </c>
      <c r="E102" s="6" t="s">
        <v>335</v>
      </c>
      <c r="F102" s="6" t="s">
        <v>336</v>
      </c>
      <c r="G102" s="6" t="s">
        <v>337</v>
      </c>
      <c r="H102" s="6" t="s">
        <v>76</v>
      </c>
      <c r="I102" s="6" t="s">
        <v>160</v>
      </c>
      <c r="J102" s="6" t="s">
        <v>84</v>
      </c>
      <c r="K102" s="6" t="s">
        <v>84</v>
      </c>
      <c r="L102" s="6" t="s">
        <v>85</v>
      </c>
      <c r="M102" s="6" t="s">
        <v>85</v>
      </c>
    </row>
    <row r="103" spans="1:13" x14ac:dyDescent="0.25">
      <c r="A103" s="1" t="s">
        <v>86</v>
      </c>
      <c r="B103" s="6" t="s">
        <v>87</v>
      </c>
      <c r="C103" s="6" t="s">
        <v>87</v>
      </c>
      <c r="D103" s="6" t="s">
        <v>87</v>
      </c>
      <c r="E103" s="6" t="s">
        <v>87</v>
      </c>
      <c r="F103" s="6" t="s">
        <v>87</v>
      </c>
      <c r="G103" s="6" t="s">
        <v>87</v>
      </c>
      <c r="H103" s="6" t="s">
        <v>87</v>
      </c>
      <c r="I103" s="6" t="s">
        <v>87</v>
      </c>
      <c r="J103" s="6" t="s">
        <v>87</v>
      </c>
      <c r="K103" s="6" t="s">
        <v>87</v>
      </c>
      <c r="L103" s="6" t="s">
        <v>87</v>
      </c>
      <c r="M103" s="6" t="s">
        <v>87</v>
      </c>
    </row>
    <row r="104" spans="1:13" ht="30" x14ac:dyDescent="0.25">
      <c r="A104" s="1" t="s">
        <v>338</v>
      </c>
      <c r="B104" s="6" t="s">
        <v>114</v>
      </c>
      <c r="C104" s="6" t="s">
        <v>114</v>
      </c>
      <c r="D104" s="6" t="s">
        <v>114</v>
      </c>
      <c r="E104" s="6" t="s">
        <v>339</v>
      </c>
      <c r="F104" s="6" t="s">
        <v>340</v>
      </c>
      <c r="G104" s="6" t="s">
        <v>341</v>
      </c>
      <c r="H104" s="6" t="s">
        <v>342</v>
      </c>
      <c r="I104" s="6" t="s">
        <v>343</v>
      </c>
      <c r="J104" s="6" t="s">
        <v>344</v>
      </c>
      <c r="K104" s="6" t="s">
        <v>345</v>
      </c>
      <c r="L104" s="6" t="s">
        <v>346</v>
      </c>
      <c r="M104" s="6" t="s">
        <v>347</v>
      </c>
    </row>
    <row r="105" spans="1:13" x14ac:dyDescent="0.25">
      <c r="A105" s="1" t="s">
        <v>39</v>
      </c>
      <c r="B105" s="6" t="s">
        <v>114</v>
      </c>
      <c r="C105" s="6" t="s">
        <v>114</v>
      </c>
      <c r="D105" s="6" t="s">
        <v>114</v>
      </c>
      <c r="E105" s="6" t="s">
        <v>339</v>
      </c>
      <c r="F105" s="6" t="s">
        <v>340</v>
      </c>
      <c r="G105" s="6" t="s">
        <v>341</v>
      </c>
      <c r="H105" s="6" t="s">
        <v>342</v>
      </c>
      <c r="I105" s="6" t="s">
        <v>343</v>
      </c>
      <c r="J105" s="6" t="s">
        <v>344</v>
      </c>
      <c r="K105" s="6" t="s">
        <v>345</v>
      </c>
      <c r="L105" s="6" t="s">
        <v>346</v>
      </c>
      <c r="M105" s="6" t="s">
        <v>347</v>
      </c>
    </row>
    <row r="106" spans="1:13" x14ac:dyDescent="0.25">
      <c r="A106" s="1" t="s">
        <v>40</v>
      </c>
      <c r="B106" s="6" t="s">
        <v>114</v>
      </c>
      <c r="C106" s="6" t="s">
        <v>114</v>
      </c>
      <c r="D106" s="6" t="s">
        <v>114</v>
      </c>
      <c r="E106" s="6" t="s">
        <v>348</v>
      </c>
      <c r="F106" s="6" t="s">
        <v>349</v>
      </c>
      <c r="G106" s="6" t="s">
        <v>341</v>
      </c>
      <c r="H106" s="6" t="s">
        <v>342</v>
      </c>
      <c r="I106" s="6" t="s">
        <v>343</v>
      </c>
      <c r="J106" s="6" t="s">
        <v>344</v>
      </c>
      <c r="K106" s="6" t="s">
        <v>345</v>
      </c>
      <c r="L106" s="6" t="s">
        <v>346</v>
      </c>
      <c r="M106" s="6" t="s">
        <v>347</v>
      </c>
    </row>
    <row r="107" spans="1:13" x14ac:dyDescent="0.25">
      <c r="A107" s="1" t="s">
        <v>46</v>
      </c>
      <c r="B107" s="6" t="s">
        <v>114</v>
      </c>
      <c r="C107" s="6" t="s">
        <v>114</v>
      </c>
      <c r="D107" s="6" t="s">
        <v>114</v>
      </c>
      <c r="E107" s="6" t="s">
        <v>350</v>
      </c>
      <c r="F107" s="6" t="s">
        <v>351</v>
      </c>
      <c r="G107" s="6" t="s">
        <v>352</v>
      </c>
      <c r="H107" s="6" t="s">
        <v>353</v>
      </c>
      <c r="I107" s="6" t="s">
        <v>354</v>
      </c>
      <c r="J107" s="6" t="s">
        <v>344</v>
      </c>
      <c r="K107" s="6" t="s">
        <v>345</v>
      </c>
      <c r="L107" s="6" t="s">
        <v>346</v>
      </c>
      <c r="M107" s="6" t="s">
        <v>347</v>
      </c>
    </row>
    <row r="108" spans="1:13" x14ac:dyDescent="0.25">
      <c r="A108" s="1" t="s">
        <v>52</v>
      </c>
      <c r="B108" s="6" t="s">
        <v>114</v>
      </c>
      <c r="C108" s="6" t="s">
        <v>114</v>
      </c>
      <c r="D108" s="6" t="s">
        <v>114</v>
      </c>
      <c r="E108" s="6" t="s">
        <v>355</v>
      </c>
      <c r="F108" s="6" t="s">
        <v>356</v>
      </c>
      <c r="G108" s="6" t="s">
        <v>357</v>
      </c>
      <c r="H108" s="6" t="s">
        <v>358</v>
      </c>
      <c r="I108" s="6" t="s">
        <v>359</v>
      </c>
      <c r="J108" s="6" t="s">
        <v>360</v>
      </c>
      <c r="K108" s="6" t="s">
        <v>361</v>
      </c>
      <c r="L108" s="6" t="s">
        <v>346</v>
      </c>
      <c r="M108" s="6" t="s">
        <v>347</v>
      </c>
    </row>
    <row r="109" spans="1:13" x14ac:dyDescent="0.25">
      <c r="A109" s="1" t="s">
        <v>63</v>
      </c>
      <c r="B109" s="6" t="s">
        <v>114</v>
      </c>
      <c r="C109" s="6" t="s">
        <v>114</v>
      </c>
      <c r="D109" s="6" t="s">
        <v>114</v>
      </c>
      <c r="E109" s="6" t="s">
        <v>362</v>
      </c>
      <c r="F109" s="6" t="s">
        <v>363</v>
      </c>
      <c r="G109" s="6" t="s">
        <v>364</v>
      </c>
      <c r="H109" s="6" t="s">
        <v>365</v>
      </c>
      <c r="I109" s="6" t="s">
        <v>366</v>
      </c>
      <c r="J109" s="6" t="s">
        <v>367</v>
      </c>
      <c r="K109" s="6" t="s">
        <v>368</v>
      </c>
      <c r="L109" s="6" t="s">
        <v>346</v>
      </c>
      <c r="M109" s="6" t="s">
        <v>347</v>
      </c>
    </row>
    <row r="110" spans="1:13" x14ac:dyDescent="0.25">
      <c r="A110" s="1" t="s">
        <v>74</v>
      </c>
      <c r="B110" s="6" t="s">
        <v>114</v>
      </c>
      <c r="C110" s="6" t="s">
        <v>114</v>
      </c>
      <c r="D110" s="6" t="s">
        <v>114</v>
      </c>
      <c r="E110" s="7">
        <v>412.93572999999998</v>
      </c>
      <c r="F110" s="7">
        <v>231.29479000000001</v>
      </c>
      <c r="G110" s="7">
        <v>213.64022</v>
      </c>
      <c r="H110" s="7">
        <v>1009.28529</v>
      </c>
      <c r="I110" s="7">
        <v>2196.52765</v>
      </c>
      <c r="J110" s="7">
        <v>1523.5</v>
      </c>
      <c r="K110" s="7">
        <v>1071</v>
      </c>
      <c r="L110" s="7">
        <v>0</v>
      </c>
      <c r="M110" s="7">
        <v>0</v>
      </c>
    </row>
    <row r="111" spans="1:13" x14ac:dyDescent="0.25">
      <c r="A111" s="1" t="s">
        <v>75</v>
      </c>
      <c r="B111" s="6" t="s">
        <v>114</v>
      </c>
      <c r="C111" s="6" t="s">
        <v>114</v>
      </c>
      <c r="D111" s="6" t="s">
        <v>114</v>
      </c>
      <c r="E111" s="6" t="s">
        <v>369</v>
      </c>
      <c r="F111" s="6" t="s">
        <v>282</v>
      </c>
      <c r="G111" s="6" t="s">
        <v>370</v>
      </c>
      <c r="H111" s="6" t="s">
        <v>371</v>
      </c>
      <c r="I111" s="6" t="s">
        <v>218</v>
      </c>
      <c r="J111" s="6" t="s">
        <v>84</v>
      </c>
      <c r="K111" s="6" t="s">
        <v>84</v>
      </c>
      <c r="L111" s="6" t="s">
        <v>85</v>
      </c>
      <c r="M111" s="6" t="s">
        <v>85</v>
      </c>
    </row>
    <row r="112" spans="1:13" x14ac:dyDescent="0.25">
      <c r="A112" s="1" t="s">
        <v>86</v>
      </c>
      <c r="B112" s="6" t="s">
        <v>114</v>
      </c>
      <c r="C112" s="6" t="s">
        <v>114</v>
      </c>
      <c r="D112" s="6" t="s">
        <v>114</v>
      </c>
      <c r="E112" s="6" t="s">
        <v>87</v>
      </c>
      <c r="F112" s="6" t="s">
        <v>87</v>
      </c>
      <c r="G112" s="6" t="s">
        <v>87</v>
      </c>
      <c r="H112" s="6" t="s">
        <v>87</v>
      </c>
      <c r="I112" s="6" t="s">
        <v>87</v>
      </c>
      <c r="J112" s="6" t="s">
        <v>87</v>
      </c>
      <c r="K112" s="6" t="s">
        <v>87</v>
      </c>
      <c r="L112" s="6" t="s">
        <v>87</v>
      </c>
      <c r="M112" s="6" t="s">
        <v>87</v>
      </c>
    </row>
    <row r="113" spans="1:13" x14ac:dyDescent="0.25">
      <c r="A113" s="1" t="s">
        <v>372</v>
      </c>
      <c r="B113" s="6" t="s">
        <v>114</v>
      </c>
      <c r="C113" s="6" t="s">
        <v>114</v>
      </c>
      <c r="D113" s="6" t="s">
        <v>114</v>
      </c>
      <c r="E113" s="6" t="s">
        <v>373</v>
      </c>
      <c r="F113" s="6" t="s">
        <v>374</v>
      </c>
      <c r="G113" s="6" t="s">
        <v>375</v>
      </c>
      <c r="H113" s="6" t="s">
        <v>376</v>
      </c>
      <c r="I113" s="6" t="s">
        <v>377</v>
      </c>
      <c r="J113" s="6" t="s">
        <v>378</v>
      </c>
      <c r="K113" s="6" t="s">
        <v>379</v>
      </c>
      <c r="L113" s="6" t="s">
        <v>380</v>
      </c>
      <c r="M113" s="6" t="s">
        <v>381</v>
      </c>
    </row>
    <row r="114" spans="1:13" x14ac:dyDescent="0.25">
      <c r="A114" s="1" t="s">
        <v>39</v>
      </c>
      <c r="B114" s="6" t="s">
        <v>114</v>
      </c>
      <c r="C114" s="6" t="s">
        <v>114</v>
      </c>
      <c r="D114" s="6" t="s">
        <v>114</v>
      </c>
      <c r="E114" s="6" t="s">
        <v>373</v>
      </c>
      <c r="F114" s="6" t="s">
        <v>374</v>
      </c>
      <c r="G114" s="6" t="s">
        <v>375</v>
      </c>
      <c r="H114" s="6" t="s">
        <v>376</v>
      </c>
      <c r="I114" s="6" t="s">
        <v>377</v>
      </c>
      <c r="J114" s="6" t="s">
        <v>378</v>
      </c>
      <c r="K114" s="6" t="s">
        <v>379</v>
      </c>
      <c r="L114" s="6" t="s">
        <v>380</v>
      </c>
      <c r="M114" s="6" t="s">
        <v>381</v>
      </c>
    </row>
    <row r="115" spans="1:13" x14ac:dyDescent="0.25">
      <c r="A115" s="1" t="s">
        <v>40</v>
      </c>
      <c r="B115" s="6" t="s">
        <v>114</v>
      </c>
      <c r="C115" s="6" t="s">
        <v>114</v>
      </c>
      <c r="D115" s="6" t="s">
        <v>114</v>
      </c>
      <c r="E115" s="6" t="s">
        <v>382</v>
      </c>
      <c r="F115" s="6" t="s">
        <v>383</v>
      </c>
      <c r="G115" s="6" t="s">
        <v>375</v>
      </c>
      <c r="H115" s="6" t="s">
        <v>376</v>
      </c>
      <c r="I115" s="6" t="s">
        <v>377</v>
      </c>
      <c r="J115" s="6" t="s">
        <v>378</v>
      </c>
      <c r="K115" s="6" t="s">
        <v>379</v>
      </c>
      <c r="L115" s="6" t="s">
        <v>380</v>
      </c>
      <c r="M115" s="6" t="s">
        <v>381</v>
      </c>
    </row>
    <row r="116" spans="1:13" x14ac:dyDescent="0.25">
      <c r="A116" s="1" t="s">
        <v>46</v>
      </c>
      <c r="B116" s="6" t="s">
        <v>114</v>
      </c>
      <c r="C116" s="6" t="s">
        <v>114</v>
      </c>
      <c r="D116" s="6" t="s">
        <v>114</v>
      </c>
      <c r="E116" s="6" t="s">
        <v>384</v>
      </c>
      <c r="F116" s="6" t="s">
        <v>385</v>
      </c>
      <c r="G116" s="6" t="s">
        <v>386</v>
      </c>
      <c r="H116" s="6" t="s">
        <v>387</v>
      </c>
      <c r="I116" s="6" t="s">
        <v>388</v>
      </c>
      <c r="J116" s="6" t="s">
        <v>378</v>
      </c>
      <c r="K116" s="6" t="s">
        <v>379</v>
      </c>
      <c r="L116" s="6" t="s">
        <v>380</v>
      </c>
      <c r="M116" s="6" t="s">
        <v>381</v>
      </c>
    </row>
    <row r="117" spans="1:13" x14ac:dyDescent="0.25">
      <c r="A117" s="1" t="s">
        <v>52</v>
      </c>
      <c r="B117" s="6" t="s">
        <v>114</v>
      </c>
      <c r="C117" s="6" t="s">
        <v>114</v>
      </c>
      <c r="D117" s="6" t="s">
        <v>114</v>
      </c>
      <c r="E117" s="6" t="s">
        <v>389</v>
      </c>
      <c r="F117" s="6" t="s">
        <v>390</v>
      </c>
      <c r="G117" s="6" t="s">
        <v>391</v>
      </c>
      <c r="H117" s="6" t="s">
        <v>392</v>
      </c>
      <c r="I117" s="6" t="s">
        <v>393</v>
      </c>
      <c r="J117" s="6" t="s">
        <v>394</v>
      </c>
      <c r="K117" s="6" t="s">
        <v>395</v>
      </c>
      <c r="L117" s="6" t="s">
        <v>380</v>
      </c>
      <c r="M117" s="6" t="s">
        <v>381</v>
      </c>
    </row>
    <row r="118" spans="1:13" x14ac:dyDescent="0.25">
      <c r="A118" s="1" t="s">
        <v>63</v>
      </c>
      <c r="B118" s="6" t="s">
        <v>114</v>
      </c>
      <c r="C118" s="6" t="s">
        <v>114</v>
      </c>
      <c r="D118" s="6" t="s">
        <v>114</v>
      </c>
      <c r="E118" s="6" t="s">
        <v>396</v>
      </c>
      <c r="F118" s="6" t="s">
        <v>397</v>
      </c>
      <c r="G118" s="6" t="s">
        <v>398</v>
      </c>
      <c r="H118" s="6" t="s">
        <v>399</v>
      </c>
      <c r="I118" s="6" t="s">
        <v>400</v>
      </c>
      <c r="J118" s="6" t="s">
        <v>401</v>
      </c>
      <c r="K118" s="6" t="s">
        <v>402</v>
      </c>
      <c r="L118" s="6" t="s">
        <v>380</v>
      </c>
      <c r="M118" s="6" t="s">
        <v>381</v>
      </c>
    </row>
    <row r="119" spans="1:13" x14ac:dyDescent="0.25">
      <c r="A119" s="1" t="s">
        <v>74</v>
      </c>
      <c r="B119" s="6" t="s">
        <v>114</v>
      </c>
      <c r="C119" s="6" t="s">
        <v>114</v>
      </c>
      <c r="D119" s="6" t="s">
        <v>114</v>
      </c>
      <c r="E119" s="7">
        <v>491.73887999999999</v>
      </c>
      <c r="F119" s="7">
        <v>207.32552000000001</v>
      </c>
      <c r="G119" s="7">
        <v>321.82449000000003</v>
      </c>
      <c r="H119" s="7">
        <v>1674.0392300000001</v>
      </c>
      <c r="I119" s="7">
        <v>2953.1721200000002</v>
      </c>
      <c r="J119" s="7">
        <v>950.5</v>
      </c>
      <c r="K119" s="7">
        <v>619.5</v>
      </c>
      <c r="L119" s="7">
        <v>0</v>
      </c>
      <c r="M119" s="7">
        <v>0</v>
      </c>
    </row>
    <row r="120" spans="1:13" x14ac:dyDescent="0.25">
      <c r="A120" s="1" t="s">
        <v>75</v>
      </c>
      <c r="B120" s="6" t="s">
        <v>114</v>
      </c>
      <c r="C120" s="6" t="s">
        <v>114</v>
      </c>
      <c r="D120" s="6" t="s">
        <v>114</v>
      </c>
      <c r="E120" s="6" t="s">
        <v>284</v>
      </c>
      <c r="F120" s="6" t="s">
        <v>403</v>
      </c>
      <c r="G120" s="6" t="s">
        <v>404</v>
      </c>
      <c r="H120" s="6" t="s">
        <v>83</v>
      </c>
      <c r="I120" s="6" t="s">
        <v>285</v>
      </c>
      <c r="J120" s="6" t="s">
        <v>84</v>
      </c>
      <c r="K120" s="6" t="s">
        <v>84</v>
      </c>
      <c r="L120" s="6" t="s">
        <v>85</v>
      </c>
      <c r="M120" s="6" t="s">
        <v>85</v>
      </c>
    </row>
    <row r="121" spans="1:13" x14ac:dyDescent="0.25">
      <c r="A121" s="1" t="s">
        <v>86</v>
      </c>
      <c r="B121" s="6" t="s">
        <v>114</v>
      </c>
      <c r="C121" s="6" t="s">
        <v>114</v>
      </c>
      <c r="D121" s="6" t="s">
        <v>114</v>
      </c>
      <c r="E121" s="6" t="s">
        <v>87</v>
      </c>
      <c r="F121" s="6" t="s">
        <v>87</v>
      </c>
      <c r="G121" s="6" t="s">
        <v>87</v>
      </c>
      <c r="H121" s="6" t="s">
        <v>87</v>
      </c>
      <c r="I121" s="6" t="s">
        <v>87</v>
      </c>
      <c r="J121" s="6" t="s">
        <v>87</v>
      </c>
      <c r="K121" s="6" t="s">
        <v>87</v>
      </c>
      <c r="L121" s="6" t="s">
        <v>87</v>
      </c>
      <c r="M121" s="6" t="s">
        <v>87</v>
      </c>
    </row>
    <row r="122" spans="1:13" x14ac:dyDescent="0.25">
      <c r="A122" s="1" t="s">
        <v>405</v>
      </c>
      <c r="B122" s="6" t="s">
        <v>406</v>
      </c>
      <c r="C122" s="6" t="s">
        <v>407</v>
      </c>
      <c r="D122" s="6" t="s">
        <v>408</v>
      </c>
      <c r="E122" s="6" t="s">
        <v>409</v>
      </c>
      <c r="F122" s="6" t="s">
        <v>410</v>
      </c>
      <c r="G122" s="6" t="s">
        <v>411</v>
      </c>
      <c r="H122" s="6" t="s">
        <v>412</v>
      </c>
      <c r="I122" s="6" t="s">
        <v>413</v>
      </c>
      <c r="J122" s="6" t="s">
        <v>414</v>
      </c>
      <c r="K122" s="6" t="s">
        <v>415</v>
      </c>
      <c r="L122" s="6" t="s">
        <v>416</v>
      </c>
      <c r="M122" s="6" t="s">
        <v>417</v>
      </c>
    </row>
    <row r="123" spans="1:13" x14ac:dyDescent="0.25">
      <c r="A123" s="1" t="s">
        <v>39</v>
      </c>
      <c r="B123" s="6" t="s">
        <v>406</v>
      </c>
      <c r="C123" s="6" t="s">
        <v>407</v>
      </c>
      <c r="D123" s="6" t="s">
        <v>408</v>
      </c>
      <c r="E123" s="6" t="s">
        <v>409</v>
      </c>
      <c r="F123" s="6" t="s">
        <v>410</v>
      </c>
      <c r="G123" s="6" t="s">
        <v>411</v>
      </c>
      <c r="H123" s="6" t="s">
        <v>412</v>
      </c>
      <c r="I123" s="6" t="s">
        <v>413</v>
      </c>
      <c r="J123" s="6" t="s">
        <v>414</v>
      </c>
      <c r="K123" s="6" t="s">
        <v>415</v>
      </c>
      <c r="L123" s="6" t="s">
        <v>416</v>
      </c>
      <c r="M123" s="6" t="s">
        <v>417</v>
      </c>
    </row>
    <row r="124" spans="1:13" x14ac:dyDescent="0.25">
      <c r="A124" s="1" t="s">
        <v>40</v>
      </c>
      <c r="B124" s="6" t="s">
        <v>418</v>
      </c>
      <c r="C124" s="6" t="s">
        <v>419</v>
      </c>
      <c r="D124" s="6" t="s">
        <v>420</v>
      </c>
      <c r="E124" s="6" t="s">
        <v>421</v>
      </c>
      <c r="F124" s="6" t="s">
        <v>422</v>
      </c>
      <c r="G124" s="6" t="s">
        <v>411</v>
      </c>
      <c r="H124" s="6" t="s">
        <v>412</v>
      </c>
      <c r="I124" s="6" t="s">
        <v>413</v>
      </c>
      <c r="J124" s="6" t="s">
        <v>414</v>
      </c>
      <c r="K124" s="6" t="s">
        <v>415</v>
      </c>
      <c r="L124" s="6" t="s">
        <v>416</v>
      </c>
      <c r="M124" s="6" t="s">
        <v>417</v>
      </c>
    </row>
    <row r="125" spans="1:13" x14ac:dyDescent="0.25">
      <c r="A125" s="1" t="s">
        <v>46</v>
      </c>
      <c r="B125" s="6" t="s">
        <v>423</v>
      </c>
      <c r="C125" s="6" t="s">
        <v>424</v>
      </c>
      <c r="D125" s="6" t="s">
        <v>425</v>
      </c>
      <c r="E125" s="6" t="s">
        <v>426</v>
      </c>
      <c r="F125" s="6" t="s">
        <v>427</v>
      </c>
      <c r="G125" s="6" t="s">
        <v>428</v>
      </c>
      <c r="H125" s="6" t="s">
        <v>429</v>
      </c>
      <c r="I125" s="6" t="s">
        <v>430</v>
      </c>
      <c r="J125" s="6" t="s">
        <v>414</v>
      </c>
      <c r="K125" s="6" t="s">
        <v>415</v>
      </c>
      <c r="L125" s="6" t="s">
        <v>416</v>
      </c>
      <c r="M125" s="6" t="s">
        <v>417</v>
      </c>
    </row>
    <row r="126" spans="1:13" x14ac:dyDescent="0.25">
      <c r="A126" s="1" t="s">
        <v>52</v>
      </c>
      <c r="B126" s="6" t="s">
        <v>431</v>
      </c>
      <c r="C126" s="6" t="s">
        <v>432</v>
      </c>
      <c r="D126" s="6" t="s">
        <v>433</v>
      </c>
      <c r="E126" s="6" t="s">
        <v>434</v>
      </c>
      <c r="F126" s="6" t="s">
        <v>435</v>
      </c>
      <c r="G126" s="6" t="s">
        <v>436</v>
      </c>
      <c r="H126" s="6" t="s">
        <v>437</v>
      </c>
      <c r="I126" s="6" t="s">
        <v>438</v>
      </c>
      <c r="J126" s="6" t="s">
        <v>439</v>
      </c>
      <c r="K126" s="6" t="s">
        <v>440</v>
      </c>
      <c r="L126" s="6" t="s">
        <v>416</v>
      </c>
      <c r="M126" s="6" t="s">
        <v>417</v>
      </c>
    </row>
    <row r="127" spans="1:13" x14ac:dyDescent="0.25">
      <c r="A127" s="1" t="s">
        <v>63</v>
      </c>
      <c r="B127" s="6" t="s">
        <v>441</v>
      </c>
      <c r="C127" s="6" t="s">
        <v>442</v>
      </c>
      <c r="D127" s="6" t="s">
        <v>443</v>
      </c>
      <c r="E127" s="6" t="s">
        <v>444</v>
      </c>
      <c r="F127" s="6" t="s">
        <v>445</v>
      </c>
      <c r="G127" s="6" t="s">
        <v>446</v>
      </c>
      <c r="H127" s="6" t="s">
        <v>447</v>
      </c>
      <c r="I127" s="6" t="s">
        <v>448</v>
      </c>
      <c r="J127" s="6" t="s">
        <v>449</v>
      </c>
      <c r="K127" s="6" t="s">
        <v>450</v>
      </c>
      <c r="L127" s="6" t="s">
        <v>416</v>
      </c>
      <c r="M127" s="6" t="s">
        <v>417</v>
      </c>
    </row>
    <row r="128" spans="1:13" x14ac:dyDescent="0.25">
      <c r="A128" s="1" t="s">
        <v>74</v>
      </c>
      <c r="B128" s="7">
        <v>1281.9149299999999</v>
      </c>
      <c r="C128" s="7">
        <v>2765.33754</v>
      </c>
      <c r="D128" s="7">
        <v>1150.4786300000001</v>
      </c>
      <c r="E128" s="7">
        <v>1114.1073100000001</v>
      </c>
      <c r="F128" s="7">
        <v>1907.1944900000001</v>
      </c>
      <c r="G128" s="7">
        <v>1438.61682</v>
      </c>
      <c r="H128" s="7">
        <v>6269.4821400000001</v>
      </c>
      <c r="I128" s="7">
        <v>6696.3697499999998</v>
      </c>
      <c r="J128" s="7">
        <v>7997.5</v>
      </c>
      <c r="K128" s="7">
        <v>348</v>
      </c>
      <c r="L128" s="7">
        <v>0</v>
      </c>
      <c r="M128" s="7">
        <v>0</v>
      </c>
    </row>
    <row r="129" spans="1:13" x14ac:dyDescent="0.25">
      <c r="A129" s="1" t="s">
        <v>75</v>
      </c>
      <c r="B129" s="6" t="s">
        <v>451</v>
      </c>
      <c r="C129" s="6" t="s">
        <v>452</v>
      </c>
      <c r="D129" s="6" t="s">
        <v>453</v>
      </c>
      <c r="E129" s="6" t="s">
        <v>454</v>
      </c>
      <c r="F129" s="6" t="s">
        <v>455</v>
      </c>
      <c r="G129" s="6" t="s">
        <v>456</v>
      </c>
      <c r="H129" s="6" t="s">
        <v>457</v>
      </c>
      <c r="I129" s="6" t="s">
        <v>451</v>
      </c>
      <c r="J129" s="6" t="s">
        <v>84</v>
      </c>
      <c r="K129" s="6" t="s">
        <v>84</v>
      </c>
      <c r="L129" s="6" t="s">
        <v>85</v>
      </c>
      <c r="M129" s="6" t="s">
        <v>85</v>
      </c>
    </row>
    <row r="130" spans="1:13" x14ac:dyDescent="0.25">
      <c r="A130" s="1" t="s">
        <v>86</v>
      </c>
      <c r="B130" s="6" t="s">
        <v>87</v>
      </c>
      <c r="C130" s="6" t="s">
        <v>87</v>
      </c>
      <c r="D130" s="6" t="s">
        <v>87</v>
      </c>
      <c r="E130" s="6" t="s">
        <v>87</v>
      </c>
      <c r="F130" s="6" t="s">
        <v>87</v>
      </c>
      <c r="G130" s="6" t="s">
        <v>87</v>
      </c>
      <c r="H130" s="6" t="s">
        <v>87</v>
      </c>
      <c r="I130" s="6" t="s">
        <v>87</v>
      </c>
      <c r="J130" s="6" t="s">
        <v>87</v>
      </c>
      <c r="K130" s="6" t="s">
        <v>87</v>
      </c>
      <c r="L130" s="6" t="s">
        <v>87</v>
      </c>
      <c r="M130" s="6" t="s">
        <v>87</v>
      </c>
    </row>
    <row r="131" spans="1:13" x14ac:dyDescent="0.25">
      <c r="A131" s="1" t="s">
        <v>458</v>
      </c>
      <c r="B131" s="6" t="s">
        <v>459</v>
      </c>
      <c r="C131" s="6" t="s">
        <v>460</v>
      </c>
      <c r="D131" s="6" t="s">
        <v>461</v>
      </c>
      <c r="E131" s="6" t="s">
        <v>462</v>
      </c>
      <c r="F131" s="6" t="s">
        <v>463</v>
      </c>
      <c r="G131" s="6" t="s">
        <v>464</v>
      </c>
      <c r="H131" s="6" t="s">
        <v>465</v>
      </c>
      <c r="I131" s="6" t="s">
        <v>466</v>
      </c>
      <c r="J131" s="6" t="s">
        <v>467</v>
      </c>
      <c r="K131" s="6" t="s">
        <v>468</v>
      </c>
      <c r="L131" s="6" t="s">
        <v>469</v>
      </c>
      <c r="M131" s="6" t="s">
        <v>470</v>
      </c>
    </row>
    <row r="132" spans="1:13" x14ac:dyDescent="0.25">
      <c r="A132" s="1" t="s">
        <v>39</v>
      </c>
      <c r="B132" s="6" t="s">
        <v>459</v>
      </c>
      <c r="C132" s="6" t="s">
        <v>460</v>
      </c>
      <c r="D132" s="6" t="s">
        <v>461</v>
      </c>
      <c r="E132" s="6" t="s">
        <v>462</v>
      </c>
      <c r="F132" s="6" t="s">
        <v>463</v>
      </c>
      <c r="G132" s="6" t="s">
        <v>464</v>
      </c>
      <c r="H132" s="6" t="s">
        <v>465</v>
      </c>
      <c r="I132" s="6" t="s">
        <v>466</v>
      </c>
      <c r="J132" s="6" t="s">
        <v>467</v>
      </c>
      <c r="K132" s="6" t="s">
        <v>468</v>
      </c>
      <c r="L132" s="6" t="s">
        <v>469</v>
      </c>
      <c r="M132" s="6" t="s">
        <v>470</v>
      </c>
    </row>
    <row r="133" spans="1:13" x14ac:dyDescent="0.25">
      <c r="A133" s="1" t="s">
        <v>40</v>
      </c>
      <c r="B133" s="6" t="s">
        <v>471</v>
      </c>
      <c r="C133" s="6" t="s">
        <v>472</v>
      </c>
      <c r="D133" s="6" t="s">
        <v>473</v>
      </c>
      <c r="E133" s="6" t="s">
        <v>474</v>
      </c>
      <c r="F133" s="6" t="s">
        <v>475</v>
      </c>
      <c r="G133" s="6" t="s">
        <v>464</v>
      </c>
      <c r="H133" s="6" t="s">
        <v>465</v>
      </c>
      <c r="I133" s="6" t="s">
        <v>466</v>
      </c>
      <c r="J133" s="6" t="s">
        <v>467</v>
      </c>
      <c r="K133" s="6" t="s">
        <v>468</v>
      </c>
      <c r="L133" s="6" t="s">
        <v>469</v>
      </c>
      <c r="M133" s="6" t="s">
        <v>470</v>
      </c>
    </row>
    <row r="134" spans="1:13" x14ac:dyDescent="0.25">
      <c r="A134" s="1" t="s">
        <v>46</v>
      </c>
      <c r="B134" s="6" t="s">
        <v>476</v>
      </c>
      <c r="C134" s="6" t="s">
        <v>477</v>
      </c>
      <c r="D134" s="6" t="s">
        <v>478</v>
      </c>
      <c r="E134" s="6" t="s">
        <v>479</v>
      </c>
      <c r="F134" s="6" t="s">
        <v>480</v>
      </c>
      <c r="G134" s="6" t="s">
        <v>481</v>
      </c>
      <c r="H134" s="6" t="s">
        <v>482</v>
      </c>
      <c r="I134" s="6" t="s">
        <v>483</v>
      </c>
      <c r="J134" s="6" t="s">
        <v>467</v>
      </c>
      <c r="K134" s="6" t="s">
        <v>468</v>
      </c>
      <c r="L134" s="6" t="s">
        <v>469</v>
      </c>
      <c r="M134" s="6" t="s">
        <v>470</v>
      </c>
    </row>
    <row r="135" spans="1:13" x14ac:dyDescent="0.25">
      <c r="A135" s="1" t="s">
        <v>52</v>
      </c>
      <c r="B135" s="6" t="s">
        <v>484</v>
      </c>
      <c r="C135" s="6" t="s">
        <v>485</v>
      </c>
      <c r="D135" s="6" t="s">
        <v>486</v>
      </c>
      <c r="E135" s="6" t="s">
        <v>487</v>
      </c>
      <c r="F135" s="6" t="s">
        <v>488</v>
      </c>
      <c r="G135" s="6" t="s">
        <v>489</v>
      </c>
      <c r="H135" s="6" t="s">
        <v>490</v>
      </c>
      <c r="I135" s="6" t="s">
        <v>491</v>
      </c>
      <c r="J135" s="6" t="s">
        <v>492</v>
      </c>
      <c r="K135" s="6" t="s">
        <v>493</v>
      </c>
      <c r="L135" s="6" t="s">
        <v>469</v>
      </c>
      <c r="M135" s="6" t="s">
        <v>470</v>
      </c>
    </row>
    <row r="136" spans="1:13" x14ac:dyDescent="0.25">
      <c r="A136" s="1" t="s">
        <v>63</v>
      </c>
      <c r="B136" s="6" t="s">
        <v>494</v>
      </c>
      <c r="C136" s="6" t="s">
        <v>495</v>
      </c>
      <c r="D136" s="6" t="s">
        <v>496</v>
      </c>
      <c r="E136" s="6" t="s">
        <v>497</v>
      </c>
      <c r="F136" s="6" t="s">
        <v>498</v>
      </c>
      <c r="G136" s="6" t="s">
        <v>499</v>
      </c>
      <c r="H136" s="6" t="s">
        <v>500</v>
      </c>
      <c r="I136" s="6" t="s">
        <v>501</v>
      </c>
      <c r="J136" s="6" t="s">
        <v>502</v>
      </c>
      <c r="K136" s="6" t="s">
        <v>503</v>
      </c>
      <c r="L136" s="6" t="s">
        <v>469</v>
      </c>
      <c r="M136" s="6" t="s">
        <v>470</v>
      </c>
    </row>
    <row r="137" spans="1:13" x14ac:dyDescent="0.25">
      <c r="A137" s="1" t="s">
        <v>74</v>
      </c>
      <c r="B137" s="7">
        <v>1447.18903</v>
      </c>
      <c r="C137" s="7">
        <v>1892.6532</v>
      </c>
      <c r="D137" s="7">
        <v>1401.0623800000001</v>
      </c>
      <c r="E137" s="7">
        <v>1400.09871</v>
      </c>
      <c r="F137" s="7">
        <v>714.14544000000001</v>
      </c>
      <c r="G137" s="7">
        <v>763.09708999999998</v>
      </c>
      <c r="H137" s="7">
        <v>5975.5482199999997</v>
      </c>
      <c r="I137" s="7">
        <v>6224.4135299999998</v>
      </c>
      <c r="J137" s="7">
        <v>8508.5</v>
      </c>
      <c r="K137" s="7">
        <v>1591.5</v>
      </c>
      <c r="L137" s="7">
        <v>0</v>
      </c>
      <c r="M137" s="7">
        <v>0</v>
      </c>
    </row>
    <row r="138" spans="1:13" x14ac:dyDescent="0.25">
      <c r="A138" s="1" t="s">
        <v>75</v>
      </c>
      <c r="B138" s="6" t="s">
        <v>504</v>
      </c>
      <c r="C138" s="6" t="s">
        <v>505</v>
      </c>
      <c r="D138" s="6" t="s">
        <v>506</v>
      </c>
      <c r="E138" s="6" t="s">
        <v>507</v>
      </c>
      <c r="F138" s="6" t="s">
        <v>508</v>
      </c>
      <c r="G138" s="6" t="s">
        <v>509</v>
      </c>
      <c r="H138" s="6" t="s">
        <v>510</v>
      </c>
      <c r="I138" s="6" t="s">
        <v>83</v>
      </c>
      <c r="J138" s="6" t="s">
        <v>84</v>
      </c>
      <c r="K138" s="6" t="s">
        <v>84</v>
      </c>
      <c r="L138" s="6" t="s">
        <v>85</v>
      </c>
      <c r="M138" s="6" t="s">
        <v>85</v>
      </c>
    </row>
    <row r="139" spans="1:13" x14ac:dyDescent="0.25">
      <c r="A139" s="1" t="s">
        <v>86</v>
      </c>
      <c r="B139" s="6" t="s">
        <v>87</v>
      </c>
      <c r="C139" s="6" t="s">
        <v>87</v>
      </c>
      <c r="D139" s="6" t="s">
        <v>87</v>
      </c>
      <c r="E139" s="6" t="s">
        <v>87</v>
      </c>
      <c r="F139" s="6" t="s">
        <v>87</v>
      </c>
      <c r="G139" s="6" t="s">
        <v>87</v>
      </c>
      <c r="H139" s="6" t="s">
        <v>87</v>
      </c>
      <c r="I139" s="6" t="s">
        <v>87</v>
      </c>
      <c r="J139" s="6" t="s">
        <v>87</v>
      </c>
      <c r="K139" s="6" t="s">
        <v>87</v>
      </c>
      <c r="L139" s="6" t="s">
        <v>87</v>
      </c>
      <c r="M139" s="6" t="s">
        <v>87</v>
      </c>
    </row>
    <row r="140" spans="1:13" x14ac:dyDescent="0.25">
      <c r="A140" s="1" t="s">
        <v>511</v>
      </c>
      <c r="B140" s="6" t="s">
        <v>512</v>
      </c>
      <c r="C140" s="6" t="s">
        <v>513</v>
      </c>
      <c r="D140" s="6" t="s">
        <v>514</v>
      </c>
      <c r="E140" s="6" t="s">
        <v>515</v>
      </c>
      <c r="F140" s="6" t="s">
        <v>516</v>
      </c>
      <c r="G140" s="6" t="s">
        <v>517</v>
      </c>
      <c r="H140" s="6" t="s">
        <v>518</v>
      </c>
      <c r="I140" s="6" t="s">
        <v>519</v>
      </c>
      <c r="J140" s="6" t="s">
        <v>114</v>
      </c>
      <c r="K140" s="6" t="s">
        <v>114</v>
      </c>
      <c r="L140" s="6" t="s">
        <v>114</v>
      </c>
      <c r="M140" s="6" t="s">
        <v>114</v>
      </c>
    </row>
    <row r="141" spans="1:13" x14ac:dyDescent="0.25">
      <c r="A141" s="1" t="s">
        <v>39</v>
      </c>
      <c r="B141" s="6" t="s">
        <v>512</v>
      </c>
      <c r="C141" s="6" t="s">
        <v>513</v>
      </c>
      <c r="D141" s="6" t="s">
        <v>514</v>
      </c>
      <c r="E141" s="6" t="s">
        <v>515</v>
      </c>
      <c r="F141" s="6" t="s">
        <v>516</v>
      </c>
      <c r="G141" s="6" t="s">
        <v>517</v>
      </c>
      <c r="H141" s="6" t="s">
        <v>518</v>
      </c>
      <c r="I141" s="6" t="s">
        <v>519</v>
      </c>
      <c r="J141" s="6" t="s">
        <v>114</v>
      </c>
      <c r="K141" s="6" t="s">
        <v>114</v>
      </c>
      <c r="L141" s="6" t="s">
        <v>114</v>
      </c>
      <c r="M141" s="6" t="s">
        <v>114</v>
      </c>
    </row>
    <row r="142" spans="1:13" x14ac:dyDescent="0.25">
      <c r="A142" s="1" t="s">
        <v>40</v>
      </c>
      <c r="B142" s="6" t="s">
        <v>520</v>
      </c>
      <c r="C142" s="6" t="s">
        <v>521</v>
      </c>
      <c r="D142" s="6" t="s">
        <v>522</v>
      </c>
      <c r="E142" s="6" t="s">
        <v>523</v>
      </c>
      <c r="F142" s="6" t="s">
        <v>114</v>
      </c>
      <c r="G142" s="6" t="s">
        <v>517</v>
      </c>
      <c r="H142" s="6" t="s">
        <v>518</v>
      </c>
      <c r="I142" s="6" t="s">
        <v>519</v>
      </c>
      <c r="J142" s="6" t="s">
        <v>114</v>
      </c>
      <c r="K142" s="6" t="s">
        <v>114</v>
      </c>
      <c r="L142" s="6" t="s">
        <v>114</v>
      </c>
      <c r="M142" s="6" t="s">
        <v>114</v>
      </c>
    </row>
    <row r="143" spans="1:13" x14ac:dyDescent="0.25">
      <c r="A143" s="1" t="s">
        <v>46</v>
      </c>
      <c r="B143" s="6" t="s">
        <v>520</v>
      </c>
      <c r="C143" s="6" t="s">
        <v>521</v>
      </c>
      <c r="D143" s="6" t="s">
        <v>524</v>
      </c>
      <c r="E143" s="6" t="s">
        <v>525</v>
      </c>
      <c r="F143" s="6" t="s">
        <v>114</v>
      </c>
      <c r="G143" s="6" t="s">
        <v>526</v>
      </c>
      <c r="H143" s="6" t="s">
        <v>527</v>
      </c>
      <c r="I143" s="6" t="s">
        <v>528</v>
      </c>
      <c r="J143" s="6" t="s">
        <v>114</v>
      </c>
      <c r="K143" s="6" t="s">
        <v>114</v>
      </c>
      <c r="L143" s="6" t="s">
        <v>114</v>
      </c>
      <c r="M143" s="6" t="s">
        <v>114</v>
      </c>
    </row>
    <row r="144" spans="1:13" x14ac:dyDescent="0.25">
      <c r="A144" s="1" t="s">
        <v>52</v>
      </c>
      <c r="B144" s="6" t="s">
        <v>529</v>
      </c>
      <c r="C144" s="6" t="s">
        <v>521</v>
      </c>
      <c r="D144" s="6" t="s">
        <v>524</v>
      </c>
      <c r="E144" s="6" t="s">
        <v>530</v>
      </c>
      <c r="F144" s="6" t="s">
        <v>114</v>
      </c>
      <c r="G144" s="6" t="s">
        <v>531</v>
      </c>
      <c r="H144" s="6" t="s">
        <v>532</v>
      </c>
      <c r="I144" s="6" t="s">
        <v>533</v>
      </c>
      <c r="J144" s="6" t="s">
        <v>114</v>
      </c>
      <c r="K144" s="6" t="s">
        <v>114</v>
      </c>
      <c r="L144" s="6" t="s">
        <v>114</v>
      </c>
      <c r="M144" s="6" t="s">
        <v>114</v>
      </c>
    </row>
    <row r="145" spans="1:13" x14ac:dyDescent="0.25">
      <c r="A145" s="1" t="s">
        <v>63</v>
      </c>
      <c r="B145" s="6" t="s">
        <v>534</v>
      </c>
      <c r="C145" s="6" t="s">
        <v>521</v>
      </c>
      <c r="D145" s="6" t="s">
        <v>535</v>
      </c>
      <c r="E145" s="6" t="s">
        <v>536</v>
      </c>
      <c r="F145" s="6" t="s">
        <v>114</v>
      </c>
      <c r="G145" s="6" t="s">
        <v>526</v>
      </c>
      <c r="H145" s="6" t="s">
        <v>537</v>
      </c>
      <c r="I145" s="6" t="s">
        <v>538</v>
      </c>
      <c r="J145" s="6" t="s">
        <v>114</v>
      </c>
      <c r="K145" s="6" t="s">
        <v>114</v>
      </c>
      <c r="L145" s="6" t="s">
        <v>114</v>
      </c>
      <c r="M145" s="6" t="s">
        <v>114</v>
      </c>
    </row>
    <row r="146" spans="1:13" x14ac:dyDescent="0.25">
      <c r="A146" s="1" t="s">
        <v>74</v>
      </c>
      <c r="B146" s="7">
        <v>76</v>
      </c>
      <c r="C146" s="7">
        <v>0</v>
      </c>
      <c r="D146" s="7">
        <v>3.6704500000000002</v>
      </c>
      <c r="E146" s="7">
        <v>17.891300000000001</v>
      </c>
      <c r="F146" s="6" t="s">
        <v>114</v>
      </c>
      <c r="G146" s="7">
        <v>63.219850000000001</v>
      </c>
      <c r="H146" s="7">
        <v>262.07051999999999</v>
      </c>
      <c r="I146" s="7">
        <v>160.78693000000001</v>
      </c>
      <c r="J146" s="6" t="s">
        <v>114</v>
      </c>
      <c r="K146" s="6" t="s">
        <v>114</v>
      </c>
      <c r="L146" s="6" t="s">
        <v>114</v>
      </c>
      <c r="M146" s="6" t="s">
        <v>114</v>
      </c>
    </row>
    <row r="147" spans="1:13" x14ac:dyDescent="0.25">
      <c r="A147" s="1" t="s">
        <v>75</v>
      </c>
      <c r="B147" s="6" t="s">
        <v>539</v>
      </c>
      <c r="C147" s="6" t="s">
        <v>540</v>
      </c>
      <c r="D147" s="6" t="s">
        <v>541</v>
      </c>
      <c r="E147" s="6" t="s">
        <v>542</v>
      </c>
      <c r="F147" s="6" t="s">
        <v>114</v>
      </c>
      <c r="G147" s="6" t="s">
        <v>543</v>
      </c>
      <c r="H147" s="6" t="s">
        <v>544</v>
      </c>
      <c r="I147" s="6" t="s">
        <v>545</v>
      </c>
      <c r="J147" s="6" t="s">
        <v>114</v>
      </c>
      <c r="K147" s="6" t="s">
        <v>114</v>
      </c>
      <c r="L147" s="6" t="s">
        <v>114</v>
      </c>
      <c r="M147" s="6" t="s">
        <v>114</v>
      </c>
    </row>
    <row r="148" spans="1:13" x14ac:dyDescent="0.25">
      <c r="A148" s="1" t="s">
        <v>86</v>
      </c>
      <c r="B148" s="6" t="s">
        <v>87</v>
      </c>
      <c r="C148" s="6" t="s">
        <v>87</v>
      </c>
      <c r="D148" s="6" t="s">
        <v>87</v>
      </c>
      <c r="E148" s="6" t="s">
        <v>87</v>
      </c>
      <c r="F148" s="6" t="s">
        <v>87</v>
      </c>
      <c r="G148" s="6" t="s">
        <v>87</v>
      </c>
      <c r="H148" s="6" t="s">
        <v>87</v>
      </c>
      <c r="I148" s="6" t="s">
        <v>87</v>
      </c>
      <c r="J148" s="6" t="s">
        <v>114</v>
      </c>
      <c r="K148" s="6" t="s">
        <v>114</v>
      </c>
      <c r="L148" s="6" t="s">
        <v>114</v>
      </c>
      <c r="M148" s="6" t="s">
        <v>114</v>
      </c>
    </row>
    <row r="149" spans="1:13" x14ac:dyDescent="0.25">
      <c r="A149" s="1" t="s">
        <v>546</v>
      </c>
      <c r="B149" s="6" t="s">
        <v>547</v>
      </c>
      <c r="C149" s="6" t="s">
        <v>548</v>
      </c>
      <c r="D149" s="6" t="s">
        <v>549</v>
      </c>
      <c r="E149" s="6" t="s">
        <v>550</v>
      </c>
      <c r="F149" s="6" t="s">
        <v>551</v>
      </c>
      <c r="G149" s="6" t="s">
        <v>552</v>
      </c>
      <c r="H149" s="6" t="s">
        <v>553</v>
      </c>
      <c r="I149" s="6" t="s">
        <v>554</v>
      </c>
      <c r="J149" s="6" t="s">
        <v>555</v>
      </c>
      <c r="K149" s="6" t="s">
        <v>556</v>
      </c>
      <c r="L149" s="6" t="s">
        <v>557</v>
      </c>
      <c r="M149" s="6" t="s">
        <v>558</v>
      </c>
    </row>
    <row r="150" spans="1:13" x14ac:dyDescent="0.25">
      <c r="A150" s="1" t="s">
        <v>39</v>
      </c>
      <c r="B150" s="6" t="s">
        <v>547</v>
      </c>
      <c r="C150" s="6" t="s">
        <v>548</v>
      </c>
      <c r="D150" s="6" t="s">
        <v>549</v>
      </c>
      <c r="E150" s="6" t="s">
        <v>550</v>
      </c>
      <c r="F150" s="6" t="s">
        <v>551</v>
      </c>
      <c r="G150" s="6" t="s">
        <v>552</v>
      </c>
      <c r="H150" s="6" t="s">
        <v>553</v>
      </c>
      <c r="I150" s="6" t="s">
        <v>554</v>
      </c>
      <c r="J150" s="6" t="s">
        <v>555</v>
      </c>
      <c r="K150" s="6" t="s">
        <v>556</v>
      </c>
      <c r="L150" s="6" t="s">
        <v>557</v>
      </c>
      <c r="M150" s="6" t="s">
        <v>558</v>
      </c>
    </row>
    <row r="151" spans="1:13" x14ac:dyDescent="0.25">
      <c r="A151" s="1" t="s">
        <v>40</v>
      </c>
      <c r="B151" s="6" t="s">
        <v>559</v>
      </c>
      <c r="C151" s="6" t="s">
        <v>560</v>
      </c>
      <c r="D151" s="6" t="s">
        <v>561</v>
      </c>
      <c r="E151" s="6" t="s">
        <v>562</v>
      </c>
      <c r="F151" s="6" t="s">
        <v>563</v>
      </c>
      <c r="G151" s="6" t="s">
        <v>552</v>
      </c>
      <c r="H151" s="6" t="s">
        <v>553</v>
      </c>
      <c r="I151" s="6" t="s">
        <v>554</v>
      </c>
      <c r="J151" s="6" t="s">
        <v>555</v>
      </c>
      <c r="K151" s="6" t="s">
        <v>556</v>
      </c>
      <c r="L151" s="6" t="s">
        <v>557</v>
      </c>
      <c r="M151" s="6" t="s">
        <v>558</v>
      </c>
    </row>
    <row r="152" spans="1:13" x14ac:dyDescent="0.25">
      <c r="A152" s="1" t="s">
        <v>46</v>
      </c>
      <c r="B152" s="6" t="s">
        <v>564</v>
      </c>
      <c r="C152" s="6" t="s">
        <v>565</v>
      </c>
      <c r="D152" s="6" t="s">
        <v>566</v>
      </c>
      <c r="E152" s="6" t="s">
        <v>567</v>
      </c>
      <c r="F152" s="6" t="s">
        <v>568</v>
      </c>
      <c r="G152" s="6" t="s">
        <v>569</v>
      </c>
      <c r="H152" s="6" t="s">
        <v>570</v>
      </c>
      <c r="I152" s="6" t="s">
        <v>571</v>
      </c>
      <c r="J152" s="6" t="s">
        <v>555</v>
      </c>
      <c r="K152" s="6" t="s">
        <v>556</v>
      </c>
      <c r="L152" s="6" t="s">
        <v>557</v>
      </c>
      <c r="M152" s="6" t="s">
        <v>558</v>
      </c>
    </row>
    <row r="153" spans="1:13" x14ac:dyDescent="0.25">
      <c r="A153" s="1" t="s">
        <v>52</v>
      </c>
      <c r="B153" s="6" t="s">
        <v>572</v>
      </c>
      <c r="C153" s="6" t="s">
        <v>573</v>
      </c>
      <c r="D153" s="6" t="s">
        <v>574</v>
      </c>
      <c r="E153" s="6" t="s">
        <v>575</v>
      </c>
      <c r="F153" s="6" t="s">
        <v>576</v>
      </c>
      <c r="G153" s="6" t="s">
        <v>577</v>
      </c>
      <c r="H153" s="6" t="s">
        <v>483</v>
      </c>
      <c r="I153" s="6" t="s">
        <v>578</v>
      </c>
      <c r="J153" s="6" t="s">
        <v>492</v>
      </c>
      <c r="K153" s="6" t="s">
        <v>493</v>
      </c>
      <c r="L153" s="6" t="s">
        <v>557</v>
      </c>
      <c r="M153" s="6" t="s">
        <v>558</v>
      </c>
    </row>
    <row r="154" spans="1:13" x14ac:dyDescent="0.25">
      <c r="A154" s="1" t="s">
        <v>63</v>
      </c>
      <c r="B154" s="6" t="s">
        <v>579</v>
      </c>
      <c r="C154" s="6" t="s">
        <v>580</v>
      </c>
      <c r="D154" s="6" t="s">
        <v>581</v>
      </c>
      <c r="E154" s="6" t="s">
        <v>582</v>
      </c>
      <c r="F154" s="6" t="s">
        <v>583</v>
      </c>
      <c r="G154" s="6" t="s">
        <v>584</v>
      </c>
      <c r="H154" s="6" t="s">
        <v>585</v>
      </c>
      <c r="I154" s="6" t="s">
        <v>586</v>
      </c>
      <c r="J154" s="6" t="s">
        <v>587</v>
      </c>
      <c r="K154" s="6" t="s">
        <v>588</v>
      </c>
      <c r="L154" s="6" t="s">
        <v>557</v>
      </c>
      <c r="M154" s="6" t="s">
        <v>558</v>
      </c>
    </row>
    <row r="155" spans="1:13" x14ac:dyDescent="0.25">
      <c r="A155" s="1" t="s">
        <v>74</v>
      </c>
      <c r="B155" s="7">
        <v>1718.2554600000001</v>
      </c>
      <c r="C155" s="7">
        <v>2224.5594299999998</v>
      </c>
      <c r="D155" s="7">
        <v>945.32763</v>
      </c>
      <c r="E155" s="7">
        <v>1428.4154000000001</v>
      </c>
      <c r="F155" s="7">
        <v>666.64450999999997</v>
      </c>
      <c r="G155" s="7">
        <v>1013.05004</v>
      </c>
      <c r="H155" s="7">
        <v>5383.8431899999996</v>
      </c>
      <c r="I155" s="7">
        <v>6524.2936600000003</v>
      </c>
      <c r="J155" s="7">
        <v>8164.5</v>
      </c>
      <c r="K155" s="7">
        <v>1104.5</v>
      </c>
      <c r="L155" s="7">
        <v>0</v>
      </c>
      <c r="M155" s="7">
        <v>0</v>
      </c>
    </row>
    <row r="156" spans="1:13" x14ac:dyDescent="0.25">
      <c r="A156" s="1" t="s">
        <v>75</v>
      </c>
      <c r="B156" s="6" t="s">
        <v>589</v>
      </c>
      <c r="C156" s="6" t="s">
        <v>590</v>
      </c>
      <c r="D156" s="6" t="s">
        <v>589</v>
      </c>
      <c r="E156" s="6" t="s">
        <v>591</v>
      </c>
      <c r="F156" s="6" t="s">
        <v>592</v>
      </c>
      <c r="G156" s="6" t="s">
        <v>593</v>
      </c>
      <c r="H156" s="6" t="s">
        <v>589</v>
      </c>
      <c r="I156" s="6" t="s">
        <v>594</v>
      </c>
      <c r="J156" s="6" t="s">
        <v>84</v>
      </c>
      <c r="K156" s="6" t="s">
        <v>84</v>
      </c>
      <c r="L156" s="6" t="s">
        <v>85</v>
      </c>
      <c r="M156" s="6" t="s">
        <v>85</v>
      </c>
    </row>
    <row r="157" spans="1:13" x14ac:dyDescent="0.25">
      <c r="A157" s="1" t="s">
        <v>86</v>
      </c>
      <c r="B157" s="6" t="s">
        <v>87</v>
      </c>
      <c r="C157" s="6" t="s">
        <v>87</v>
      </c>
      <c r="D157" s="6" t="s">
        <v>87</v>
      </c>
      <c r="E157" s="6" t="s">
        <v>87</v>
      </c>
      <c r="F157" s="6" t="s">
        <v>87</v>
      </c>
      <c r="G157" s="6" t="s">
        <v>87</v>
      </c>
      <c r="H157" s="6" t="s">
        <v>87</v>
      </c>
      <c r="I157" s="6" t="s">
        <v>87</v>
      </c>
      <c r="J157" s="6" t="s">
        <v>87</v>
      </c>
      <c r="K157" s="6" t="s">
        <v>87</v>
      </c>
      <c r="L157" s="6" t="s">
        <v>87</v>
      </c>
      <c r="M157" s="6" t="s">
        <v>87</v>
      </c>
    </row>
    <row r="158" spans="1:13" x14ac:dyDescent="0.25">
      <c r="A158" s="1" t="s">
        <v>595</v>
      </c>
      <c r="B158" s="6" t="s">
        <v>547</v>
      </c>
      <c r="C158" s="6" t="s">
        <v>548</v>
      </c>
      <c r="D158" s="6" t="s">
        <v>549</v>
      </c>
      <c r="E158" s="6" t="s">
        <v>550</v>
      </c>
      <c r="F158" s="6" t="s">
        <v>551</v>
      </c>
      <c r="G158" s="6" t="s">
        <v>596</v>
      </c>
      <c r="H158" s="6" t="s">
        <v>597</v>
      </c>
      <c r="I158" s="6" t="s">
        <v>598</v>
      </c>
      <c r="J158" s="6" t="s">
        <v>555</v>
      </c>
      <c r="K158" s="6" t="s">
        <v>556</v>
      </c>
      <c r="L158" s="6" t="s">
        <v>557</v>
      </c>
      <c r="M158" s="6" t="s">
        <v>558</v>
      </c>
    </row>
    <row r="159" spans="1:13" x14ac:dyDescent="0.25">
      <c r="A159" s="1" t="s">
        <v>39</v>
      </c>
      <c r="B159" s="6" t="s">
        <v>547</v>
      </c>
      <c r="C159" s="6" t="s">
        <v>548</v>
      </c>
      <c r="D159" s="6" t="s">
        <v>549</v>
      </c>
      <c r="E159" s="6" t="s">
        <v>550</v>
      </c>
      <c r="F159" s="6" t="s">
        <v>551</v>
      </c>
      <c r="G159" s="6" t="s">
        <v>596</v>
      </c>
      <c r="H159" s="6" t="s">
        <v>597</v>
      </c>
      <c r="I159" s="6" t="s">
        <v>598</v>
      </c>
      <c r="J159" s="6" t="s">
        <v>555</v>
      </c>
      <c r="K159" s="6" t="s">
        <v>556</v>
      </c>
      <c r="L159" s="6" t="s">
        <v>557</v>
      </c>
      <c r="M159" s="6" t="s">
        <v>558</v>
      </c>
    </row>
    <row r="160" spans="1:13" x14ac:dyDescent="0.25">
      <c r="A160" s="1" t="s">
        <v>40</v>
      </c>
      <c r="B160" s="6" t="s">
        <v>599</v>
      </c>
      <c r="C160" s="6" t="s">
        <v>600</v>
      </c>
      <c r="D160" s="6" t="s">
        <v>601</v>
      </c>
      <c r="E160" s="6" t="s">
        <v>602</v>
      </c>
      <c r="F160" s="6" t="s">
        <v>603</v>
      </c>
      <c r="G160" s="6" t="s">
        <v>596</v>
      </c>
      <c r="H160" s="6" t="s">
        <v>597</v>
      </c>
      <c r="I160" s="6" t="s">
        <v>598</v>
      </c>
      <c r="J160" s="6" t="s">
        <v>555</v>
      </c>
      <c r="K160" s="6" t="s">
        <v>556</v>
      </c>
      <c r="L160" s="6" t="s">
        <v>557</v>
      </c>
      <c r="M160" s="6" t="s">
        <v>558</v>
      </c>
    </row>
    <row r="161" spans="1:13" x14ac:dyDescent="0.25">
      <c r="A161" s="1" t="s">
        <v>46</v>
      </c>
      <c r="B161" s="6" t="s">
        <v>604</v>
      </c>
      <c r="C161" s="6" t="s">
        <v>605</v>
      </c>
      <c r="D161" s="6" t="s">
        <v>606</v>
      </c>
      <c r="E161" s="6" t="s">
        <v>607</v>
      </c>
      <c r="F161" s="6" t="s">
        <v>568</v>
      </c>
      <c r="G161" s="6" t="s">
        <v>569</v>
      </c>
      <c r="H161" s="6" t="s">
        <v>570</v>
      </c>
      <c r="I161" s="6" t="s">
        <v>608</v>
      </c>
      <c r="J161" s="6" t="s">
        <v>555</v>
      </c>
      <c r="K161" s="6" t="s">
        <v>556</v>
      </c>
      <c r="L161" s="6" t="s">
        <v>557</v>
      </c>
      <c r="M161" s="6" t="s">
        <v>558</v>
      </c>
    </row>
    <row r="162" spans="1:13" x14ac:dyDescent="0.25">
      <c r="A162" s="1" t="s">
        <v>52</v>
      </c>
      <c r="B162" s="6" t="s">
        <v>572</v>
      </c>
      <c r="C162" s="6" t="s">
        <v>573</v>
      </c>
      <c r="D162" s="6" t="s">
        <v>574</v>
      </c>
      <c r="E162" s="6" t="s">
        <v>575</v>
      </c>
      <c r="F162" s="6" t="s">
        <v>576</v>
      </c>
      <c r="G162" s="6" t="s">
        <v>577</v>
      </c>
      <c r="H162" s="6" t="s">
        <v>483</v>
      </c>
      <c r="I162" s="6" t="s">
        <v>578</v>
      </c>
      <c r="J162" s="6" t="s">
        <v>492</v>
      </c>
      <c r="K162" s="6" t="s">
        <v>493</v>
      </c>
      <c r="L162" s="6" t="s">
        <v>557</v>
      </c>
      <c r="M162" s="6" t="s">
        <v>558</v>
      </c>
    </row>
    <row r="163" spans="1:13" x14ac:dyDescent="0.25">
      <c r="A163" s="1" t="s">
        <v>63</v>
      </c>
      <c r="B163" s="6" t="s">
        <v>579</v>
      </c>
      <c r="C163" s="6" t="s">
        <v>609</v>
      </c>
      <c r="D163" s="6" t="s">
        <v>581</v>
      </c>
      <c r="E163" s="6" t="s">
        <v>582</v>
      </c>
      <c r="F163" s="6" t="s">
        <v>583</v>
      </c>
      <c r="G163" s="6" t="s">
        <v>584</v>
      </c>
      <c r="H163" s="6" t="s">
        <v>585</v>
      </c>
      <c r="I163" s="6" t="s">
        <v>586</v>
      </c>
      <c r="J163" s="6" t="s">
        <v>587</v>
      </c>
      <c r="K163" s="6" t="s">
        <v>588</v>
      </c>
      <c r="L163" s="6" t="s">
        <v>557</v>
      </c>
      <c r="M163" s="6" t="s">
        <v>558</v>
      </c>
    </row>
    <row r="164" spans="1:13" x14ac:dyDescent="0.25">
      <c r="A164" s="1" t="s">
        <v>74</v>
      </c>
      <c r="B164" s="7">
        <v>1733.2182399999999</v>
      </c>
      <c r="C164" s="7">
        <v>1635.44364</v>
      </c>
      <c r="D164" s="7">
        <v>992.01243999999997</v>
      </c>
      <c r="E164" s="7">
        <v>1446.1999800000001</v>
      </c>
      <c r="F164" s="7">
        <v>619.45344</v>
      </c>
      <c r="G164" s="7">
        <v>1102.6685299999999</v>
      </c>
      <c r="H164" s="7">
        <v>5680.0156699999998</v>
      </c>
      <c r="I164" s="7">
        <v>7313.4318000000003</v>
      </c>
      <c r="J164" s="7">
        <v>8164.5</v>
      </c>
      <c r="K164" s="7">
        <v>1104.5</v>
      </c>
      <c r="L164" s="7">
        <v>0</v>
      </c>
      <c r="M164" s="7">
        <v>0</v>
      </c>
    </row>
    <row r="165" spans="1:13" x14ac:dyDescent="0.25">
      <c r="A165" s="1" t="s">
        <v>75</v>
      </c>
      <c r="B165" s="6" t="s">
        <v>610</v>
      </c>
      <c r="C165" s="6" t="s">
        <v>611</v>
      </c>
      <c r="D165" s="6" t="s">
        <v>612</v>
      </c>
      <c r="E165" s="6" t="s">
        <v>613</v>
      </c>
      <c r="F165" s="6" t="s">
        <v>614</v>
      </c>
      <c r="G165" s="6" t="s">
        <v>615</v>
      </c>
      <c r="H165" s="6" t="s">
        <v>610</v>
      </c>
      <c r="I165" s="6" t="s">
        <v>616</v>
      </c>
      <c r="J165" s="6" t="s">
        <v>84</v>
      </c>
      <c r="K165" s="6" t="s">
        <v>84</v>
      </c>
      <c r="L165" s="6" t="s">
        <v>85</v>
      </c>
      <c r="M165" s="6" t="s">
        <v>85</v>
      </c>
    </row>
    <row r="166" spans="1:13" x14ac:dyDescent="0.25">
      <c r="A166" s="1" t="s">
        <v>86</v>
      </c>
      <c r="B166" s="6" t="s">
        <v>87</v>
      </c>
      <c r="C166" s="6" t="s">
        <v>87</v>
      </c>
      <c r="D166" s="6" t="s">
        <v>87</v>
      </c>
      <c r="E166" s="6" t="s">
        <v>87</v>
      </c>
      <c r="F166" s="6" t="s">
        <v>87</v>
      </c>
      <c r="G166" s="6" t="s">
        <v>87</v>
      </c>
      <c r="H166" s="6" t="s">
        <v>87</v>
      </c>
      <c r="I166" s="6" t="s">
        <v>87</v>
      </c>
      <c r="J166" s="6" t="s">
        <v>87</v>
      </c>
      <c r="K166" s="6" t="s">
        <v>87</v>
      </c>
      <c r="L166" s="6" t="s">
        <v>87</v>
      </c>
      <c r="M166" s="6" t="s">
        <v>87</v>
      </c>
    </row>
    <row r="167" spans="1:13" x14ac:dyDescent="0.25">
      <c r="A167" s="1" t="s">
        <v>617</v>
      </c>
      <c r="B167" s="6" t="s">
        <v>618</v>
      </c>
      <c r="C167" s="6" t="s">
        <v>619</v>
      </c>
      <c r="D167" s="6" t="s">
        <v>620</v>
      </c>
      <c r="E167" s="6" t="s">
        <v>621</v>
      </c>
      <c r="F167" s="6" t="s">
        <v>622</v>
      </c>
      <c r="G167" s="6" t="s">
        <v>623</v>
      </c>
      <c r="H167" s="6" t="s">
        <v>624</v>
      </c>
      <c r="I167" s="6" t="s">
        <v>625</v>
      </c>
      <c r="J167" s="6" t="s">
        <v>626</v>
      </c>
      <c r="K167" s="6" t="s">
        <v>626</v>
      </c>
      <c r="L167" s="6" t="s">
        <v>627</v>
      </c>
      <c r="M167" s="6" t="s">
        <v>627</v>
      </c>
    </row>
    <row r="168" spans="1:13" x14ac:dyDescent="0.25">
      <c r="A168" s="1" t="s">
        <v>39</v>
      </c>
      <c r="B168" s="6" t="s">
        <v>618</v>
      </c>
      <c r="C168" s="6" t="s">
        <v>619</v>
      </c>
      <c r="D168" s="6" t="s">
        <v>620</v>
      </c>
      <c r="E168" s="6" t="s">
        <v>621</v>
      </c>
      <c r="F168" s="6" t="s">
        <v>622</v>
      </c>
      <c r="G168" s="6" t="s">
        <v>623</v>
      </c>
      <c r="H168" s="6" t="s">
        <v>624</v>
      </c>
      <c r="I168" s="6" t="s">
        <v>625</v>
      </c>
      <c r="J168" s="6" t="s">
        <v>626</v>
      </c>
      <c r="K168" s="6" t="s">
        <v>626</v>
      </c>
      <c r="L168" s="6" t="s">
        <v>627</v>
      </c>
      <c r="M168" s="6" t="s">
        <v>627</v>
      </c>
    </row>
    <row r="169" spans="1:13" x14ac:dyDescent="0.25">
      <c r="A169" s="1" t="s">
        <v>40</v>
      </c>
      <c r="B169" s="6" t="s">
        <v>628</v>
      </c>
      <c r="C169" s="6" t="s">
        <v>629</v>
      </c>
      <c r="D169" s="6" t="s">
        <v>630</v>
      </c>
      <c r="E169" s="6" t="s">
        <v>631</v>
      </c>
      <c r="F169" s="6" t="s">
        <v>632</v>
      </c>
      <c r="G169" s="6" t="s">
        <v>623</v>
      </c>
      <c r="H169" s="6" t="s">
        <v>624</v>
      </c>
      <c r="I169" s="6" t="s">
        <v>625</v>
      </c>
      <c r="J169" s="6" t="s">
        <v>626</v>
      </c>
      <c r="K169" s="6" t="s">
        <v>626</v>
      </c>
      <c r="L169" s="6" t="s">
        <v>627</v>
      </c>
      <c r="M169" s="6" t="s">
        <v>627</v>
      </c>
    </row>
    <row r="170" spans="1:13" x14ac:dyDescent="0.25">
      <c r="A170" s="1" t="s">
        <v>46</v>
      </c>
      <c r="B170" s="6" t="s">
        <v>633</v>
      </c>
      <c r="C170" s="6" t="s">
        <v>634</v>
      </c>
      <c r="D170" s="6" t="s">
        <v>635</v>
      </c>
      <c r="E170" s="6" t="s">
        <v>627</v>
      </c>
      <c r="F170" s="6" t="s">
        <v>636</v>
      </c>
      <c r="G170" s="6" t="s">
        <v>637</v>
      </c>
      <c r="H170" s="6" t="s">
        <v>636</v>
      </c>
      <c r="I170" s="6" t="s">
        <v>636</v>
      </c>
      <c r="J170" s="6" t="s">
        <v>626</v>
      </c>
      <c r="K170" s="6" t="s">
        <v>626</v>
      </c>
      <c r="L170" s="6" t="s">
        <v>627</v>
      </c>
      <c r="M170" s="6" t="s">
        <v>627</v>
      </c>
    </row>
    <row r="171" spans="1:13" x14ac:dyDescent="0.25">
      <c r="A171" s="1" t="s">
        <v>52</v>
      </c>
      <c r="B171" s="6" t="s">
        <v>627</v>
      </c>
      <c r="C171" s="6" t="s">
        <v>638</v>
      </c>
      <c r="D171" s="6" t="s">
        <v>639</v>
      </c>
      <c r="E171" s="6" t="s">
        <v>635</v>
      </c>
      <c r="F171" s="6" t="s">
        <v>624</v>
      </c>
      <c r="G171" s="6" t="s">
        <v>636</v>
      </c>
      <c r="H171" s="6" t="s">
        <v>640</v>
      </c>
      <c r="I171" s="6" t="s">
        <v>640</v>
      </c>
      <c r="J171" s="6" t="s">
        <v>636</v>
      </c>
      <c r="K171" s="6" t="s">
        <v>636</v>
      </c>
      <c r="L171" s="6" t="s">
        <v>627</v>
      </c>
      <c r="M171" s="6" t="s">
        <v>627</v>
      </c>
    </row>
    <row r="172" spans="1:13" x14ac:dyDescent="0.25">
      <c r="A172" s="1" t="s">
        <v>63</v>
      </c>
      <c r="B172" s="6" t="s">
        <v>641</v>
      </c>
      <c r="C172" s="6" t="s">
        <v>642</v>
      </c>
      <c r="D172" s="6" t="s">
        <v>636</v>
      </c>
      <c r="E172" s="6" t="s">
        <v>643</v>
      </c>
      <c r="F172" s="6" t="s">
        <v>627</v>
      </c>
      <c r="G172" s="6" t="s">
        <v>627</v>
      </c>
      <c r="H172" s="6" t="s">
        <v>627</v>
      </c>
      <c r="I172" s="6" t="s">
        <v>627</v>
      </c>
      <c r="J172" s="6" t="s">
        <v>627</v>
      </c>
      <c r="K172" s="6" t="s">
        <v>627</v>
      </c>
      <c r="L172" s="6" t="s">
        <v>627</v>
      </c>
      <c r="M172" s="6" t="s">
        <v>627</v>
      </c>
    </row>
    <row r="173" spans="1:13" x14ac:dyDescent="0.25">
      <c r="A173" s="1" t="s">
        <v>74</v>
      </c>
      <c r="B173" s="7">
        <v>0.11948</v>
      </c>
      <c r="C173" s="7">
        <v>0.14865999999999999</v>
      </c>
      <c r="D173" s="7">
        <v>0.2326</v>
      </c>
      <c r="E173" s="7">
        <v>0.33351999999999998</v>
      </c>
      <c r="F173" s="7">
        <v>0.20824000000000001</v>
      </c>
      <c r="G173" s="7">
        <v>0.21065</v>
      </c>
      <c r="H173" s="7">
        <v>0.57028000000000001</v>
      </c>
      <c r="I173" s="7">
        <v>0.73802999999999996</v>
      </c>
      <c r="J173" s="7">
        <v>0.5</v>
      </c>
      <c r="K173" s="7">
        <v>0.5</v>
      </c>
      <c r="L173" s="7">
        <v>0</v>
      </c>
      <c r="M173" s="7">
        <v>0</v>
      </c>
    </row>
    <row r="174" spans="1:13" x14ac:dyDescent="0.25">
      <c r="A174" s="1" t="s">
        <v>75</v>
      </c>
      <c r="B174" s="6" t="s">
        <v>283</v>
      </c>
      <c r="C174" s="6" t="s">
        <v>158</v>
      </c>
      <c r="D174" s="6" t="s">
        <v>644</v>
      </c>
      <c r="E174" s="6" t="s">
        <v>645</v>
      </c>
      <c r="F174" s="6" t="s">
        <v>646</v>
      </c>
      <c r="G174" s="6" t="s">
        <v>647</v>
      </c>
      <c r="H174" s="6" t="s">
        <v>648</v>
      </c>
      <c r="I174" s="6" t="s">
        <v>218</v>
      </c>
      <c r="J174" s="6" t="s">
        <v>84</v>
      </c>
      <c r="K174" s="6" t="s">
        <v>84</v>
      </c>
      <c r="L174" s="6" t="s">
        <v>85</v>
      </c>
      <c r="M174" s="6" t="s">
        <v>85</v>
      </c>
    </row>
    <row r="175" spans="1:13" x14ac:dyDescent="0.25">
      <c r="A175" s="1" t="s">
        <v>86</v>
      </c>
      <c r="B175" s="6" t="s">
        <v>87</v>
      </c>
      <c r="C175" s="6" t="s">
        <v>87</v>
      </c>
      <c r="D175" s="6" t="s">
        <v>87</v>
      </c>
      <c r="E175" s="6" t="s">
        <v>87</v>
      </c>
      <c r="F175" s="6" t="s">
        <v>87</v>
      </c>
      <c r="G175" s="6" t="s">
        <v>87</v>
      </c>
      <c r="H175" s="6" t="s">
        <v>87</v>
      </c>
      <c r="I175" s="6" t="s">
        <v>87</v>
      </c>
      <c r="J175" s="6" t="s">
        <v>87</v>
      </c>
      <c r="K175" s="6" t="s">
        <v>87</v>
      </c>
      <c r="L175" s="6" t="s">
        <v>87</v>
      </c>
      <c r="M175" s="6" t="s">
        <v>87</v>
      </c>
    </row>
    <row r="176" spans="1:13" x14ac:dyDescent="0.25">
      <c r="A176" s="1" t="s">
        <v>649</v>
      </c>
      <c r="B176" s="6" t="s">
        <v>650</v>
      </c>
      <c r="C176" s="6" t="s">
        <v>651</v>
      </c>
      <c r="D176" s="6" t="s">
        <v>652</v>
      </c>
      <c r="E176" s="6" t="s">
        <v>653</v>
      </c>
      <c r="F176" s="6" t="s">
        <v>654</v>
      </c>
      <c r="G176" s="6" t="s">
        <v>655</v>
      </c>
      <c r="H176" s="6" t="s">
        <v>656</v>
      </c>
      <c r="I176" s="6" t="s">
        <v>657</v>
      </c>
      <c r="J176" s="6" t="s">
        <v>658</v>
      </c>
      <c r="K176" s="6" t="s">
        <v>659</v>
      </c>
      <c r="L176" s="6" t="s">
        <v>660</v>
      </c>
      <c r="M176" s="6" t="s">
        <v>661</v>
      </c>
    </row>
    <row r="177" spans="1:13" x14ac:dyDescent="0.25">
      <c r="A177" s="1" t="s">
        <v>39</v>
      </c>
      <c r="B177" s="6" t="s">
        <v>650</v>
      </c>
      <c r="C177" s="6" t="s">
        <v>651</v>
      </c>
      <c r="D177" s="6" t="s">
        <v>652</v>
      </c>
      <c r="E177" s="6" t="s">
        <v>653</v>
      </c>
      <c r="F177" s="6" t="s">
        <v>654</v>
      </c>
      <c r="G177" s="6" t="s">
        <v>655</v>
      </c>
      <c r="H177" s="6" t="s">
        <v>656</v>
      </c>
      <c r="I177" s="6" t="s">
        <v>657</v>
      </c>
      <c r="J177" s="6" t="s">
        <v>658</v>
      </c>
      <c r="K177" s="6" t="s">
        <v>659</v>
      </c>
      <c r="L177" s="6" t="s">
        <v>660</v>
      </c>
      <c r="M177" s="6" t="s">
        <v>661</v>
      </c>
    </row>
    <row r="178" spans="1:13" x14ac:dyDescent="0.25">
      <c r="A178" s="1" t="s">
        <v>40</v>
      </c>
      <c r="B178" s="6" t="s">
        <v>662</v>
      </c>
      <c r="C178" s="6" t="s">
        <v>663</v>
      </c>
      <c r="D178" s="6" t="s">
        <v>664</v>
      </c>
      <c r="E178" s="6" t="s">
        <v>665</v>
      </c>
      <c r="F178" s="6" t="s">
        <v>666</v>
      </c>
      <c r="G178" s="6" t="s">
        <v>655</v>
      </c>
      <c r="H178" s="6" t="s">
        <v>656</v>
      </c>
      <c r="I178" s="6" t="s">
        <v>657</v>
      </c>
      <c r="J178" s="6" t="s">
        <v>658</v>
      </c>
      <c r="K178" s="6" t="s">
        <v>659</v>
      </c>
      <c r="L178" s="6" t="s">
        <v>660</v>
      </c>
      <c r="M178" s="6" t="s">
        <v>661</v>
      </c>
    </row>
    <row r="179" spans="1:13" x14ac:dyDescent="0.25">
      <c r="A179" s="1" t="s">
        <v>46</v>
      </c>
      <c r="B179" s="6" t="s">
        <v>667</v>
      </c>
      <c r="C179" s="6" t="s">
        <v>668</v>
      </c>
      <c r="D179" s="6" t="s">
        <v>669</v>
      </c>
      <c r="E179" s="6" t="s">
        <v>670</v>
      </c>
      <c r="F179" s="6" t="s">
        <v>671</v>
      </c>
      <c r="G179" s="6" t="s">
        <v>672</v>
      </c>
      <c r="H179" s="6" t="s">
        <v>673</v>
      </c>
      <c r="I179" s="6" t="s">
        <v>674</v>
      </c>
      <c r="J179" s="6" t="s">
        <v>658</v>
      </c>
      <c r="K179" s="6" t="s">
        <v>659</v>
      </c>
      <c r="L179" s="6" t="s">
        <v>660</v>
      </c>
      <c r="M179" s="6" t="s">
        <v>661</v>
      </c>
    </row>
    <row r="180" spans="1:13" x14ac:dyDescent="0.25">
      <c r="A180" s="1" t="s">
        <v>52</v>
      </c>
      <c r="B180" s="6" t="s">
        <v>675</v>
      </c>
      <c r="C180" s="6" t="s">
        <v>676</v>
      </c>
      <c r="D180" s="6" t="s">
        <v>677</v>
      </c>
      <c r="E180" s="6" t="s">
        <v>678</v>
      </c>
      <c r="F180" s="6" t="s">
        <v>679</v>
      </c>
      <c r="G180" s="6" t="s">
        <v>680</v>
      </c>
      <c r="H180" s="6" t="s">
        <v>681</v>
      </c>
      <c r="I180" s="6" t="s">
        <v>682</v>
      </c>
      <c r="J180" s="6" t="s">
        <v>683</v>
      </c>
      <c r="K180" s="6" t="s">
        <v>684</v>
      </c>
      <c r="L180" s="6" t="s">
        <v>660</v>
      </c>
      <c r="M180" s="6" t="s">
        <v>661</v>
      </c>
    </row>
    <row r="181" spans="1:13" x14ac:dyDescent="0.25">
      <c r="A181" s="1" t="s">
        <v>63</v>
      </c>
      <c r="B181" s="6" t="s">
        <v>685</v>
      </c>
      <c r="C181" s="6" t="s">
        <v>686</v>
      </c>
      <c r="D181" s="6" t="s">
        <v>687</v>
      </c>
      <c r="E181" s="6" t="s">
        <v>688</v>
      </c>
      <c r="F181" s="6" t="s">
        <v>689</v>
      </c>
      <c r="G181" s="6" t="s">
        <v>690</v>
      </c>
      <c r="H181" s="6" t="s">
        <v>691</v>
      </c>
      <c r="I181" s="6" t="s">
        <v>692</v>
      </c>
      <c r="J181" s="6" t="s">
        <v>693</v>
      </c>
      <c r="K181" s="6" t="s">
        <v>694</v>
      </c>
      <c r="L181" s="6" t="s">
        <v>660</v>
      </c>
      <c r="M181" s="6" t="s">
        <v>661</v>
      </c>
    </row>
    <row r="182" spans="1:13" x14ac:dyDescent="0.25">
      <c r="A182" s="1" t="s">
        <v>74</v>
      </c>
      <c r="B182" s="7">
        <v>1200.74784</v>
      </c>
      <c r="C182" s="7">
        <v>1969.73702</v>
      </c>
      <c r="D182" s="7">
        <v>862.64489000000003</v>
      </c>
      <c r="E182" s="7">
        <v>709.08568000000002</v>
      </c>
      <c r="F182" s="7">
        <v>574.90216999999996</v>
      </c>
      <c r="G182" s="7">
        <v>690.05649000000005</v>
      </c>
      <c r="H182" s="7">
        <v>4455.4416600000004</v>
      </c>
      <c r="I182" s="7">
        <v>5371.5572899999997</v>
      </c>
      <c r="J182" s="7">
        <v>6082.5</v>
      </c>
      <c r="K182" s="7">
        <v>18.5</v>
      </c>
      <c r="L182" s="7">
        <v>0</v>
      </c>
      <c r="M182" s="7">
        <v>0</v>
      </c>
    </row>
    <row r="183" spans="1:13" x14ac:dyDescent="0.25">
      <c r="A183" s="1" t="s">
        <v>75</v>
      </c>
      <c r="B183" s="6" t="s">
        <v>695</v>
      </c>
      <c r="C183" s="6" t="s">
        <v>696</v>
      </c>
      <c r="D183" s="6" t="s">
        <v>696</v>
      </c>
      <c r="E183" s="6" t="s">
        <v>82</v>
      </c>
      <c r="F183" s="6" t="s">
        <v>697</v>
      </c>
      <c r="G183" s="6" t="s">
        <v>698</v>
      </c>
      <c r="H183" s="6" t="s">
        <v>699</v>
      </c>
      <c r="I183" s="6" t="s">
        <v>700</v>
      </c>
      <c r="J183" s="6" t="s">
        <v>84</v>
      </c>
      <c r="K183" s="6" t="s">
        <v>84</v>
      </c>
      <c r="L183" s="6" t="s">
        <v>85</v>
      </c>
      <c r="M183" s="6" t="s">
        <v>85</v>
      </c>
    </row>
    <row r="184" spans="1:13" x14ac:dyDescent="0.25">
      <c r="A184" s="1" t="s">
        <v>86</v>
      </c>
      <c r="B184" s="6" t="s">
        <v>87</v>
      </c>
      <c r="C184" s="6" t="s">
        <v>87</v>
      </c>
      <c r="D184" s="6" t="s">
        <v>87</v>
      </c>
      <c r="E184" s="6" t="s">
        <v>87</v>
      </c>
      <c r="F184" s="6" t="s">
        <v>87</v>
      </c>
      <c r="G184" s="6" t="s">
        <v>87</v>
      </c>
      <c r="H184" s="6" t="s">
        <v>87</v>
      </c>
      <c r="I184" s="6" t="s">
        <v>87</v>
      </c>
      <c r="J184" s="6" t="s">
        <v>87</v>
      </c>
      <c r="K184" s="6" t="s">
        <v>87</v>
      </c>
      <c r="L184" s="6" t="s">
        <v>87</v>
      </c>
      <c r="M184" s="6" t="s">
        <v>87</v>
      </c>
    </row>
    <row r="185" spans="1:13" x14ac:dyDescent="0.25">
      <c r="A185" s="1" t="s">
        <v>701</v>
      </c>
      <c r="B185" s="6" t="s">
        <v>650</v>
      </c>
      <c r="C185" s="6" t="s">
        <v>651</v>
      </c>
      <c r="D185" s="6" t="s">
        <v>652</v>
      </c>
      <c r="E185" s="6" t="s">
        <v>653</v>
      </c>
      <c r="F185" s="6" t="s">
        <v>702</v>
      </c>
      <c r="G185" s="6" t="s">
        <v>703</v>
      </c>
      <c r="H185" s="6" t="s">
        <v>704</v>
      </c>
      <c r="I185" s="6" t="s">
        <v>705</v>
      </c>
      <c r="J185" s="6" t="s">
        <v>658</v>
      </c>
      <c r="K185" s="6" t="s">
        <v>659</v>
      </c>
      <c r="L185" s="6" t="s">
        <v>660</v>
      </c>
      <c r="M185" s="6" t="s">
        <v>661</v>
      </c>
    </row>
    <row r="186" spans="1:13" x14ac:dyDescent="0.25">
      <c r="A186" s="1" t="s">
        <v>39</v>
      </c>
      <c r="B186" s="6" t="s">
        <v>650</v>
      </c>
      <c r="C186" s="6" t="s">
        <v>651</v>
      </c>
      <c r="D186" s="6" t="s">
        <v>652</v>
      </c>
      <c r="E186" s="6" t="s">
        <v>653</v>
      </c>
      <c r="F186" s="6" t="s">
        <v>702</v>
      </c>
      <c r="G186" s="6" t="s">
        <v>703</v>
      </c>
      <c r="H186" s="6" t="s">
        <v>704</v>
      </c>
      <c r="I186" s="6" t="s">
        <v>705</v>
      </c>
      <c r="J186" s="6" t="s">
        <v>658</v>
      </c>
      <c r="K186" s="6" t="s">
        <v>659</v>
      </c>
      <c r="L186" s="6" t="s">
        <v>660</v>
      </c>
      <c r="M186" s="6" t="s">
        <v>661</v>
      </c>
    </row>
    <row r="187" spans="1:13" x14ac:dyDescent="0.25">
      <c r="A187" s="1" t="s">
        <v>40</v>
      </c>
      <c r="B187" s="6" t="s">
        <v>706</v>
      </c>
      <c r="C187" s="6" t="s">
        <v>707</v>
      </c>
      <c r="D187" s="6" t="s">
        <v>708</v>
      </c>
      <c r="E187" s="6" t="s">
        <v>709</v>
      </c>
      <c r="F187" s="6" t="s">
        <v>710</v>
      </c>
      <c r="G187" s="6" t="s">
        <v>703</v>
      </c>
      <c r="H187" s="6" t="s">
        <v>704</v>
      </c>
      <c r="I187" s="6" t="s">
        <v>705</v>
      </c>
      <c r="J187" s="6" t="s">
        <v>658</v>
      </c>
      <c r="K187" s="6" t="s">
        <v>659</v>
      </c>
      <c r="L187" s="6" t="s">
        <v>660</v>
      </c>
      <c r="M187" s="6" t="s">
        <v>661</v>
      </c>
    </row>
    <row r="188" spans="1:13" x14ac:dyDescent="0.25">
      <c r="A188" s="1" t="s">
        <v>46</v>
      </c>
      <c r="B188" s="6" t="s">
        <v>711</v>
      </c>
      <c r="C188" s="6" t="s">
        <v>712</v>
      </c>
      <c r="D188" s="6" t="s">
        <v>713</v>
      </c>
      <c r="E188" s="6" t="s">
        <v>714</v>
      </c>
      <c r="F188" s="6" t="s">
        <v>715</v>
      </c>
      <c r="G188" s="6" t="s">
        <v>716</v>
      </c>
      <c r="H188" s="6" t="s">
        <v>717</v>
      </c>
      <c r="I188" s="6" t="s">
        <v>718</v>
      </c>
      <c r="J188" s="6" t="s">
        <v>658</v>
      </c>
      <c r="K188" s="6" t="s">
        <v>659</v>
      </c>
      <c r="L188" s="6" t="s">
        <v>660</v>
      </c>
      <c r="M188" s="6" t="s">
        <v>661</v>
      </c>
    </row>
    <row r="189" spans="1:13" x14ac:dyDescent="0.25">
      <c r="A189" s="1" t="s">
        <v>52</v>
      </c>
      <c r="B189" s="6" t="s">
        <v>675</v>
      </c>
      <c r="C189" s="6" t="s">
        <v>676</v>
      </c>
      <c r="D189" s="6" t="s">
        <v>677</v>
      </c>
      <c r="E189" s="6" t="s">
        <v>678</v>
      </c>
      <c r="F189" s="6" t="s">
        <v>719</v>
      </c>
      <c r="G189" s="6" t="s">
        <v>680</v>
      </c>
      <c r="H189" s="6" t="s">
        <v>681</v>
      </c>
      <c r="I189" s="6" t="s">
        <v>682</v>
      </c>
      <c r="J189" s="6" t="s">
        <v>683</v>
      </c>
      <c r="K189" s="6" t="s">
        <v>684</v>
      </c>
      <c r="L189" s="6" t="s">
        <v>660</v>
      </c>
      <c r="M189" s="6" t="s">
        <v>661</v>
      </c>
    </row>
    <row r="190" spans="1:13" x14ac:dyDescent="0.25">
      <c r="A190" s="1" t="s">
        <v>63</v>
      </c>
      <c r="B190" s="6" t="s">
        <v>685</v>
      </c>
      <c r="C190" s="6" t="s">
        <v>686</v>
      </c>
      <c r="D190" s="6" t="s">
        <v>687</v>
      </c>
      <c r="E190" s="6" t="s">
        <v>720</v>
      </c>
      <c r="F190" s="6" t="s">
        <v>721</v>
      </c>
      <c r="G190" s="6" t="s">
        <v>690</v>
      </c>
      <c r="H190" s="6" t="s">
        <v>691</v>
      </c>
      <c r="I190" s="6" t="s">
        <v>692</v>
      </c>
      <c r="J190" s="6" t="s">
        <v>693</v>
      </c>
      <c r="K190" s="6" t="s">
        <v>694</v>
      </c>
      <c r="L190" s="6" t="s">
        <v>660</v>
      </c>
      <c r="M190" s="6" t="s">
        <v>661</v>
      </c>
    </row>
    <row r="191" spans="1:13" x14ac:dyDescent="0.25">
      <c r="A191" s="1" t="s">
        <v>74</v>
      </c>
      <c r="B191" s="7">
        <v>1182.0885000000001</v>
      </c>
      <c r="C191" s="7">
        <v>1942.9655299999999</v>
      </c>
      <c r="D191" s="7">
        <v>864.83196999999996</v>
      </c>
      <c r="E191" s="7">
        <v>866.82016999999996</v>
      </c>
      <c r="F191" s="7">
        <v>224.66131999999999</v>
      </c>
      <c r="G191" s="7">
        <v>720.01363000000003</v>
      </c>
      <c r="H191" s="7">
        <v>4525.8483100000003</v>
      </c>
      <c r="I191" s="7">
        <v>5571.2667600000004</v>
      </c>
      <c r="J191" s="7">
        <v>6082.5</v>
      </c>
      <c r="K191" s="7">
        <v>18.5</v>
      </c>
      <c r="L191" s="7">
        <v>0</v>
      </c>
      <c r="M191" s="7">
        <v>0</v>
      </c>
    </row>
    <row r="192" spans="1:13" x14ac:dyDescent="0.25">
      <c r="A192" s="1" t="s">
        <v>75</v>
      </c>
      <c r="B192" s="6" t="s">
        <v>699</v>
      </c>
      <c r="C192" s="6" t="s">
        <v>722</v>
      </c>
      <c r="D192" s="6" t="s">
        <v>82</v>
      </c>
      <c r="E192" s="6" t="s">
        <v>78</v>
      </c>
      <c r="F192" s="6" t="s">
        <v>723</v>
      </c>
      <c r="G192" s="6" t="s">
        <v>724</v>
      </c>
      <c r="H192" s="6" t="s">
        <v>613</v>
      </c>
      <c r="I192" s="6" t="s">
        <v>83</v>
      </c>
      <c r="J192" s="6" t="s">
        <v>84</v>
      </c>
      <c r="K192" s="6" t="s">
        <v>84</v>
      </c>
      <c r="L192" s="6" t="s">
        <v>85</v>
      </c>
      <c r="M192" s="6" t="s">
        <v>85</v>
      </c>
    </row>
    <row r="193" spans="1:13" x14ac:dyDescent="0.25">
      <c r="A193" s="1" t="s">
        <v>86</v>
      </c>
      <c r="B193" s="6" t="s">
        <v>87</v>
      </c>
      <c r="C193" s="6" t="s">
        <v>87</v>
      </c>
      <c r="D193" s="6" t="s">
        <v>87</v>
      </c>
      <c r="E193" s="6" t="s">
        <v>87</v>
      </c>
      <c r="F193" s="6" t="s">
        <v>87</v>
      </c>
      <c r="G193" s="6" t="s">
        <v>87</v>
      </c>
      <c r="H193" s="6" t="s">
        <v>87</v>
      </c>
      <c r="I193" s="6" t="s">
        <v>87</v>
      </c>
      <c r="J193" s="6" t="s">
        <v>87</v>
      </c>
      <c r="K193" s="6" t="s">
        <v>87</v>
      </c>
      <c r="L193" s="6" t="s">
        <v>87</v>
      </c>
      <c r="M193" s="6" t="s">
        <v>87</v>
      </c>
    </row>
    <row r="194" spans="1:13" x14ac:dyDescent="0.25">
      <c r="A194" s="1" t="s">
        <v>725</v>
      </c>
      <c r="B194" s="6" t="s">
        <v>726</v>
      </c>
      <c r="C194" s="6" t="s">
        <v>727</v>
      </c>
      <c r="D194" s="6" t="s">
        <v>728</v>
      </c>
      <c r="E194" s="6" t="s">
        <v>729</v>
      </c>
      <c r="F194" s="6" t="s">
        <v>730</v>
      </c>
      <c r="G194" s="6" t="s">
        <v>731</v>
      </c>
      <c r="H194" s="6" t="s">
        <v>732</v>
      </c>
      <c r="I194" s="6" t="s">
        <v>733</v>
      </c>
      <c r="J194" s="6" t="s">
        <v>114</v>
      </c>
      <c r="K194" s="6" t="s">
        <v>114</v>
      </c>
      <c r="L194" s="6" t="s">
        <v>114</v>
      </c>
      <c r="M194" s="6" t="s">
        <v>114</v>
      </c>
    </row>
    <row r="195" spans="1:13" x14ac:dyDescent="0.25">
      <c r="A195" s="1" t="s">
        <v>39</v>
      </c>
      <c r="B195" s="6" t="s">
        <v>726</v>
      </c>
      <c r="C195" s="6" t="s">
        <v>727</v>
      </c>
      <c r="D195" s="6" t="s">
        <v>728</v>
      </c>
      <c r="E195" s="6" t="s">
        <v>729</v>
      </c>
      <c r="F195" s="6" t="s">
        <v>730</v>
      </c>
      <c r="G195" s="6" t="s">
        <v>731</v>
      </c>
      <c r="H195" s="6" t="s">
        <v>732</v>
      </c>
      <c r="I195" s="6" t="s">
        <v>733</v>
      </c>
      <c r="J195" s="6" t="s">
        <v>114</v>
      </c>
      <c r="K195" s="6" t="s">
        <v>114</v>
      </c>
      <c r="L195" s="6" t="s">
        <v>114</v>
      </c>
      <c r="M195" s="6" t="s">
        <v>114</v>
      </c>
    </row>
    <row r="196" spans="1:13" x14ac:dyDescent="0.25">
      <c r="A196" s="1" t="s">
        <v>40</v>
      </c>
      <c r="B196" s="6" t="s">
        <v>734</v>
      </c>
      <c r="C196" s="6" t="s">
        <v>735</v>
      </c>
      <c r="D196" s="6" t="s">
        <v>736</v>
      </c>
      <c r="E196" s="6" t="s">
        <v>737</v>
      </c>
      <c r="F196" s="6" t="s">
        <v>738</v>
      </c>
      <c r="G196" s="6" t="s">
        <v>731</v>
      </c>
      <c r="H196" s="6" t="s">
        <v>732</v>
      </c>
      <c r="I196" s="6" t="s">
        <v>733</v>
      </c>
      <c r="J196" s="6" t="s">
        <v>114</v>
      </c>
      <c r="K196" s="6" t="s">
        <v>114</v>
      </c>
      <c r="L196" s="6" t="s">
        <v>114</v>
      </c>
      <c r="M196" s="6" t="s">
        <v>114</v>
      </c>
    </row>
    <row r="197" spans="1:13" x14ac:dyDescent="0.25">
      <c r="A197" s="1" t="s">
        <v>46</v>
      </c>
      <c r="B197" s="6" t="s">
        <v>739</v>
      </c>
      <c r="C197" s="6" t="s">
        <v>740</v>
      </c>
      <c r="D197" s="6" t="s">
        <v>741</v>
      </c>
      <c r="E197" s="6" t="s">
        <v>742</v>
      </c>
      <c r="F197" s="6" t="s">
        <v>743</v>
      </c>
      <c r="G197" s="6" t="s">
        <v>744</v>
      </c>
      <c r="H197" s="6" t="s">
        <v>745</v>
      </c>
      <c r="I197" s="6" t="s">
        <v>733</v>
      </c>
      <c r="J197" s="6" t="s">
        <v>114</v>
      </c>
      <c r="K197" s="6" t="s">
        <v>114</v>
      </c>
      <c r="L197" s="6" t="s">
        <v>114</v>
      </c>
      <c r="M197" s="6" t="s">
        <v>114</v>
      </c>
    </row>
    <row r="198" spans="1:13" x14ac:dyDescent="0.25">
      <c r="A198" s="1" t="s">
        <v>52</v>
      </c>
      <c r="B198" s="6" t="s">
        <v>746</v>
      </c>
      <c r="C198" s="6" t="s">
        <v>747</v>
      </c>
      <c r="D198" s="6" t="s">
        <v>748</v>
      </c>
      <c r="E198" s="6" t="s">
        <v>749</v>
      </c>
      <c r="F198" s="6" t="s">
        <v>750</v>
      </c>
      <c r="G198" s="6" t="s">
        <v>751</v>
      </c>
      <c r="H198" s="6" t="s">
        <v>752</v>
      </c>
      <c r="I198" s="6" t="s">
        <v>753</v>
      </c>
      <c r="J198" s="6" t="s">
        <v>114</v>
      </c>
      <c r="K198" s="6" t="s">
        <v>114</v>
      </c>
      <c r="L198" s="6" t="s">
        <v>114</v>
      </c>
      <c r="M198" s="6" t="s">
        <v>114</v>
      </c>
    </row>
    <row r="199" spans="1:13" x14ac:dyDescent="0.25">
      <c r="A199" s="1" t="s">
        <v>63</v>
      </c>
      <c r="B199" s="6" t="s">
        <v>754</v>
      </c>
      <c r="C199" s="6" t="s">
        <v>755</v>
      </c>
      <c r="D199" s="6" t="s">
        <v>756</v>
      </c>
      <c r="E199" s="6" t="s">
        <v>757</v>
      </c>
      <c r="F199" s="6" t="s">
        <v>758</v>
      </c>
      <c r="G199" s="6" t="s">
        <v>759</v>
      </c>
      <c r="H199" s="6" t="s">
        <v>760</v>
      </c>
      <c r="I199" s="6" t="s">
        <v>761</v>
      </c>
      <c r="J199" s="6" t="s">
        <v>114</v>
      </c>
      <c r="K199" s="6" t="s">
        <v>114</v>
      </c>
      <c r="L199" s="6" t="s">
        <v>114</v>
      </c>
      <c r="M199" s="6" t="s">
        <v>114</v>
      </c>
    </row>
    <row r="200" spans="1:13" x14ac:dyDescent="0.25">
      <c r="A200" s="1" t="s">
        <v>74</v>
      </c>
      <c r="B200" s="7">
        <v>3068.3453599999998</v>
      </c>
      <c r="C200" s="7">
        <v>7032.1359499999999</v>
      </c>
      <c r="D200" s="7">
        <v>1921.5530200000001</v>
      </c>
      <c r="E200" s="7">
        <v>4188.9535100000003</v>
      </c>
      <c r="F200" s="7">
        <v>6006.3426600000003</v>
      </c>
      <c r="G200" s="7">
        <v>10552.248670000001</v>
      </c>
      <c r="H200" s="7">
        <v>11276.096460000001</v>
      </c>
      <c r="I200" s="7">
        <v>9627.2203800000007</v>
      </c>
      <c r="J200" s="6" t="s">
        <v>114</v>
      </c>
      <c r="K200" s="6" t="s">
        <v>114</v>
      </c>
      <c r="L200" s="6" t="s">
        <v>114</v>
      </c>
      <c r="M200" s="6" t="s">
        <v>114</v>
      </c>
    </row>
    <row r="201" spans="1:13" x14ac:dyDescent="0.25">
      <c r="A201" s="1" t="s">
        <v>75</v>
      </c>
      <c r="B201" s="6" t="s">
        <v>544</v>
      </c>
      <c r="C201" s="6" t="s">
        <v>762</v>
      </c>
      <c r="D201" s="6" t="s">
        <v>762</v>
      </c>
      <c r="E201" s="6" t="s">
        <v>763</v>
      </c>
      <c r="F201" s="6" t="s">
        <v>764</v>
      </c>
      <c r="G201" s="6" t="s">
        <v>765</v>
      </c>
      <c r="H201" s="6" t="s">
        <v>543</v>
      </c>
      <c r="I201" s="6" t="s">
        <v>766</v>
      </c>
      <c r="J201" s="6" t="s">
        <v>114</v>
      </c>
      <c r="K201" s="6" t="s">
        <v>114</v>
      </c>
      <c r="L201" s="6" t="s">
        <v>114</v>
      </c>
      <c r="M201" s="6" t="s">
        <v>114</v>
      </c>
    </row>
    <row r="202" spans="1:13" x14ac:dyDescent="0.25">
      <c r="A202" s="1" t="s">
        <v>86</v>
      </c>
      <c r="B202" s="6" t="s">
        <v>87</v>
      </c>
      <c r="C202" s="6" t="s">
        <v>87</v>
      </c>
      <c r="D202" s="6" t="s">
        <v>87</v>
      </c>
      <c r="E202" s="6" t="s">
        <v>87</v>
      </c>
      <c r="F202" s="6" t="s">
        <v>87</v>
      </c>
      <c r="G202" s="6" t="s">
        <v>87</v>
      </c>
      <c r="H202" s="6" t="s">
        <v>87</v>
      </c>
      <c r="I202" s="6" t="s">
        <v>87</v>
      </c>
      <c r="J202" s="6" t="s">
        <v>114</v>
      </c>
      <c r="K202" s="6" t="s">
        <v>114</v>
      </c>
      <c r="L202" s="6" t="s">
        <v>114</v>
      </c>
      <c r="M202" s="6" t="s">
        <v>114</v>
      </c>
    </row>
    <row r="203" spans="1:13" x14ac:dyDescent="0.25">
      <c r="A203" s="1" t="s">
        <v>767</v>
      </c>
      <c r="B203" s="6" t="s">
        <v>768</v>
      </c>
      <c r="C203" s="6" t="s">
        <v>769</v>
      </c>
      <c r="D203" s="6" t="s">
        <v>770</v>
      </c>
      <c r="E203" s="6" t="s">
        <v>771</v>
      </c>
      <c r="F203" s="6" t="s">
        <v>772</v>
      </c>
      <c r="G203" s="6" t="s">
        <v>773</v>
      </c>
      <c r="H203" s="6" t="s">
        <v>774</v>
      </c>
      <c r="I203" s="6" t="s">
        <v>775</v>
      </c>
      <c r="J203" s="6" t="s">
        <v>776</v>
      </c>
      <c r="K203" s="6" t="s">
        <v>777</v>
      </c>
      <c r="L203" s="6" t="s">
        <v>778</v>
      </c>
      <c r="M203" s="6" t="s">
        <v>779</v>
      </c>
    </row>
    <row r="204" spans="1:13" x14ac:dyDescent="0.25">
      <c r="A204" s="1" t="s">
        <v>39</v>
      </c>
      <c r="B204" s="6" t="s">
        <v>768</v>
      </c>
      <c r="C204" s="6" t="s">
        <v>769</v>
      </c>
      <c r="D204" s="6" t="s">
        <v>770</v>
      </c>
      <c r="E204" s="6" t="s">
        <v>771</v>
      </c>
      <c r="F204" s="6" t="s">
        <v>772</v>
      </c>
      <c r="G204" s="6" t="s">
        <v>773</v>
      </c>
      <c r="H204" s="6" t="s">
        <v>774</v>
      </c>
      <c r="I204" s="6" t="s">
        <v>775</v>
      </c>
      <c r="J204" s="6" t="s">
        <v>776</v>
      </c>
      <c r="K204" s="6" t="s">
        <v>777</v>
      </c>
      <c r="L204" s="6" t="s">
        <v>778</v>
      </c>
      <c r="M204" s="6" t="s">
        <v>779</v>
      </c>
    </row>
    <row r="205" spans="1:13" x14ac:dyDescent="0.25">
      <c r="A205" s="1" t="s">
        <v>40</v>
      </c>
      <c r="B205" s="6" t="s">
        <v>768</v>
      </c>
      <c r="C205" s="6" t="s">
        <v>769</v>
      </c>
      <c r="D205" s="6" t="s">
        <v>770</v>
      </c>
      <c r="E205" s="6" t="s">
        <v>771</v>
      </c>
      <c r="F205" s="6" t="s">
        <v>772</v>
      </c>
      <c r="G205" s="6" t="s">
        <v>773</v>
      </c>
      <c r="H205" s="6" t="s">
        <v>774</v>
      </c>
      <c r="I205" s="6" t="s">
        <v>775</v>
      </c>
      <c r="J205" s="6" t="s">
        <v>776</v>
      </c>
      <c r="K205" s="6" t="s">
        <v>777</v>
      </c>
      <c r="L205" s="6" t="s">
        <v>778</v>
      </c>
      <c r="M205" s="6" t="s">
        <v>779</v>
      </c>
    </row>
    <row r="206" spans="1:13" x14ac:dyDescent="0.25">
      <c r="A206" s="1" t="s">
        <v>46</v>
      </c>
      <c r="B206" s="6" t="s">
        <v>780</v>
      </c>
      <c r="C206" s="6" t="s">
        <v>781</v>
      </c>
      <c r="D206" s="6" t="s">
        <v>782</v>
      </c>
      <c r="E206" s="6" t="s">
        <v>783</v>
      </c>
      <c r="F206" s="6" t="s">
        <v>784</v>
      </c>
      <c r="G206" s="6" t="s">
        <v>785</v>
      </c>
      <c r="H206" s="6" t="s">
        <v>786</v>
      </c>
      <c r="I206" s="6" t="s">
        <v>787</v>
      </c>
      <c r="J206" s="6" t="s">
        <v>776</v>
      </c>
      <c r="K206" s="6" t="s">
        <v>777</v>
      </c>
      <c r="L206" s="6" t="s">
        <v>778</v>
      </c>
      <c r="M206" s="6" t="s">
        <v>779</v>
      </c>
    </row>
    <row r="207" spans="1:13" x14ac:dyDescent="0.25">
      <c r="A207" s="1" t="s">
        <v>52</v>
      </c>
      <c r="B207" s="6" t="s">
        <v>788</v>
      </c>
      <c r="C207" s="6" t="s">
        <v>789</v>
      </c>
      <c r="D207" s="6" t="s">
        <v>790</v>
      </c>
      <c r="E207" s="6" t="s">
        <v>791</v>
      </c>
      <c r="F207" s="6" t="s">
        <v>792</v>
      </c>
      <c r="G207" s="6" t="s">
        <v>793</v>
      </c>
      <c r="H207" s="6" t="s">
        <v>794</v>
      </c>
      <c r="I207" s="6" t="s">
        <v>795</v>
      </c>
      <c r="J207" s="6" t="s">
        <v>796</v>
      </c>
      <c r="K207" s="6" t="s">
        <v>797</v>
      </c>
      <c r="L207" s="6" t="s">
        <v>778</v>
      </c>
      <c r="M207" s="6" t="s">
        <v>779</v>
      </c>
    </row>
    <row r="208" spans="1:13" x14ac:dyDescent="0.25">
      <c r="A208" s="1" t="s">
        <v>63</v>
      </c>
      <c r="B208" s="6" t="s">
        <v>798</v>
      </c>
      <c r="C208" s="6" t="s">
        <v>799</v>
      </c>
      <c r="D208" s="6" t="s">
        <v>800</v>
      </c>
      <c r="E208" s="6" t="s">
        <v>801</v>
      </c>
      <c r="F208" s="6" t="s">
        <v>802</v>
      </c>
      <c r="G208" s="6" t="s">
        <v>803</v>
      </c>
      <c r="H208" s="6" t="s">
        <v>804</v>
      </c>
      <c r="I208" s="6" t="s">
        <v>805</v>
      </c>
      <c r="J208" s="6" t="s">
        <v>806</v>
      </c>
      <c r="K208" s="6" t="s">
        <v>807</v>
      </c>
      <c r="L208" s="6" t="s">
        <v>778</v>
      </c>
      <c r="M208" s="6" t="s">
        <v>779</v>
      </c>
    </row>
    <row r="209" spans="1:13" x14ac:dyDescent="0.25">
      <c r="A209" s="1" t="s">
        <v>74</v>
      </c>
      <c r="B209" s="7">
        <v>217584.90492999999</v>
      </c>
      <c r="C209" s="7">
        <v>130675.75930000001</v>
      </c>
      <c r="D209" s="7">
        <v>120873.2677</v>
      </c>
      <c r="E209" s="7">
        <v>59076.826220000003</v>
      </c>
      <c r="F209" s="7">
        <v>240160.82115</v>
      </c>
      <c r="G209" s="7">
        <v>119924.28775</v>
      </c>
      <c r="H209" s="7">
        <v>195926.50977999999</v>
      </c>
      <c r="I209" s="7">
        <v>279762.35343999998</v>
      </c>
      <c r="J209" s="7">
        <v>280499</v>
      </c>
      <c r="K209" s="7">
        <v>338895.5</v>
      </c>
      <c r="L209" s="7">
        <v>0</v>
      </c>
      <c r="M209" s="7">
        <v>0</v>
      </c>
    </row>
    <row r="210" spans="1:13" x14ac:dyDescent="0.25">
      <c r="A210" s="1" t="s">
        <v>75</v>
      </c>
      <c r="B210" s="6" t="s">
        <v>255</v>
      </c>
      <c r="C210" s="6" t="s">
        <v>254</v>
      </c>
      <c r="D210" s="6" t="s">
        <v>215</v>
      </c>
      <c r="E210" s="6" t="s">
        <v>215</v>
      </c>
      <c r="F210" s="6" t="s">
        <v>254</v>
      </c>
      <c r="G210" s="6" t="s">
        <v>254</v>
      </c>
      <c r="H210" s="6" t="s">
        <v>254</v>
      </c>
      <c r="I210" s="6" t="s">
        <v>254</v>
      </c>
      <c r="J210" s="6" t="s">
        <v>84</v>
      </c>
      <c r="K210" s="6" t="s">
        <v>84</v>
      </c>
      <c r="L210" s="6" t="s">
        <v>85</v>
      </c>
      <c r="M210" s="6" t="s">
        <v>85</v>
      </c>
    </row>
    <row r="211" spans="1:13" x14ac:dyDescent="0.25">
      <c r="A211" s="1" t="s">
        <v>86</v>
      </c>
      <c r="B211" s="6" t="s">
        <v>87</v>
      </c>
      <c r="C211" s="6" t="s">
        <v>87</v>
      </c>
      <c r="D211" s="6" t="s">
        <v>87</v>
      </c>
      <c r="E211" s="6" t="s">
        <v>87</v>
      </c>
      <c r="F211" s="6" t="s">
        <v>87</v>
      </c>
      <c r="G211" s="6" t="s">
        <v>87</v>
      </c>
      <c r="H211" s="6" t="s">
        <v>87</v>
      </c>
      <c r="I211" s="6" t="s">
        <v>87</v>
      </c>
      <c r="J211" s="6" t="s">
        <v>87</v>
      </c>
      <c r="K211" s="6" t="s">
        <v>87</v>
      </c>
      <c r="L211" s="6" t="s">
        <v>87</v>
      </c>
      <c r="M211" s="6" t="s">
        <v>87</v>
      </c>
    </row>
    <row r="212" spans="1:13" ht="30" x14ac:dyDescent="0.25">
      <c r="A212" s="1" t="s">
        <v>808</v>
      </c>
      <c r="B212" s="6" t="s">
        <v>809</v>
      </c>
      <c r="C212" s="6" t="s">
        <v>810</v>
      </c>
      <c r="D212" s="6" t="s">
        <v>811</v>
      </c>
      <c r="E212" s="6" t="s">
        <v>812</v>
      </c>
      <c r="F212" s="6" t="s">
        <v>813</v>
      </c>
      <c r="G212" s="6" t="s">
        <v>814</v>
      </c>
      <c r="H212" s="6" t="s">
        <v>815</v>
      </c>
      <c r="I212" s="6" t="s">
        <v>816</v>
      </c>
      <c r="J212" s="6" t="s">
        <v>817</v>
      </c>
      <c r="K212" s="6" t="s">
        <v>818</v>
      </c>
      <c r="L212" s="6" t="s">
        <v>819</v>
      </c>
      <c r="M212" s="6" t="s">
        <v>820</v>
      </c>
    </row>
    <row r="213" spans="1:13" x14ac:dyDescent="0.25">
      <c r="A213" s="1" t="s">
        <v>39</v>
      </c>
      <c r="B213" s="6" t="s">
        <v>809</v>
      </c>
      <c r="C213" s="6" t="s">
        <v>810</v>
      </c>
      <c r="D213" s="6" t="s">
        <v>811</v>
      </c>
      <c r="E213" s="6" t="s">
        <v>812</v>
      </c>
      <c r="F213" s="6" t="s">
        <v>813</v>
      </c>
      <c r="G213" s="6" t="s">
        <v>814</v>
      </c>
      <c r="H213" s="6" t="s">
        <v>815</v>
      </c>
      <c r="I213" s="6" t="s">
        <v>816</v>
      </c>
      <c r="J213" s="6" t="s">
        <v>817</v>
      </c>
      <c r="K213" s="6" t="s">
        <v>818</v>
      </c>
      <c r="L213" s="6" t="s">
        <v>819</v>
      </c>
      <c r="M213" s="6" t="s">
        <v>820</v>
      </c>
    </row>
    <row r="214" spans="1:13" x14ac:dyDescent="0.25">
      <c r="A214" s="1" t="s">
        <v>40</v>
      </c>
      <c r="B214" s="6" t="s">
        <v>821</v>
      </c>
      <c r="C214" s="6" t="s">
        <v>822</v>
      </c>
      <c r="D214" s="6" t="s">
        <v>823</v>
      </c>
      <c r="E214" s="6" t="s">
        <v>824</v>
      </c>
      <c r="F214" s="6" t="s">
        <v>825</v>
      </c>
      <c r="G214" s="6" t="s">
        <v>814</v>
      </c>
      <c r="H214" s="6" t="s">
        <v>815</v>
      </c>
      <c r="I214" s="6" t="s">
        <v>816</v>
      </c>
      <c r="J214" s="6" t="s">
        <v>817</v>
      </c>
      <c r="K214" s="6" t="s">
        <v>818</v>
      </c>
      <c r="L214" s="6" t="s">
        <v>819</v>
      </c>
      <c r="M214" s="6" t="s">
        <v>820</v>
      </c>
    </row>
    <row r="215" spans="1:13" x14ac:dyDescent="0.25">
      <c r="A215" s="1" t="s">
        <v>46</v>
      </c>
      <c r="B215" s="6" t="s">
        <v>826</v>
      </c>
      <c r="C215" s="6" t="s">
        <v>827</v>
      </c>
      <c r="D215" s="6" t="s">
        <v>828</v>
      </c>
      <c r="E215" s="6" t="s">
        <v>829</v>
      </c>
      <c r="F215" s="6" t="s">
        <v>830</v>
      </c>
      <c r="G215" s="6" t="s">
        <v>831</v>
      </c>
      <c r="H215" s="6" t="s">
        <v>832</v>
      </c>
      <c r="I215" s="6" t="s">
        <v>833</v>
      </c>
      <c r="J215" s="6" t="s">
        <v>817</v>
      </c>
      <c r="K215" s="6" t="s">
        <v>818</v>
      </c>
      <c r="L215" s="6" t="s">
        <v>819</v>
      </c>
      <c r="M215" s="6" t="s">
        <v>820</v>
      </c>
    </row>
    <row r="216" spans="1:13" x14ac:dyDescent="0.25">
      <c r="A216" s="1" t="s">
        <v>52</v>
      </c>
      <c r="B216" s="6" t="s">
        <v>834</v>
      </c>
      <c r="C216" s="6" t="s">
        <v>835</v>
      </c>
      <c r="D216" s="6" t="s">
        <v>836</v>
      </c>
      <c r="E216" s="6" t="s">
        <v>837</v>
      </c>
      <c r="F216" s="6" t="s">
        <v>838</v>
      </c>
      <c r="G216" s="6" t="s">
        <v>839</v>
      </c>
      <c r="H216" s="6" t="s">
        <v>840</v>
      </c>
      <c r="I216" s="6" t="s">
        <v>841</v>
      </c>
      <c r="J216" s="6" t="s">
        <v>842</v>
      </c>
      <c r="K216" s="6" t="s">
        <v>843</v>
      </c>
      <c r="L216" s="6" t="s">
        <v>819</v>
      </c>
      <c r="M216" s="6" t="s">
        <v>820</v>
      </c>
    </row>
    <row r="217" spans="1:13" x14ac:dyDescent="0.25">
      <c r="A217" s="1" t="s">
        <v>63</v>
      </c>
      <c r="B217" s="6" t="s">
        <v>844</v>
      </c>
      <c r="C217" s="6" t="s">
        <v>845</v>
      </c>
      <c r="D217" s="6" t="s">
        <v>846</v>
      </c>
      <c r="E217" s="6" t="s">
        <v>847</v>
      </c>
      <c r="F217" s="6" t="s">
        <v>848</v>
      </c>
      <c r="G217" s="6" t="s">
        <v>849</v>
      </c>
      <c r="H217" s="6" t="s">
        <v>850</v>
      </c>
      <c r="I217" s="6" t="s">
        <v>851</v>
      </c>
      <c r="J217" s="6" t="s">
        <v>852</v>
      </c>
      <c r="K217" s="6" t="s">
        <v>853</v>
      </c>
      <c r="L217" s="6" t="s">
        <v>819</v>
      </c>
      <c r="M217" s="6" t="s">
        <v>820</v>
      </c>
    </row>
    <row r="218" spans="1:13" x14ac:dyDescent="0.25">
      <c r="A218" s="1" t="s">
        <v>74</v>
      </c>
      <c r="B218" s="7">
        <v>316.00601</v>
      </c>
      <c r="C218" s="7">
        <v>943.02128000000005</v>
      </c>
      <c r="D218" s="7">
        <v>988.36803999999995</v>
      </c>
      <c r="E218" s="7">
        <v>569.32608000000005</v>
      </c>
      <c r="F218" s="7">
        <v>486.53345999999999</v>
      </c>
      <c r="G218" s="7">
        <v>706.16673000000003</v>
      </c>
      <c r="H218" s="7">
        <v>888.68574999999998</v>
      </c>
      <c r="I218" s="7">
        <v>1284.76134</v>
      </c>
      <c r="J218" s="7">
        <v>572</v>
      </c>
      <c r="K218" s="7">
        <v>1303</v>
      </c>
      <c r="L218" s="7">
        <v>0</v>
      </c>
      <c r="M218" s="7">
        <v>0</v>
      </c>
    </row>
    <row r="219" spans="1:13" x14ac:dyDescent="0.25">
      <c r="A219" s="1" t="s">
        <v>75</v>
      </c>
      <c r="B219" s="6" t="s">
        <v>156</v>
      </c>
      <c r="C219" s="6" t="s">
        <v>594</v>
      </c>
      <c r="D219" s="6" t="s">
        <v>854</v>
      </c>
      <c r="E219" s="6" t="s">
        <v>160</v>
      </c>
      <c r="F219" s="6" t="s">
        <v>371</v>
      </c>
      <c r="G219" s="6" t="s">
        <v>645</v>
      </c>
      <c r="H219" s="6" t="s">
        <v>855</v>
      </c>
      <c r="I219" s="6" t="s">
        <v>161</v>
      </c>
      <c r="J219" s="6" t="s">
        <v>84</v>
      </c>
      <c r="K219" s="6" t="s">
        <v>84</v>
      </c>
      <c r="L219" s="6" t="s">
        <v>85</v>
      </c>
      <c r="M219" s="6" t="s">
        <v>85</v>
      </c>
    </row>
    <row r="220" spans="1:13" x14ac:dyDescent="0.25">
      <c r="A220" s="1" t="s">
        <v>86</v>
      </c>
      <c r="B220" s="6" t="s">
        <v>87</v>
      </c>
      <c r="C220" s="6" t="s">
        <v>87</v>
      </c>
      <c r="D220" s="6" t="s">
        <v>87</v>
      </c>
      <c r="E220" s="6" t="s">
        <v>87</v>
      </c>
      <c r="F220" s="6" t="s">
        <v>87</v>
      </c>
      <c r="G220" s="6" t="s">
        <v>87</v>
      </c>
      <c r="H220" s="6" t="s">
        <v>87</v>
      </c>
      <c r="I220" s="6" t="s">
        <v>87</v>
      </c>
      <c r="J220" s="6" t="s">
        <v>87</v>
      </c>
      <c r="K220" s="6" t="s">
        <v>87</v>
      </c>
      <c r="L220" s="6" t="s">
        <v>87</v>
      </c>
      <c r="M220" s="6" t="s">
        <v>87</v>
      </c>
    </row>
    <row r="221" spans="1:13" x14ac:dyDescent="0.25">
      <c r="A221" s="1" t="s">
        <v>856</v>
      </c>
      <c r="B221" s="6" t="s">
        <v>857</v>
      </c>
      <c r="C221" s="6" t="s">
        <v>858</v>
      </c>
      <c r="D221" s="6" t="s">
        <v>859</v>
      </c>
      <c r="E221" s="6" t="s">
        <v>860</v>
      </c>
      <c r="F221" s="6" t="s">
        <v>861</v>
      </c>
      <c r="G221" s="6" t="s">
        <v>862</v>
      </c>
      <c r="H221" s="6" t="s">
        <v>863</v>
      </c>
      <c r="I221" s="6" t="s">
        <v>864</v>
      </c>
      <c r="J221" s="6" t="s">
        <v>865</v>
      </c>
      <c r="K221" s="6" t="s">
        <v>866</v>
      </c>
      <c r="L221" s="6" t="s">
        <v>867</v>
      </c>
      <c r="M221" s="6" t="s">
        <v>868</v>
      </c>
    </row>
    <row r="222" spans="1:13" x14ac:dyDescent="0.25">
      <c r="A222" s="1" t="s">
        <v>39</v>
      </c>
      <c r="B222" s="6" t="s">
        <v>857</v>
      </c>
      <c r="C222" s="6" t="s">
        <v>858</v>
      </c>
      <c r="D222" s="6" t="s">
        <v>859</v>
      </c>
      <c r="E222" s="6" t="s">
        <v>860</v>
      </c>
      <c r="F222" s="6" t="s">
        <v>861</v>
      </c>
      <c r="G222" s="6" t="s">
        <v>862</v>
      </c>
      <c r="H222" s="6" t="s">
        <v>863</v>
      </c>
      <c r="I222" s="6" t="s">
        <v>864</v>
      </c>
      <c r="J222" s="6" t="s">
        <v>865</v>
      </c>
      <c r="K222" s="6" t="s">
        <v>866</v>
      </c>
      <c r="L222" s="6" t="s">
        <v>867</v>
      </c>
      <c r="M222" s="6" t="s">
        <v>868</v>
      </c>
    </row>
    <row r="223" spans="1:13" x14ac:dyDescent="0.25">
      <c r="A223" s="1" t="s">
        <v>40</v>
      </c>
      <c r="B223" s="6" t="s">
        <v>869</v>
      </c>
      <c r="C223" s="6" t="s">
        <v>870</v>
      </c>
      <c r="D223" s="6" t="s">
        <v>871</v>
      </c>
      <c r="E223" s="6" t="s">
        <v>872</v>
      </c>
      <c r="F223" s="6" t="s">
        <v>873</v>
      </c>
      <c r="G223" s="6" t="s">
        <v>862</v>
      </c>
      <c r="H223" s="6" t="s">
        <v>863</v>
      </c>
      <c r="I223" s="6" t="s">
        <v>864</v>
      </c>
      <c r="J223" s="6" t="s">
        <v>865</v>
      </c>
      <c r="K223" s="6" t="s">
        <v>866</v>
      </c>
      <c r="L223" s="6" t="s">
        <v>867</v>
      </c>
      <c r="M223" s="6" t="s">
        <v>868</v>
      </c>
    </row>
    <row r="224" spans="1:13" x14ac:dyDescent="0.25">
      <c r="A224" s="1" t="s">
        <v>46</v>
      </c>
      <c r="B224" s="6" t="s">
        <v>874</v>
      </c>
      <c r="C224" s="6" t="s">
        <v>875</v>
      </c>
      <c r="D224" s="6" t="s">
        <v>876</v>
      </c>
      <c r="E224" s="6" t="s">
        <v>877</v>
      </c>
      <c r="F224" s="6" t="s">
        <v>878</v>
      </c>
      <c r="G224" s="6" t="s">
        <v>879</v>
      </c>
      <c r="H224" s="6" t="s">
        <v>880</v>
      </c>
      <c r="I224" s="6" t="s">
        <v>881</v>
      </c>
      <c r="J224" s="6" t="s">
        <v>865</v>
      </c>
      <c r="K224" s="6" t="s">
        <v>866</v>
      </c>
      <c r="L224" s="6" t="s">
        <v>867</v>
      </c>
      <c r="M224" s="6" t="s">
        <v>868</v>
      </c>
    </row>
    <row r="225" spans="1:13" x14ac:dyDescent="0.25">
      <c r="A225" s="1" t="s">
        <v>52</v>
      </c>
      <c r="B225" s="6" t="s">
        <v>882</v>
      </c>
      <c r="C225" s="6" t="s">
        <v>883</v>
      </c>
      <c r="D225" s="6" t="s">
        <v>884</v>
      </c>
      <c r="E225" s="6" t="s">
        <v>885</v>
      </c>
      <c r="F225" s="6" t="s">
        <v>886</v>
      </c>
      <c r="G225" s="6" t="s">
        <v>887</v>
      </c>
      <c r="H225" s="6" t="s">
        <v>888</v>
      </c>
      <c r="I225" s="6" t="s">
        <v>889</v>
      </c>
      <c r="J225" s="6" t="s">
        <v>890</v>
      </c>
      <c r="K225" s="6" t="s">
        <v>891</v>
      </c>
      <c r="L225" s="6" t="s">
        <v>867</v>
      </c>
      <c r="M225" s="6" t="s">
        <v>868</v>
      </c>
    </row>
    <row r="226" spans="1:13" x14ac:dyDescent="0.25">
      <c r="A226" s="1" t="s">
        <v>63</v>
      </c>
      <c r="B226" s="6" t="s">
        <v>892</v>
      </c>
      <c r="C226" s="6" t="s">
        <v>893</v>
      </c>
      <c r="D226" s="6" t="s">
        <v>894</v>
      </c>
      <c r="E226" s="6" t="s">
        <v>895</v>
      </c>
      <c r="F226" s="6" t="s">
        <v>896</v>
      </c>
      <c r="G226" s="6" t="s">
        <v>897</v>
      </c>
      <c r="H226" s="6" t="s">
        <v>898</v>
      </c>
      <c r="I226" s="6" t="s">
        <v>899</v>
      </c>
      <c r="J226" s="6" t="s">
        <v>900</v>
      </c>
      <c r="K226" s="6" t="s">
        <v>901</v>
      </c>
      <c r="L226" s="6" t="s">
        <v>867</v>
      </c>
      <c r="M226" s="6" t="s">
        <v>868</v>
      </c>
    </row>
    <row r="227" spans="1:13" x14ac:dyDescent="0.25">
      <c r="A227" s="1" t="s">
        <v>74</v>
      </c>
      <c r="B227" s="7">
        <v>9586.6171699999995</v>
      </c>
      <c r="C227" s="7">
        <v>9260.0641599999999</v>
      </c>
      <c r="D227" s="7">
        <v>7531.88256</v>
      </c>
      <c r="E227" s="7">
        <v>7504.3615600000003</v>
      </c>
      <c r="F227" s="7">
        <v>8129.9378999999999</v>
      </c>
      <c r="G227" s="7">
        <v>14991.423339999999</v>
      </c>
      <c r="H227" s="7">
        <v>13025.397870000001</v>
      </c>
      <c r="I227" s="7">
        <v>20413.775829999999</v>
      </c>
      <c r="J227" s="7">
        <v>13717</v>
      </c>
      <c r="K227" s="7">
        <v>4090</v>
      </c>
      <c r="L227" s="7">
        <v>0</v>
      </c>
      <c r="M227" s="7">
        <v>0</v>
      </c>
    </row>
    <row r="228" spans="1:13" x14ac:dyDescent="0.25">
      <c r="A228" s="1" t="s">
        <v>75</v>
      </c>
      <c r="B228" s="6" t="s">
        <v>594</v>
      </c>
      <c r="C228" s="6" t="s">
        <v>594</v>
      </c>
      <c r="D228" s="6" t="s">
        <v>83</v>
      </c>
      <c r="E228" s="6" t="s">
        <v>902</v>
      </c>
      <c r="F228" s="6" t="s">
        <v>854</v>
      </c>
      <c r="G228" s="6" t="s">
        <v>371</v>
      </c>
      <c r="H228" s="6" t="s">
        <v>371</v>
      </c>
      <c r="I228" s="6" t="s">
        <v>217</v>
      </c>
      <c r="J228" s="6" t="s">
        <v>84</v>
      </c>
      <c r="K228" s="6" t="s">
        <v>84</v>
      </c>
      <c r="L228" s="6" t="s">
        <v>85</v>
      </c>
      <c r="M228" s="6" t="s">
        <v>85</v>
      </c>
    </row>
    <row r="229" spans="1:13" x14ac:dyDescent="0.25">
      <c r="A229" s="1" t="s">
        <v>86</v>
      </c>
      <c r="B229" s="6" t="s">
        <v>87</v>
      </c>
      <c r="C229" s="6" t="s">
        <v>87</v>
      </c>
      <c r="D229" s="6" t="s">
        <v>87</v>
      </c>
      <c r="E229" s="6" t="s">
        <v>87</v>
      </c>
      <c r="F229" s="6" t="s">
        <v>87</v>
      </c>
      <c r="G229" s="6" t="s">
        <v>87</v>
      </c>
      <c r="H229" s="6" t="s">
        <v>87</v>
      </c>
      <c r="I229" s="6" t="s">
        <v>87</v>
      </c>
      <c r="J229" s="6" t="s">
        <v>87</v>
      </c>
      <c r="K229" s="6" t="s">
        <v>87</v>
      </c>
      <c r="L229" s="6" t="s">
        <v>87</v>
      </c>
      <c r="M229" s="6" t="s">
        <v>87</v>
      </c>
    </row>
    <row r="230" spans="1:13" x14ac:dyDescent="0.25">
      <c r="A230" s="1" t="s">
        <v>903</v>
      </c>
      <c r="B230" s="6" t="s">
        <v>904</v>
      </c>
      <c r="C230" s="6" t="s">
        <v>905</v>
      </c>
      <c r="D230" s="6" t="s">
        <v>906</v>
      </c>
      <c r="E230" s="6" t="s">
        <v>907</v>
      </c>
      <c r="F230" s="6" t="s">
        <v>908</v>
      </c>
      <c r="G230" s="6" t="s">
        <v>909</v>
      </c>
      <c r="H230" s="6" t="s">
        <v>910</v>
      </c>
      <c r="I230" s="6" t="s">
        <v>911</v>
      </c>
      <c r="J230" s="6" t="s">
        <v>912</v>
      </c>
      <c r="K230" s="6" t="s">
        <v>913</v>
      </c>
      <c r="L230" s="6" t="s">
        <v>914</v>
      </c>
      <c r="M230" s="6" t="s">
        <v>915</v>
      </c>
    </row>
    <row r="231" spans="1:13" x14ac:dyDescent="0.25">
      <c r="A231" s="1" t="s">
        <v>39</v>
      </c>
      <c r="B231" s="6" t="s">
        <v>904</v>
      </c>
      <c r="C231" s="6" t="s">
        <v>905</v>
      </c>
      <c r="D231" s="6" t="s">
        <v>906</v>
      </c>
      <c r="E231" s="6" t="s">
        <v>907</v>
      </c>
      <c r="F231" s="6" t="s">
        <v>908</v>
      </c>
      <c r="G231" s="6" t="s">
        <v>909</v>
      </c>
      <c r="H231" s="6" t="s">
        <v>910</v>
      </c>
      <c r="I231" s="6" t="s">
        <v>911</v>
      </c>
      <c r="J231" s="6" t="s">
        <v>912</v>
      </c>
      <c r="K231" s="6" t="s">
        <v>913</v>
      </c>
      <c r="L231" s="6" t="s">
        <v>914</v>
      </c>
      <c r="M231" s="6" t="s">
        <v>915</v>
      </c>
    </row>
    <row r="232" spans="1:13" x14ac:dyDescent="0.25">
      <c r="A232" s="1" t="s">
        <v>40</v>
      </c>
      <c r="B232" s="6" t="s">
        <v>916</v>
      </c>
      <c r="C232" s="6" t="s">
        <v>917</v>
      </c>
      <c r="D232" s="6" t="s">
        <v>918</v>
      </c>
      <c r="E232" s="6" t="s">
        <v>919</v>
      </c>
      <c r="F232" s="6" t="s">
        <v>920</v>
      </c>
      <c r="G232" s="6" t="s">
        <v>909</v>
      </c>
      <c r="H232" s="6" t="s">
        <v>910</v>
      </c>
      <c r="I232" s="6" t="s">
        <v>911</v>
      </c>
      <c r="J232" s="6" t="s">
        <v>912</v>
      </c>
      <c r="K232" s="6" t="s">
        <v>913</v>
      </c>
      <c r="L232" s="6" t="s">
        <v>914</v>
      </c>
      <c r="M232" s="6" t="s">
        <v>915</v>
      </c>
    </row>
    <row r="233" spans="1:13" x14ac:dyDescent="0.25">
      <c r="A233" s="1" t="s">
        <v>46</v>
      </c>
      <c r="B233" s="6" t="s">
        <v>921</v>
      </c>
      <c r="C233" s="6" t="s">
        <v>922</v>
      </c>
      <c r="D233" s="6" t="s">
        <v>923</v>
      </c>
      <c r="E233" s="6" t="s">
        <v>924</v>
      </c>
      <c r="F233" s="6" t="s">
        <v>925</v>
      </c>
      <c r="G233" s="6" t="s">
        <v>926</v>
      </c>
      <c r="H233" s="6" t="s">
        <v>927</v>
      </c>
      <c r="I233" s="6" t="s">
        <v>928</v>
      </c>
      <c r="J233" s="6" t="s">
        <v>929</v>
      </c>
      <c r="K233" s="6" t="s">
        <v>930</v>
      </c>
      <c r="L233" s="6" t="s">
        <v>914</v>
      </c>
      <c r="M233" s="6" t="s">
        <v>915</v>
      </c>
    </row>
    <row r="234" spans="1:13" x14ac:dyDescent="0.25">
      <c r="A234" s="1" t="s">
        <v>52</v>
      </c>
      <c r="B234" s="6" t="s">
        <v>931</v>
      </c>
      <c r="C234" s="6" t="s">
        <v>932</v>
      </c>
      <c r="D234" s="6" t="s">
        <v>933</v>
      </c>
      <c r="E234" s="6" t="s">
        <v>934</v>
      </c>
      <c r="F234" s="6" t="s">
        <v>935</v>
      </c>
      <c r="G234" s="6" t="s">
        <v>936</v>
      </c>
      <c r="H234" s="6" t="s">
        <v>937</v>
      </c>
      <c r="I234" s="6" t="s">
        <v>938</v>
      </c>
      <c r="J234" s="6" t="s">
        <v>939</v>
      </c>
      <c r="K234" s="6" t="s">
        <v>940</v>
      </c>
      <c r="L234" s="6" t="s">
        <v>914</v>
      </c>
      <c r="M234" s="6" t="s">
        <v>915</v>
      </c>
    </row>
    <row r="235" spans="1:13" x14ac:dyDescent="0.25">
      <c r="A235" s="1" t="s">
        <v>63</v>
      </c>
      <c r="B235" s="6" t="s">
        <v>941</v>
      </c>
      <c r="C235" s="6" t="s">
        <v>942</v>
      </c>
      <c r="D235" s="6" t="s">
        <v>943</v>
      </c>
      <c r="E235" s="6" t="s">
        <v>944</v>
      </c>
      <c r="F235" s="6" t="s">
        <v>945</v>
      </c>
      <c r="G235" s="6" t="s">
        <v>946</v>
      </c>
      <c r="H235" s="6" t="s">
        <v>947</v>
      </c>
      <c r="I235" s="6" t="s">
        <v>948</v>
      </c>
      <c r="J235" s="6" t="s">
        <v>949</v>
      </c>
      <c r="K235" s="6" t="s">
        <v>950</v>
      </c>
      <c r="L235" s="6" t="s">
        <v>914</v>
      </c>
      <c r="M235" s="6" t="s">
        <v>915</v>
      </c>
    </row>
    <row r="236" spans="1:13" x14ac:dyDescent="0.25">
      <c r="A236" s="1" t="s">
        <v>74</v>
      </c>
      <c r="B236" s="7">
        <v>9933.5271100000009</v>
      </c>
      <c r="C236" s="7">
        <v>7336.6700199999996</v>
      </c>
      <c r="D236" s="7">
        <v>5235.6175000000003</v>
      </c>
      <c r="E236" s="7">
        <v>4948.9934499999999</v>
      </c>
      <c r="F236" s="7">
        <v>6599.3398299999999</v>
      </c>
      <c r="G236" s="7">
        <v>15806.160819999999</v>
      </c>
      <c r="H236" s="7">
        <v>12965.976860000001</v>
      </c>
      <c r="I236" s="7">
        <v>19377.93348</v>
      </c>
      <c r="J236" s="7">
        <v>10122.081679999999</v>
      </c>
      <c r="K236" s="7">
        <v>8675.0572699999993</v>
      </c>
      <c r="L236" s="7">
        <v>0</v>
      </c>
      <c r="M236" s="7">
        <v>0</v>
      </c>
    </row>
    <row r="237" spans="1:13" x14ac:dyDescent="0.25">
      <c r="A237" s="1" t="s">
        <v>75</v>
      </c>
      <c r="B237" s="6" t="s">
        <v>951</v>
      </c>
      <c r="C237" s="6" t="s">
        <v>952</v>
      </c>
      <c r="D237" s="6" t="s">
        <v>953</v>
      </c>
      <c r="E237" s="6" t="s">
        <v>451</v>
      </c>
      <c r="F237" s="6" t="s">
        <v>954</v>
      </c>
      <c r="G237" s="6" t="s">
        <v>902</v>
      </c>
      <c r="H237" s="6" t="s">
        <v>954</v>
      </c>
      <c r="I237" s="6" t="s">
        <v>955</v>
      </c>
      <c r="J237" s="6" t="s">
        <v>956</v>
      </c>
      <c r="K237" s="6" t="s">
        <v>956</v>
      </c>
      <c r="L237" s="6" t="s">
        <v>85</v>
      </c>
      <c r="M237" s="6" t="s">
        <v>85</v>
      </c>
    </row>
    <row r="238" spans="1:13" x14ac:dyDescent="0.25">
      <c r="A238" s="1" t="s">
        <v>86</v>
      </c>
      <c r="B238" s="6" t="s">
        <v>87</v>
      </c>
      <c r="C238" s="6" t="s">
        <v>87</v>
      </c>
      <c r="D238" s="6" t="s">
        <v>87</v>
      </c>
      <c r="E238" s="6" t="s">
        <v>87</v>
      </c>
      <c r="F238" s="6" t="s">
        <v>87</v>
      </c>
      <c r="G238" s="6" t="s">
        <v>87</v>
      </c>
      <c r="H238" s="6" t="s">
        <v>87</v>
      </c>
      <c r="I238" s="6" t="s">
        <v>87</v>
      </c>
      <c r="J238" s="6" t="s">
        <v>87</v>
      </c>
      <c r="K238" s="6" t="s">
        <v>87</v>
      </c>
      <c r="L238" s="6" t="s">
        <v>87</v>
      </c>
      <c r="M238" s="6" t="s">
        <v>87</v>
      </c>
    </row>
    <row r="239" spans="1:13" x14ac:dyDescent="0.25">
      <c r="A239" s="1" t="s">
        <v>957</v>
      </c>
      <c r="B239" s="6" t="s">
        <v>958</v>
      </c>
      <c r="C239" s="6" t="s">
        <v>959</v>
      </c>
      <c r="D239" s="6" t="s">
        <v>960</v>
      </c>
      <c r="E239" s="6" t="s">
        <v>961</v>
      </c>
      <c r="F239" s="6" t="s">
        <v>962</v>
      </c>
      <c r="G239" s="6" t="s">
        <v>963</v>
      </c>
      <c r="H239" s="6" t="s">
        <v>964</v>
      </c>
      <c r="I239" s="6" t="s">
        <v>965</v>
      </c>
      <c r="J239" s="6" t="s">
        <v>966</v>
      </c>
      <c r="K239" s="6" t="s">
        <v>967</v>
      </c>
      <c r="L239" s="6" t="s">
        <v>819</v>
      </c>
      <c r="M239" s="6" t="s">
        <v>820</v>
      </c>
    </row>
    <row r="240" spans="1:13" x14ac:dyDescent="0.25">
      <c r="A240" s="1" t="s">
        <v>39</v>
      </c>
      <c r="B240" s="6" t="s">
        <v>958</v>
      </c>
      <c r="C240" s="6" t="s">
        <v>959</v>
      </c>
      <c r="D240" s="6" t="s">
        <v>960</v>
      </c>
      <c r="E240" s="6" t="s">
        <v>961</v>
      </c>
      <c r="F240" s="6" t="s">
        <v>962</v>
      </c>
      <c r="G240" s="6" t="s">
        <v>963</v>
      </c>
      <c r="H240" s="6" t="s">
        <v>964</v>
      </c>
      <c r="I240" s="6" t="s">
        <v>965</v>
      </c>
      <c r="J240" s="6" t="s">
        <v>966</v>
      </c>
      <c r="K240" s="6" t="s">
        <v>967</v>
      </c>
      <c r="L240" s="6" t="s">
        <v>819</v>
      </c>
      <c r="M240" s="6" t="s">
        <v>820</v>
      </c>
    </row>
    <row r="241" spans="1:13" x14ac:dyDescent="0.25">
      <c r="A241" s="1" t="s">
        <v>40</v>
      </c>
      <c r="B241" s="6" t="s">
        <v>968</v>
      </c>
      <c r="C241" s="6" t="s">
        <v>969</v>
      </c>
      <c r="D241" s="6" t="s">
        <v>970</v>
      </c>
      <c r="E241" s="6" t="s">
        <v>971</v>
      </c>
      <c r="F241" s="6" t="s">
        <v>972</v>
      </c>
      <c r="G241" s="6" t="s">
        <v>963</v>
      </c>
      <c r="H241" s="6" t="s">
        <v>964</v>
      </c>
      <c r="I241" s="6" t="s">
        <v>965</v>
      </c>
      <c r="J241" s="6" t="s">
        <v>966</v>
      </c>
      <c r="K241" s="6" t="s">
        <v>967</v>
      </c>
      <c r="L241" s="6" t="s">
        <v>819</v>
      </c>
      <c r="M241" s="6" t="s">
        <v>820</v>
      </c>
    </row>
    <row r="242" spans="1:13" x14ac:dyDescent="0.25">
      <c r="A242" s="1" t="s">
        <v>46</v>
      </c>
      <c r="B242" s="6" t="s">
        <v>973</v>
      </c>
      <c r="C242" s="6" t="s">
        <v>974</v>
      </c>
      <c r="D242" s="6" t="s">
        <v>975</v>
      </c>
      <c r="E242" s="6" t="s">
        <v>976</v>
      </c>
      <c r="F242" s="6" t="s">
        <v>977</v>
      </c>
      <c r="G242" s="6" t="s">
        <v>978</v>
      </c>
      <c r="H242" s="6" t="s">
        <v>979</v>
      </c>
      <c r="I242" s="6" t="s">
        <v>980</v>
      </c>
      <c r="J242" s="6" t="s">
        <v>966</v>
      </c>
      <c r="K242" s="6" t="s">
        <v>967</v>
      </c>
      <c r="L242" s="6" t="s">
        <v>819</v>
      </c>
      <c r="M242" s="6" t="s">
        <v>820</v>
      </c>
    </row>
    <row r="243" spans="1:13" x14ac:dyDescent="0.25">
      <c r="A243" s="1" t="s">
        <v>52</v>
      </c>
      <c r="B243" s="6" t="s">
        <v>981</v>
      </c>
      <c r="C243" s="6" t="s">
        <v>982</v>
      </c>
      <c r="D243" s="6" t="s">
        <v>983</v>
      </c>
      <c r="E243" s="6" t="s">
        <v>984</v>
      </c>
      <c r="F243" s="6" t="s">
        <v>985</v>
      </c>
      <c r="G243" s="6" t="s">
        <v>986</v>
      </c>
      <c r="H243" s="6" t="s">
        <v>987</v>
      </c>
      <c r="I243" s="6" t="s">
        <v>988</v>
      </c>
      <c r="J243" s="6" t="s">
        <v>989</v>
      </c>
      <c r="K243" s="6" t="s">
        <v>990</v>
      </c>
      <c r="L243" s="6" t="s">
        <v>819</v>
      </c>
      <c r="M243" s="6" t="s">
        <v>820</v>
      </c>
    </row>
    <row r="244" spans="1:13" x14ac:dyDescent="0.25">
      <c r="A244" s="1" t="s">
        <v>63</v>
      </c>
      <c r="B244" s="6" t="s">
        <v>991</v>
      </c>
      <c r="C244" s="6" t="s">
        <v>992</v>
      </c>
      <c r="D244" s="6" t="s">
        <v>993</v>
      </c>
      <c r="E244" s="6" t="s">
        <v>994</v>
      </c>
      <c r="F244" s="6" t="s">
        <v>995</v>
      </c>
      <c r="G244" s="6" t="s">
        <v>996</v>
      </c>
      <c r="H244" s="6" t="s">
        <v>997</v>
      </c>
      <c r="I244" s="6" t="s">
        <v>998</v>
      </c>
      <c r="J244" s="6" t="s">
        <v>842</v>
      </c>
      <c r="K244" s="6" t="s">
        <v>843</v>
      </c>
      <c r="L244" s="6" t="s">
        <v>819</v>
      </c>
      <c r="M244" s="6" t="s">
        <v>820</v>
      </c>
    </row>
    <row r="245" spans="1:13" x14ac:dyDescent="0.25">
      <c r="A245" s="1" t="s">
        <v>74</v>
      </c>
      <c r="B245" s="7">
        <v>667.10590000000002</v>
      </c>
      <c r="C245" s="7">
        <v>1107.7827</v>
      </c>
      <c r="D245" s="7">
        <v>677.72334000000001</v>
      </c>
      <c r="E245" s="7">
        <v>435.39339999999999</v>
      </c>
      <c r="F245" s="7">
        <v>1141.90869</v>
      </c>
      <c r="G245" s="7">
        <v>1396.6009100000001</v>
      </c>
      <c r="H245" s="7">
        <v>2396.31792</v>
      </c>
      <c r="I245" s="7">
        <v>2721.67668</v>
      </c>
      <c r="J245" s="7">
        <v>2932</v>
      </c>
      <c r="K245" s="7">
        <v>2846</v>
      </c>
      <c r="L245" s="7">
        <v>0</v>
      </c>
      <c r="M245" s="7">
        <v>0</v>
      </c>
    </row>
    <row r="246" spans="1:13" x14ac:dyDescent="0.25">
      <c r="A246" s="1" t="s">
        <v>75</v>
      </c>
      <c r="B246" s="6" t="s">
        <v>999</v>
      </c>
      <c r="C246" s="6" t="s">
        <v>284</v>
      </c>
      <c r="D246" s="6" t="s">
        <v>648</v>
      </c>
      <c r="E246" s="6" t="s">
        <v>283</v>
      </c>
      <c r="F246" s="6" t="s">
        <v>855</v>
      </c>
      <c r="G246" s="6" t="s">
        <v>1000</v>
      </c>
      <c r="H246" s="6" t="s">
        <v>452</v>
      </c>
      <c r="I246" s="6" t="s">
        <v>1001</v>
      </c>
      <c r="J246" s="6" t="s">
        <v>84</v>
      </c>
      <c r="K246" s="6" t="s">
        <v>84</v>
      </c>
      <c r="L246" s="6" t="s">
        <v>85</v>
      </c>
      <c r="M246" s="6" t="s">
        <v>85</v>
      </c>
    </row>
    <row r="247" spans="1:13" x14ac:dyDescent="0.25">
      <c r="A247" s="1" t="s">
        <v>86</v>
      </c>
      <c r="B247" s="6" t="s">
        <v>87</v>
      </c>
      <c r="C247" s="6" t="s">
        <v>87</v>
      </c>
      <c r="D247" s="6" t="s">
        <v>87</v>
      </c>
      <c r="E247" s="6" t="s">
        <v>87</v>
      </c>
      <c r="F247" s="6" t="s">
        <v>87</v>
      </c>
      <c r="G247" s="6" t="s">
        <v>87</v>
      </c>
      <c r="H247" s="6" t="s">
        <v>87</v>
      </c>
      <c r="I247" s="6" t="s">
        <v>87</v>
      </c>
      <c r="J247" s="6" t="s">
        <v>87</v>
      </c>
      <c r="K247" s="6" t="s">
        <v>87</v>
      </c>
      <c r="L247" s="6" t="s">
        <v>87</v>
      </c>
      <c r="M247" s="6" t="s">
        <v>87</v>
      </c>
    </row>
    <row r="248" spans="1:13" x14ac:dyDescent="0.25">
      <c r="A248" s="1" t="s">
        <v>1002</v>
      </c>
      <c r="B248" s="6" t="s">
        <v>1003</v>
      </c>
      <c r="C248" s="6" t="s">
        <v>1004</v>
      </c>
      <c r="D248" s="6" t="s">
        <v>1005</v>
      </c>
      <c r="E248" s="6" t="s">
        <v>1006</v>
      </c>
      <c r="F248" s="6" t="s">
        <v>1007</v>
      </c>
      <c r="G248" s="6" t="s">
        <v>1008</v>
      </c>
      <c r="H248" s="6" t="s">
        <v>1009</v>
      </c>
      <c r="I248" s="6" t="s">
        <v>1010</v>
      </c>
      <c r="J248" s="6" t="s">
        <v>1011</v>
      </c>
      <c r="K248" s="6" t="s">
        <v>1012</v>
      </c>
      <c r="L248" s="6" t="s">
        <v>1013</v>
      </c>
      <c r="M248" s="6" t="s">
        <v>1014</v>
      </c>
    </row>
    <row r="249" spans="1:13" x14ac:dyDescent="0.25">
      <c r="A249" s="1" t="s">
        <v>39</v>
      </c>
      <c r="B249" s="6" t="s">
        <v>1003</v>
      </c>
      <c r="C249" s="6" t="s">
        <v>1004</v>
      </c>
      <c r="D249" s="6" t="s">
        <v>1005</v>
      </c>
      <c r="E249" s="6" t="s">
        <v>1006</v>
      </c>
      <c r="F249" s="6" t="s">
        <v>1007</v>
      </c>
      <c r="G249" s="6" t="s">
        <v>1008</v>
      </c>
      <c r="H249" s="6" t="s">
        <v>1009</v>
      </c>
      <c r="I249" s="6" t="s">
        <v>1010</v>
      </c>
      <c r="J249" s="6" t="s">
        <v>1011</v>
      </c>
      <c r="K249" s="6" t="s">
        <v>1012</v>
      </c>
      <c r="L249" s="6" t="s">
        <v>1013</v>
      </c>
      <c r="M249" s="6" t="s">
        <v>1014</v>
      </c>
    </row>
    <row r="250" spans="1:13" x14ac:dyDescent="0.25">
      <c r="A250" s="1" t="s">
        <v>40</v>
      </c>
      <c r="B250" s="6" t="s">
        <v>1015</v>
      </c>
      <c r="C250" s="6" t="s">
        <v>1016</v>
      </c>
      <c r="D250" s="6" t="s">
        <v>1017</v>
      </c>
      <c r="E250" s="6" t="s">
        <v>1018</v>
      </c>
      <c r="F250" s="6" t="s">
        <v>1019</v>
      </c>
      <c r="G250" s="6" t="s">
        <v>1008</v>
      </c>
      <c r="H250" s="6" t="s">
        <v>1009</v>
      </c>
      <c r="I250" s="6" t="s">
        <v>1010</v>
      </c>
      <c r="J250" s="6" t="s">
        <v>1011</v>
      </c>
      <c r="K250" s="6" t="s">
        <v>1012</v>
      </c>
      <c r="L250" s="6" t="s">
        <v>1013</v>
      </c>
      <c r="M250" s="6" t="s">
        <v>1014</v>
      </c>
    </row>
    <row r="251" spans="1:13" x14ac:dyDescent="0.25">
      <c r="A251" s="1" t="s">
        <v>46</v>
      </c>
      <c r="B251" s="6" t="s">
        <v>1020</v>
      </c>
      <c r="C251" s="6" t="s">
        <v>1021</v>
      </c>
      <c r="D251" s="6" t="s">
        <v>1022</v>
      </c>
      <c r="E251" s="6" t="s">
        <v>1023</v>
      </c>
      <c r="F251" s="6" t="s">
        <v>1024</v>
      </c>
      <c r="G251" s="6" t="s">
        <v>1025</v>
      </c>
      <c r="H251" s="6" t="s">
        <v>1026</v>
      </c>
      <c r="I251" s="6" t="s">
        <v>1027</v>
      </c>
      <c r="J251" s="6" t="s">
        <v>1011</v>
      </c>
      <c r="K251" s="6" t="s">
        <v>1012</v>
      </c>
      <c r="L251" s="6" t="s">
        <v>1013</v>
      </c>
      <c r="M251" s="6" t="s">
        <v>1014</v>
      </c>
    </row>
    <row r="252" spans="1:13" x14ac:dyDescent="0.25">
      <c r="A252" s="1" t="s">
        <v>52</v>
      </c>
      <c r="B252" s="6" t="s">
        <v>1028</v>
      </c>
      <c r="C252" s="6" t="s">
        <v>1029</v>
      </c>
      <c r="D252" s="6" t="s">
        <v>1030</v>
      </c>
      <c r="E252" s="6" t="s">
        <v>1031</v>
      </c>
      <c r="F252" s="6" t="s">
        <v>1032</v>
      </c>
      <c r="G252" s="6" t="s">
        <v>1033</v>
      </c>
      <c r="H252" s="6" t="s">
        <v>1034</v>
      </c>
      <c r="I252" s="6" t="s">
        <v>1035</v>
      </c>
      <c r="J252" s="6" t="s">
        <v>1036</v>
      </c>
      <c r="K252" s="6" t="s">
        <v>1012</v>
      </c>
      <c r="L252" s="6" t="s">
        <v>1013</v>
      </c>
      <c r="M252" s="6" t="s">
        <v>1014</v>
      </c>
    </row>
    <row r="253" spans="1:13" x14ac:dyDescent="0.25">
      <c r="A253" s="1" t="s">
        <v>63</v>
      </c>
      <c r="B253" s="6" t="s">
        <v>1037</v>
      </c>
      <c r="C253" s="6" t="s">
        <v>1038</v>
      </c>
      <c r="D253" s="6" t="s">
        <v>1039</v>
      </c>
      <c r="E253" s="6" t="s">
        <v>1040</v>
      </c>
      <c r="F253" s="6" t="s">
        <v>1041</v>
      </c>
      <c r="G253" s="6" t="s">
        <v>1042</v>
      </c>
      <c r="H253" s="6" t="s">
        <v>1041</v>
      </c>
      <c r="I253" s="6" t="s">
        <v>1019</v>
      </c>
      <c r="J253" s="6" t="s">
        <v>1043</v>
      </c>
      <c r="K253" s="6" t="s">
        <v>1012</v>
      </c>
      <c r="L253" s="6" t="s">
        <v>1013</v>
      </c>
      <c r="M253" s="6" t="s">
        <v>1014</v>
      </c>
    </row>
    <row r="254" spans="1:13" x14ac:dyDescent="0.25">
      <c r="A254" s="1" t="s">
        <v>74</v>
      </c>
      <c r="B254" s="7">
        <v>0.14141000000000001</v>
      </c>
      <c r="C254" s="7">
        <v>0.53720999999999997</v>
      </c>
      <c r="D254" s="7">
        <v>0.41021000000000002</v>
      </c>
      <c r="E254" s="7">
        <v>0.15775</v>
      </c>
      <c r="F254" s="7">
        <v>0.22291</v>
      </c>
      <c r="G254" s="7">
        <v>0.13378999999999999</v>
      </c>
      <c r="H254" s="7">
        <v>0.63151000000000002</v>
      </c>
      <c r="I254" s="7">
        <v>0.73558000000000001</v>
      </c>
      <c r="J254" s="7">
        <v>0.2</v>
      </c>
      <c r="K254" s="7">
        <v>0</v>
      </c>
      <c r="L254" s="7">
        <v>0</v>
      </c>
      <c r="M254" s="7">
        <v>0</v>
      </c>
    </row>
    <row r="255" spans="1:13" x14ac:dyDescent="0.25">
      <c r="A255" s="1" t="s">
        <v>75</v>
      </c>
      <c r="B255" s="6" t="s">
        <v>1044</v>
      </c>
      <c r="C255" s="6" t="s">
        <v>610</v>
      </c>
      <c r="D255" s="6" t="s">
        <v>1045</v>
      </c>
      <c r="E255" s="6" t="s">
        <v>699</v>
      </c>
      <c r="F255" s="6" t="s">
        <v>1046</v>
      </c>
      <c r="G255" s="6" t="s">
        <v>1047</v>
      </c>
      <c r="H255" s="6" t="s">
        <v>1045</v>
      </c>
      <c r="I255" s="6" t="s">
        <v>616</v>
      </c>
      <c r="J255" s="6" t="s">
        <v>84</v>
      </c>
      <c r="K255" s="6" t="s">
        <v>84</v>
      </c>
      <c r="L255" s="6" t="s">
        <v>85</v>
      </c>
      <c r="M255" s="6" t="s">
        <v>85</v>
      </c>
    </row>
    <row r="256" spans="1:13" x14ac:dyDescent="0.25">
      <c r="A256" s="1" t="s">
        <v>86</v>
      </c>
      <c r="B256" s="6" t="s">
        <v>87</v>
      </c>
      <c r="C256" s="6" t="s">
        <v>87</v>
      </c>
      <c r="D256" s="6" t="s">
        <v>87</v>
      </c>
      <c r="E256" s="6" t="s">
        <v>87</v>
      </c>
      <c r="F256" s="6" t="s">
        <v>87</v>
      </c>
      <c r="G256" s="6" t="s">
        <v>87</v>
      </c>
      <c r="H256" s="6" t="s">
        <v>87</v>
      </c>
      <c r="I256" s="6" t="s">
        <v>87</v>
      </c>
      <c r="J256" s="6" t="s">
        <v>87</v>
      </c>
      <c r="K256" s="6" t="s">
        <v>87</v>
      </c>
      <c r="L256" s="6" t="s">
        <v>87</v>
      </c>
      <c r="M256" s="6" t="s">
        <v>87</v>
      </c>
    </row>
    <row r="257" spans="1:13" x14ac:dyDescent="0.25">
      <c r="A257" s="1" t="s">
        <v>1048</v>
      </c>
      <c r="B257" s="6" t="s">
        <v>1049</v>
      </c>
      <c r="C257" s="6" t="s">
        <v>1050</v>
      </c>
      <c r="D257" s="6" t="s">
        <v>1051</v>
      </c>
      <c r="E257" s="6" t="s">
        <v>1052</v>
      </c>
      <c r="F257" s="6" t="s">
        <v>1053</v>
      </c>
      <c r="G257" s="6" t="s">
        <v>1054</v>
      </c>
      <c r="H257" s="6" t="s">
        <v>1055</v>
      </c>
      <c r="I257" s="6" t="s">
        <v>1056</v>
      </c>
      <c r="J257" s="6" t="s">
        <v>114</v>
      </c>
      <c r="K257" s="6" t="s">
        <v>114</v>
      </c>
      <c r="L257" s="6" t="s">
        <v>114</v>
      </c>
      <c r="M257" s="6" t="s">
        <v>114</v>
      </c>
    </row>
    <row r="258" spans="1:13" x14ac:dyDescent="0.25">
      <c r="A258" s="1" t="s">
        <v>39</v>
      </c>
      <c r="B258" s="6" t="s">
        <v>1049</v>
      </c>
      <c r="C258" s="6" t="s">
        <v>1050</v>
      </c>
      <c r="D258" s="6" t="s">
        <v>1051</v>
      </c>
      <c r="E258" s="6" t="s">
        <v>1052</v>
      </c>
      <c r="F258" s="6" t="s">
        <v>1053</v>
      </c>
      <c r="G258" s="6" t="s">
        <v>1054</v>
      </c>
      <c r="H258" s="6" t="s">
        <v>1055</v>
      </c>
      <c r="I258" s="6" t="s">
        <v>1056</v>
      </c>
      <c r="J258" s="6" t="s">
        <v>114</v>
      </c>
      <c r="K258" s="6" t="s">
        <v>114</v>
      </c>
      <c r="L258" s="6" t="s">
        <v>114</v>
      </c>
      <c r="M258" s="6" t="s">
        <v>114</v>
      </c>
    </row>
    <row r="259" spans="1:13" x14ac:dyDescent="0.25">
      <c r="A259" s="1" t="s">
        <v>40</v>
      </c>
      <c r="B259" s="6" t="s">
        <v>1057</v>
      </c>
      <c r="C259" s="6" t="s">
        <v>1058</v>
      </c>
      <c r="D259" s="6" t="s">
        <v>1059</v>
      </c>
      <c r="E259" s="6" t="s">
        <v>1060</v>
      </c>
      <c r="F259" s="6" t="s">
        <v>1061</v>
      </c>
      <c r="G259" s="6" t="s">
        <v>1054</v>
      </c>
      <c r="H259" s="6" t="s">
        <v>1055</v>
      </c>
      <c r="I259" s="6" t="s">
        <v>1056</v>
      </c>
      <c r="J259" s="6" t="s">
        <v>114</v>
      </c>
      <c r="K259" s="6" t="s">
        <v>114</v>
      </c>
      <c r="L259" s="6" t="s">
        <v>114</v>
      </c>
      <c r="M259" s="6" t="s">
        <v>114</v>
      </c>
    </row>
    <row r="260" spans="1:13" x14ac:dyDescent="0.25">
      <c r="A260" s="1" t="s">
        <v>46</v>
      </c>
      <c r="B260" s="6" t="s">
        <v>1062</v>
      </c>
      <c r="C260" s="6" t="s">
        <v>1063</v>
      </c>
      <c r="D260" s="6" t="s">
        <v>1064</v>
      </c>
      <c r="E260" s="6" t="s">
        <v>1065</v>
      </c>
      <c r="F260" s="6" t="s">
        <v>1066</v>
      </c>
      <c r="G260" s="6" t="s">
        <v>1067</v>
      </c>
      <c r="H260" s="6" t="s">
        <v>1068</v>
      </c>
      <c r="I260" s="6" t="s">
        <v>1069</v>
      </c>
      <c r="J260" s="6" t="s">
        <v>114</v>
      </c>
      <c r="K260" s="6" t="s">
        <v>114</v>
      </c>
      <c r="L260" s="6" t="s">
        <v>114</v>
      </c>
      <c r="M260" s="6" t="s">
        <v>114</v>
      </c>
    </row>
    <row r="261" spans="1:13" x14ac:dyDescent="0.25">
      <c r="A261" s="1" t="s">
        <v>52</v>
      </c>
      <c r="B261" s="6" t="s">
        <v>1070</v>
      </c>
      <c r="C261" s="6" t="s">
        <v>1071</v>
      </c>
      <c r="D261" s="6" t="s">
        <v>1072</v>
      </c>
      <c r="E261" s="6" t="s">
        <v>1073</v>
      </c>
      <c r="F261" s="6" t="s">
        <v>1074</v>
      </c>
      <c r="G261" s="6" t="s">
        <v>1075</v>
      </c>
      <c r="H261" s="6" t="s">
        <v>1076</v>
      </c>
      <c r="I261" s="6" t="s">
        <v>1077</v>
      </c>
      <c r="J261" s="6" t="s">
        <v>114</v>
      </c>
      <c r="K261" s="6" t="s">
        <v>114</v>
      </c>
      <c r="L261" s="6" t="s">
        <v>114</v>
      </c>
      <c r="M261" s="6" t="s">
        <v>114</v>
      </c>
    </row>
    <row r="262" spans="1:13" x14ac:dyDescent="0.25">
      <c r="A262" s="1" t="s">
        <v>63</v>
      </c>
      <c r="B262" s="6" t="s">
        <v>1078</v>
      </c>
      <c r="C262" s="6" t="s">
        <v>1079</v>
      </c>
      <c r="D262" s="6" t="s">
        <v>1080</v>
      </c>
      <c r="E262" s="6" t="s">
        <v>1081</v>
      </c>
      <c r="F262" s="6" t="s">
        <v>1082</v>
      </c>
      <c r="G262" s="6" t="s">
        <v>1083</v>
      </c>
      <c r="H262" s="6" t="s">
        <v>1084</v>
      </c>
      <c r="I262" s="6" t="s">
        <v>1085</v>
      </c>
      <c r="J262" s="6" t="s">
        <v>114</v>
      </c>
      <c r="K262" s="6" t="s">
        <v>114</v>
      </c>
      <c r="L262" s="6" t="s">
        <v>114</v>
      </c>
      <c r="M262" s="6" t="s">
        <v>114</v>
      </c>
    </row>
    <row r="263" spans="1:13" x14ac:dyDescent="0.25">
      <c r="A263" s="1" t="s">
        <v>74</v>
      </c>
      <c r="B263" s="7">
        <v>4.0380799999999999</v>
      </c>
      <c r="C263" s="7">
        <v>9.6296400000000002</v>
      </c>
      <c r="D263" s="7">
        <v>8.8940900000000003</v>
      </c>
      <c r="E263" s="7">
        <v>10.777760000000001</v>
      </c>
      <c r="F263" s="7">
        <v>13.8733</v>
      </c>
      <c r="G263" s="7">
        <v>14.97837</v>
      </c>
      <c r="H263" s="7">
        <v>39.785760000000003</v>
      </c>
      <c r="I263" s="7">
        <v>8.2975100000000008</v>
      </c>
      <c r="J263" s="6" t="s">
        <v>114</v>
      </c>
      <c r="K263" s="6" t="s">
        <v>114</v>
      </c>
      <c r="L263" s="6" t="s">
        <v>114</v>
      </c>
      <c r="M263" s="6" t="s">
        <v>114</v>
      </c>
    </row>
    <row r="264" spans="1:13" x14ac:dyDescent="0.25">
      <c r="A264" s="1" t="s">
        <v>75</v>
      </c>
      <c r="B264" s="6" t="s">
        <v>1086</v>
      </c>
      <c r="C264" s="6" t="s">
        <v>159</v>
      </c>
      <c r="D264" s="6" t="s">
        <v>1087</v>
      </c>
      <c r="E264" s="6" t="s">
        <v>404</v>
      </c>
      <c r="F264" s="6" t="s">
        <v>1088</v>
      </c>
      <c r="G264" s="6" t="s">
        <v>1089</v>
      </c>
      <c r="H264" s="6" t="s">
        <v>1087</v>
      </c>
      <c r="I264" s="6" t="s">
        <v>1090</v>
      </c>
      <c r="J264" s="6" t="s">
        <v>114</v>
      </c>
      <c r="K264" s="6" t="s">
        <v>114</v>
      </c>
      <c r="L264" s="6" t="s">
        <v>114</v>
      </c>
      <c r="M264" s="6" t="s">
        <v>114</v>
      </c>
    </row>
    <row r="265" spans="1:13" x14ac:dyDescent="0.25">
      <c r="A265" s="1" t="s">
        <v>86</v>
      </c>
      <c r="B265" s="6" t="s">
        <v>87</v>
      </c>
      <c r="C265" s="6" t="s">
        <v>87</v>
      </c>
      <c r="D265" s="6" t="s">
        <v>87</v>
      </c>
      <c r="E265" s="6" t="s">
        <v>87</v>
      </c>
      <c r="F265" s="6" t="s">
        <v>87</v>
      </c>
      <c r="G265" s="6" t="s">
        <v>87</v>
      </c>
      <c r="H265" s="6" t="s">
        <v>87</v>
      </c>
      <c r="I265" s="6" t="s">
        <v>87</v>
      </c>
      <c r="J265" s="6" t="s">
        <v>114</v>
      </c>
      <c r="K265" s="6" t="s">
        <v>114</v>
      </c>
      <c r="L265" s="6" t="s">
        <v>114</v>
      </c>
      <c r="M265" s="6" t="s">
        <v>114</v>
      </c>
    </row>
    <row r="266" spans="1:13" x14ac:dyDescent="0.25">
      <c r="A266" s="1" t="s">
        <v>1091</v>
      </c>
      <c r="B266" s="6" t="s">
        <v>1092</v>
      </c>
      <c r="C266" s="6" t="s">
        <v>1093</v>
      </c>
      <c r="D266" s="6" t="s">
        <v>1094</v>
      </c>
      <c r="E266" s="6" t="s">
        <v>1095</v>
      </c>
      <c r="F266" s="6" t="s">
        <v>1096</v>
      </c>
      <c r="G266" s="6" t="s">
        <v>1097</v>
      </c>
      <c r="H266" s="6" t="s">
        <v>1098</v>
      </c>
      <c r="I266" s="6" t="s">
        <v>1099</v>
      </c>
      <c r="J266" s="6" t="s">
        <v>1100</v>
      </c>
      <c r="K266" s="6" t="s">
        <v>1101</v>
      </c>
      <c r="L266" s="6" t="s">
        <v>114</v>
      </c>
      <c r="M266" s="6" t="s">
        <v>114</v>
      </c>
    </row>
    <row r="267" spans="1:13" x14ac:dyDescent="0.25">
      <c r="A267" s="1" t="s">
        <v>39</v>
      </c>
      <c r="B267" s="6" t="s">
        <v>1092</v>
      </c>
      <c r="C267" s="6" t="s">
        <v>1093</v>
      </c>
      <c r="D267" s="6" t="s">
        <v>1094</v>
      </c>
      <c r="E267" s="6" t="s">
        <v>1095</v>
      </c>
      <c r="F267" s="6" t="s">
        <v>1096</v>
      </c>
      <c r="G267" s="6" t="s">
        <v>1097</v>
      </c>
      <c r="H267" s="6" t="s">
        <v>1098</v>
      </c>
      <c r="I267" s="6" t="s">
        <v>1099</v>
      </c>
      <c r="J267" s="6" t="s">
        <v>1100</v>
      </c>
      <c r="K267" s="6" t="s">
        <v>1101</v>
      </c>
      <c r="L267" s="6" t="s">
        <v>114</v>
      </c>
      <c r="M267" s="6" t="s">
        <v>114</v>
      </c>
    </row>
    <row r="268" spans="1:13" x14ac:dyDescent="0.25">
      <c r="A268" s="1" t="s">
        <v>40</v>
      </c>
      <c r="B268" s="6" t="s">
        <v>1102</v>
      </c>
      <c r="C268" s="6" t="s">
        <v>1103</v>
      </c>
      <c r="D268" s="6" t="s">
        <v>1104</v>
      </c>
      <c r="E268" s="6" t="s">
        <v>1105</v>
      </c>
      <c r="F268" s="6" t="s">
        <v>1106</v>
      </c>
      <c r="G268" s="6" t="s">
        <v>1097</v>
      </c>
      <c r="H268" s="6" t="s">
        <v>1098</v>
      </c>
      <c r="I268" s="6" t="s">
        <v>1099</v>
      </c>
      <c r="J268" s="6" t="s">
        <v>1100</v>
      </c>
      <c r="K268" s="6" t="s">
        <v>1101</v>
      </c>
      <c r="L268" s="6" t="s">
        <v>114</v>
      </c>
      <c r="M268" s="6" t="s">
        <v>114</v>
      </c>
    </row>
    <row r="269" spans="1:13" x14ac:dyDescent="0.25">
      <c r="A269" s="1" t="s">
        <v>46</v>
      </c>
      <c r="B269" s="6" t="s">
        <v>639</v>
      </c>
      <c r="C269" s="6" t="s">
        <v>1107</v>
      </c>
      <c r="D269" s="6" t="s">
        <v>1108</v>
      </c>
      <c r="E269" s="6" t="s">
        <v>1109</v>
      </c>
      <c r="F269" s="6" t="s">
        <v>1110</v>
      </c>
      <c r="G269" s="6" t="s">
        <v>1111</v>
      </c>
      <c r="H269" s="6" t="s">
        <v>1112</v>
      </c>
      <c r="I269" s="6" t="s">
        <v>1113</v>
      </c>
      <c r="J269" s="6" t="s">
        <v>1100</v>
      </c>
      <c r="K269" s="6" t="s">
        <v>1101</v>
      </c>
      <c r="L269" s="6" t="s">
        <v>114</v>
      </c>
      <c r="M269" s="6" t="s">
        <v>114</v>
      </c>
    </row>
    <row r="270" spans="1:13" x14ac:dyDescent="0.25">
      <c r="A270" s="1" t="s">
        <v>52</v>
      </c>
      <c r="B270" s="6" t="s">
        <v>1114</v>
      </c>
      <c r="C270" s="6" t="s">
        <v>1115</v>
      </c>
      <c r="D270" s="6" t="s">
        <v>1116</v>
      </c>
      <c r="E270" s="6" t="s">
        <v>1107</v>
      </c>
      <c r="F270" s="6" t="s">
        <v>1117</v>
      </c>
      <c r="G270" s="6" t="s">
        <v>1118</v>
      </c>
      <c r="H270" s="6" t="s">
        <v>1119</v>
      </c>
      <c r="I270" s="6" t="s">
        <v>1120</v>
      </c>
      <c r="J270" s="6" t="s">
        <v>1100</v>
      </c>
      <c r="K270" s="6" t="s">
        <v>1101</v>
      </c>
      <c r="L270" s="6" t="s">
        <v>114</v>
      </c>
      <c r="M270" s="6" t="s">
        <v>114</v>
      </c>
    </row>
    <row r="271" spans="1:13" x14ac:dyDescent="0.25">
      <c r="A271" s="1" t="s">
        <v>63</v>
      </c>
      <c r="B271" s="6" t="s">
        <v>1121</v>
      </c>
      <c r="C271" s="6" t="s">
        <v>1122</v>
      </c>
      <c r="D271" s="6" t="s">
        <v>1123</v>
      </c>
      <c r="E271" s="6" t="s">
        <v>1124</v>
      </c>
      <c r="F271" s="6" t="s">
        <v>1125</v>
      </c>
      <c r="G271" s="6" t="s">
        <v>1126</v>
      </c>
      <c r="H271" s="6" t="s">
        <v>1115</v>
      </c>
      <c r="I271" s="6" t="s">
        <v>1116</v>
      </c>
      <c r="J271" s="6" t="s">
        <v>1100</v>
      </c>
      <c r="K271" s="6" t="s">
        <v>1101</v>
      </c>
      <c r="L271" s="6" t="s">
        <v>114</v>
      </c>
      <c r="M271" s="6" t="s">
        <v>114</v>
      </c>
    </row>
    <row r="272" spans="1:13" x14ac:dyDescent="0.25">
      <c r="A272" s="1" t="s">
        <v>74</v>
      </c>
      <c r="B272" s="7">
        <v>0.47275</v>
      </c>
      <c r="C272" s="7">
        <v>1.0325599999999999</v>
      </c>
      <c r="D272" s="7">
        <v>1.22296</v>
      </c>
      <c r="E272" s="7">
        <v>0.42281000000000002</v>
      </c>
      <c r="F272" s="7">
        <v>0.82882</v>
      </c>
      <c r="G272" s="7">
        <v>0.52527000000000001</v>
      </c>
      <c r="H272" s="7">
        <v>1.7810900000000001</v>
      </c>
      <c r="I272" s="7">
        <v>3.3197299999999998</v>
      </c>
      <c r="J272" s="7">
        <v>0</v>
      </c>
      <c r="K272" s="7">
        <v>0</v>
      </c>
      <c r="L272" s="6" t="s">
        <v>114</v>
      </c>
      <c r="M272" s="6" t="s">
        <v>114</v>
      </c>
    </row>
    <row r="273" spans="1:13" x14ac:dyDescent="0.25">
      <c r="A273" s="1" t="s">
        <v>75</v>
      </c>
      <c r="B273" s="6" t="s">
        <v>188</v>
      </c>
      <c r="C273" s="6" t="s">
        <v>1086</v>
      </c>
      <c r="D273" s="6" t="s">
        <v>253</v>
      </c>
      <c r="E273" s="6" t="s">
        <v>218</v>
      </c>
      <c r="F273" s="6" t="s">
        <v>285</v>
      </c>
      <c r="G273" s="6" t="s">
        <v>1127</v>
      </c>
      <c r="H273" s="6" t="s">
        <v>217</v>
      </c>
      <c r="I273" s="6" t="s">
        <v>255</v>
      </c>
      <c r="J273" s="6" t="s">
        <v>85</v>
      </c>
      <c r="K273" s="6" t="s">
        <v>85</v>
      </c>
      <c r="L273" s="6" t="s">
        <v>114</v>
      </c>
      <c r="M273" s="6" t="s">
        <v>114</v>
      </c>
    </row>
    <row r="274" spans="1:13" x14ac:dyDescent="0.25">
      <c r="A274" s="1" t="s">
        <v>86</v>
      </c>
      <c r="B274" s="6" t="s">
        <v>87</v>
      </c>
      <c r="C274" s="6" t="s">
        <v>87</v>
      </c>
      <c r="D274" s="6" t="s">
        <v>87</v>
      </c>
      <c r="E274" s="6" t="s">
        <v>87</v>
      </c>
      <c r="F274" s="6" t="s">
        <v>87</v>
      </c>
      <c r="G274" s="6" t="s">
        <v>87</v>
      </c>
      <c r="H274" s="6" t="s">
        <v>87</v>
      </c>
      <c r="I274" s="6" t="s">
        <v>87</v>
      </c>
      <c r="J274" s="6" t="s">
        <v>87</v>
      </c>
      <c r="K274" s="6" t="s">
        <v>87</v>
      </c>
      <c r="L274" s="6" t="s">
        <v>114</v>
      </c>
      <c r="M274" s="6" t="s">
        <v>114</v>
      </c>
    </row>
    <row r="275" spans="1:13" x14ac:dyDescent="0.25">
      <c r="A275" s="2"/>
    </row>
    <row r="276" spans="1:13" x14ac:dyDescent="0.25">
      <c r="A276" s="109"/>
      <c r="B276" s="109"/>
      <c r="C276" s="109"/>
      <c r="D276" s="109"/>
      <c r="E276" s="109"/>
      <c r="F276" s="109"/>
      <c r="G276" s="109"/>
      <c r="H276" s="109"/>
      <c r="I276" s="109"/>
      <c r="J276" s="109"/>
      <c r="K276" s="109"/>
      <c r="L276" s="109"/>
      <c r="M276" s="109"/>
    </row>
    <row r="277" spans="1:13" x14ac:dyDescent="0.25">
      <c r="A277" s="109"/>
      <c r="B277" s="109"/>
      <c r="C277" s="109"/>
      <c r="D277" s="109"/>
      <c r="E277" s="109"/>
      <c r="F277" s="109"/>
      <c r="G277" s="109"/>
      <c r="H277" s="109"/>
      <c r="I277" s="109"/>
      <c r="J277" s="109"/>
      <c r="K277" s="109"/>
      <c r="L277" s="109"/>
      <c r="M277" s="109"/>
    </row>
    <row r="278" spans="1:13" x14ac:dyDescent="0.25">
      <c r="A278" s="109" t="s">
        <v>1128</v>
      </c>
      <c r="B278" s="109"/>
      <c r="C278" s="109"/>
      <c r="D278" s="109"/>
      <c r="E278" s="109"/>
      <c r="F278" s="109"/>
      <c r="G278" s="109"/>
      <c r="H278" s="109"/>
      <c r="I278" s="109"/>
      <c r="J278" s="109"/>
      <c r="K278" s="109"/>
      <c r="L278" s="109"/>
      <c r="M278" s="109"/>
    </row>
    <row r="279" spans="1:13" x14ac:dyDescent="0.25">
      <c r="A279" s="109" t="s">
        <v>1129</v>
      </c>
      <c r="B279" s="109"/>
      <c r="C279" s="109"/>
      <c r="D279" s="109"/>
      <c r="E279" s="109"/>
      <c r="F279" s="109"/>
      <c r="G279" s="109"/>
      <c r="H279" s="109"/>
      <c r="I279" s="109"/>
      <c r="J279" s="109"/>
      <c r="K279" s="109"/>
      <c r="L279" s="109"/>
      <c r="M279" s="109"/>
    </row>
    <row r="280" spans="1:13" x14ac:dyDescent="0.25">
      <c r="A280" s="109" t="s">
        <v>1130</v>
      </c>
      <c r="B280" s="109"/>
      <c r="C280" s="109"/>
      <c r="D280" s="109"/>
      <c r="E280" s="109"/>
      <c r="F280" s="109"/>
      <c r="G280" s="109"/>
      <c r="H280" s="109"/>
      <c r="I280" s="109"/>
      <c r="J280" s="109"/>
      <c r="K280" s="109"/>
      <c r="L280" s="109"/>
      <c r="M280" s="109"/>
    </row>
    <row r="281" spans="1:13" x14ac:dyDescent="0.25">
      <c r="A281" s="109"/>
      <c r="B281" s="109"/>
      <c r="C281" s="109"/>
      <c r="D281" s="109"/>
      <c r="E281" s="109"/>
      <c r="F281" s="109"/>
      <c r="G281" s="109"/>
      <c r="H281" s="109"/>
      <c r="I281" s="109"/>
      <c r="J281" s="109"/>
      <c r="K281" s="109"/>
      <c r="L281" s="109"/>
      <c r="M281" s="109"/>
    </row>
  </sheetData>
  <mergeCells count="11">
    <mergeCell ref="A1:D1"/>
    <mergeCell ref="A15:M15"/>
    <mergeCell ref="A16:M16"/>
    <mergeCell ref="A17:M17"/>
    <mergeCell ref="A93:M93"/>
    <mergeCell ref="A2:M2"/>
    <mergeCell ref="A276:M276"/>
    <mergeCell ref="A277:M277"/>
    <mergeCell ref="A278:M278"/>
    <mergeCell ref="A279:M279"/>
    <mergeCell ref="A280:M281"/>
  </mergeCells>
  <pageMargins left="0.7" right="0.7" top="0.75" bottom="0.75" header="0.3" footer="0.3"/>
  <pageSetup orientation="portrait"/>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E4A6BE-57BE-4364-A46F-42BDB032BC98}">
  <dimension ref="A2:S289"/>
  <sheetViews>
    <sheetView showGridLines="0" tabSelected="1" zoomScale="74" zoomScaleNormal="85" workbookViewId="0"/>
  </sheetViews>
  <sheetFormatPr defaultColWidth="15.7109375" defaultRowHeight="15" outlineLevelRow="1" x14ac:dyDescent="0.25"/>
  <cols>
    <col min="1" max="1" width="1.7109375" style="73" customWidth="1"/>
    <col min="2" max="2" width="1.7109375" style="74" customWidth="1"/>
    <col min="3" max="3" width="50.7109375" style="8" customWidth="1"/>
    <col min="4" max="8" width="15.7109375" style="8" customWidth="1"/>
    <col min="9" max="9" width="15.7109375" style="8"/>
    <col min="10" max="11" width="15.7109375" style="8" customWidth="1"/>
    <col min="12" max="17" width="15.7109375" style="8"/>
    <col min="18" max="19" width="15.7109375" style="8" customWidth="1"/>
    <col min="20" max="16384" width="15.7109375" style="8"/>
  </cols>
  <sheetData>
    <row r="2" spans="1:19" s="33" customFormat="1" ht="18.75" x14ac:dyDescent="0.3">
      <c r="A2" s="101" t="str">
        <f>""</f>
        <v/>
      </c>
      <c r="B2" s="101"/>
      <c r="C2" s="11" t="str" cm="1">
        <f t="array" aca="1" ref="C2" ca="1">_xlfn.TEXTBEFORE(INDIRECT("Consensus!A2"),"|")&amp;"- Financial Model"</f>
        <v>Apple Inc. - Financial Model</v>
      </c>
      <c r="D2" s="33" cm="1">
        <f t="array" aca="1" ref="D2:R2" ca="1">IFERROR(--(D9:OFFSET(D9,0,F6-D9)&lt;($D$6+3)),1)</f>
        <v>1</v>
      </c>
      <c r="E2" s="33">
        <f ca="1"/>
        <v>1</v>
      </c>
      <c r="F2" s="33">
        <f ca="1"/>
        <v>1</v>
      </c>
      <c r="G2" s="33">
        <f ca="1"/>
        <v>1</v>
      </c>
      <c r="H2" s="33">
        <f ca="1"/>
        <v>1</v>
      </c>
      <c r="I2" s="33">
        <f ca="1"/>
        <v>1</v>
      </c>
      <c r="J2" s="33">
        <f ca="1"/>
        <v>1</v>
      </c>
      <c r="K2" s="33">
        <f ca="1"/>
        <v>1</v>
      </c>
      <c r="L2" s="33">
        <f ca="1"/>
        <v>0</v>
      </c>
      <c r="M2" s="33">
        <f ca="1"/>
        <v>0</v>
      </c>
      <c r="N2" s="33">
        <f ca="1"/>
        <v>0</v>
      </c>
      <c r="O2" s="33">
        <f ca="1"/>
        <v>0</v>
      </c>
      <c r="P2" s="33">
        <f ca="1"/>
        <v>0</v>
      </c>
      <c r="Q2" s="33">
        <f ca="1"/>
        <v>0</v>
      </c>
      <c r="R2" s="33">
        <f ca="1"/>
        <v>0</v>
      </c>
    </row>
    <row r="3" spans="1:19" s="18" customFormat="1" x14ac:dyDescent="0.25">
      <c r="A3" s="83"/>
      <c r="B3" s="74"/>
      <c r="C3" s="99" t="str" cm="1">
        <f t="array" aca="1" ref="C3" ca="1">INDIRECT("Consensus!A3")</f>
        <v>NASDAQGS:AAPL (MI KEY: 4004205; SPCIQ KEY: 24937)</v>
      </c>
      <c r="D3" s="18" t="str">
        <f ca="1">TRIM(_xlfn.TEXTBEFORE(_xlfn.TEXTAFTER(C3,":")," "))</f>
        <v>AAPL</v>
      </c>
      <c r="E3" s="18">
        <f ca="1">IFERROR(1-(DATE(C6,MONTH(D7),DAY(D7))&lt;D12),1)</f>
        <v>0</v>
      </c>
      <c r="F3" s="18" cm="1">
        <f t="array" ref="F3">_xlfn.XLOOKUP(F8,H5:K5,_xlfn.ANCHORARRAY(D5))</f>
        <v>2</v>
      </c>
      <c r="G3" s="30" cm="1">
        <f t="array" ref="G3:R3">_xlfn.SEQUENCE(,12)</f>
        <v>1</v>
      </c>
      <c r="H3" s="30">
        <v>2</v>
      </c>
      <c r="I3" s="30">
        <v>3</v>
      </c>
      <c r="J3" s="30">
        <v>4</v>
      </c>
      <c r="K3" s="30">
        <v>5</v>
      </c>
      <c r="L3" s="30">
        <v>6</v>
      </c>
      <c r="M3" s="30">
        <v>7</v>
      </c>
      <c r="N3" s="30">
        <v>8</v>
      </c>
      <c r="O3" s="30">
        <v>9</v>
      </c>
      <c r="P3" s="30">
        <v>10</v>
      </c>
      <c r="Q3" s="30">
        <v>11</v>
      </c>
      <c r="R3" s="30">
        <v>12</v>
      </c>
    </row>
    <row r="4" spans="1:19" s="18" customFormat="1" x14ac:dyDescent="0.25">
      <c r="A4" s="83"/>
      <c r="B4" s="74"/>
      <c r="C4" s="100" t="str" cm="1">
        <f t="array" aca="1" ref="C4" ca="1">_xlfn.TEXTBEFORE(INDIRECT("Consensus!A11")," (")&amp;", Except for per share data"</f>
        <v>Magnitude Millions, Except for per share data</v>
      </c>
      <c r="E4" s="21">
        <f ca="1">IFERROR(YEARFRAC(DATE(D6-1,MONTH(D12),DAY(D12)),D7,3),1)</f>
        <v>0.84931506849315064</v>
      </c>
      <c r="F4" s="21">
        <f ca="1">IFERROR(YEARFRAC(D7,DATE(D6,MONTH(D12),DAY(D12)),3),1)</f>
        <v>0.15068493150684931</v>
      </c>
      <c r="G4" s="30" t="str">
        <f>"Jan"</f>
        <v>Jan</v>
      </c>
      <c r="H4" s="30" t="str">
        <f>"Feb"</f>
        <v>Feb</v>
      </c>
      <c r="I4" s="30" t="str">
        <f>"Mar"</f>
        <v>Mar</v>
      </c>
      <c r="J4" s="30" t="str">
        <f>"Apr"</f>
        <v>Apr</v>
      </c>
      <c r="K4" s="30" t="str">
        <f>"May"</f>
        <v>May</v>
      </c>
      <c r="L4" s="30" t="str">
        <f>"Jun"</f>
        <v>Jun</v>
      </c>
      <c r="M4" s="30" t="str">
        <f>"Jul"</f>
        <v>Jul</v>
      </c>
      <c r="N4" s="30" t="str">
        <f>"Aug"</f>
        <v>Aug</v>
      </c>
      <c r="O4" s="30" t="str">
        <f>"Sep"</f>
        <v>Sep</v>
      </c>
      <c r="P4" s="30" t="str">
        <f>"Oct"</f>
        <v>Oct</v>
      </c>
      <c r="Q4" s="30" t="str">
        <f>"Nov"</f>
        <v>Nov</v>
      </c>
      <c r="R4" s="30" t="str">
        <f>"Dec"</f>
        <v>Dec</v>
      </c>
    </row>
    <row r="5" spans="1:19" s="22" customFormat="1" x14ac:dyDescent="0.25">
      <c r="A5" s="83"/>
      <c r="B5" s="74"/>
      <c r="C5" s="100" t="str" cm="1">
        <f t="array" aca="1" ref="C5" ca="1">_xlfn.TEXTAFTER(INDIRECT("Consensus!A15"),"|   ")</f>
        <v>Current Fiscal Year (FY  2025): Sep-30-2025</v>
      </c>
      <c r="D5" s="18" cm="1">
        <f t="array" ref="D5:G5">_xlfn.SEQUENCE(,4)</f>
        <v>1</v>
      </c>
      <c r="E5" s="18">
        <v>2</v>
      </c>
      <c r="F5" s="18">
        <v>3</v>
      </c>
      <c r="G5" s="18">
        <v>4</v>
      </c>
      <c r="H5" s="18" t="str">
        <f>C103</f>
        <v>Analyst's Case</v>
      </c>
      <c r="I5" s="18" t="str">
        <f>C132</f>
        <v>Street Case</v>
      </c>
      <c r="J5" s="18" t="str">
        <f>C161</f>
        <v>Optimistic Case</v>
      </c>
      <c r="K5" s="30" t="str">
        <f>C190</f>
        <v>Conservative Case</v>
      </c>
      <c r="L5" s="22" t="str">
        <f>"Current Share Price"</f>
        <v>Current Share Price</v>
      </c>
      <c r="N5" s="97">
        <f ca="1">IF(O5,O5,AVERAGE(S6:S8))</f>
        <v>203.02250000000001</v>
      </c>
      <c r="O5" s="69"/>
      <c r="P5" s="22" t="str">
        <f>"Exit Multiple (EBITDA)"</f>
        <v>Exit Multiple (EBITDA)</v>
      </c>
      <c r="R5" s="70" cm="1">
        <f t="array" aca="1" ref="R5" ca="1">IFERROR(INDEX(_xlfn.ANCHORARRAY(D72),,COUNTA(_xlfn.ANCHORARRAY(D72))),8)</f>
        <v>13.891018684950494</v>
      </c>
    </row>
    <row r="6" spans="1:19" s="22" customFormat="1" x14ac:dyDescent="0.25">
      <c r="A6" s="83"/>
      <c r="B6" s="74"/>
      <c r="C6" s="18" cm="1">
        <f t="array" aca="1" ref="C6" ca="1">IF(G8,G8,_xlfn.NUMBERVALUE(_xlfn.TEXTBEFORE(_xlfn.TEXTAFTER(INDIRECT("Consensus!B18"),"FY ")," ")))</f>
        <v>2020</v>
      </c>
      <c r="D6" s="18">
        <f ca="1">IFERROR(MIN(_xlfn.NUMBERVALUE(_xlfn.TEXTBEFORE(_xlfn.TEXTAFTER(C5,"FY "),")"))+E3,_xlfn.XLOOKUP(D7,_xlfn.ANCHORARRAY(D13),$D$9:OFFSET($D$9,0,$F$6-$D$9))),YEAR(D7))</f>
        <v>2025</v>
      </c>
      <c r="E6" s="18" cm="1">
        <f t="array" aca="1" ref="E6" ca="1">_xlfn.NUMBERVALUE(_xlfn.TEXTBEFORE(_xlfn.TEXTAFTER(OFFSET(INDIRECT("Consensus!A18"),0,COUNTA(INDIRECT("Consensus!18:18"))-1),"FY ")," "))</f>
        <v>2031</v>
      </c>
      <c r="F6" s="18">
        <f ca="1">IFERROR(IF(I8,I8,D6+9),1)</f>
        <v>2034</v>
      </c>
      <c r="G6" s="18" cm="1">
        <f t="array" aca="1" ref="G6" ca="1">_xlfn.NUMBERVALUE(INDEX(_xlfn.TEXTSPLIT(C5,"-"),,2))</f>
        <v>30</v>
      </c>
      <c r="H6" s="18" cm="1">
        <f t="array" aca="1" ref="H6" ca="1">_xlfn.XLOOKUP(_xlfn.TEXTAFTER(_xlfn.TEXTBEFORE(C5,"-"),": "),$G$4:$R$4,_xlfn.ANCHORARRAY($G$3))</f>
        <v>9</v>
      </c>
      <c r="I6" s="18" t="s">
        <v>1347</v>
      </c>
      <c r="J6" s="18">
        <f ca="1">_xlfn.XMATCH(I6,INDIRECT("'Public Company'!A:A"))</f>
        <v>98</v>
      </c>
      <c r="K6" s="18" cm="1">
        <f t="array" aca="1" ref="K6" ca="1">INDIRECT("'Public Company'!C"&amp;J6)</f>
        <v>203.125</v>
      </c>
      <c r="L6" s="22" t="str">
        <f>"DCF ("&amp;_xlfn.TEXTAFTER(C229,"(")</f>
        <v>DCF (Exit Multiple)</v>
      </c>
      <c r="N6" s="97">
        <f ca="1">IFERROR(D243,1)</f>
        <v>190.85393341847774</v>
      </c>
      <c r="O6" s="98">
        <f ca="1">IFERROR(D245,1)</f>
        <v>-5.9937034474121242E-2</v>
      </c>
      <c r="P6" s="22" t="str">
        <f>"Terminal Growth Rate"</f>
        <v>Terminal Growth Rate</v>
      </c>
      <c r="R6" s="71">
        <f>2.5%</f>
        <v>2.5000000000000001E-2</v>
      </c>
      <c r="S6" s="18" cm="1">
        <f t="array" aca="1" ref="S6" ca="1">IF(SUM(--(ISNUMBER(S7:S8)))&gt;0,AVERAGE(S7:S8),IFERROR(_xlfn.XLOOKUP(D7,13:13,68:68),"NA"))</f>
        <v>203.02249999999998</v>
      </c>
    </row>
    <row r="7" spans="1:19" s="22" customFormat="1" x14ac:dyDescent="0.25">
      <c r="A7" s="83"/>
      <c r="B7" s="74"/>
      <c r="C7" s="22" t="str">
        <f>"Valuation Date"</f>
        <v>Valuation Date</v>
      </c>
      <c r="D7" s="95">
        <f ca="1">TODAY()</f>
        <v>45875</v>
      </c>
      <c r="E7" s="18" t="str" cm="1">
        <f t="array" aca="1" ref="E7" ca="1">_xlfn.TEXTBEFORE(ADDRESS(1,_xlfn.XMATCH(C6,_xlfn.NUMBERVALUE(_xlfn.TEXTBEFORE(_xlfn.TEXTAFTER(INDIRECT("Consensus!18:18"),"FY ")," "))),4),1)</f>
        <v>B</v>
      </c>
      <c r="F7" s="32" t="str">
        <f>"Scenario"</f>
        <v>Scenario</v>
      </c>
      <c r="G7" s="25" t="str">
        <f>"Actuals Start"</f>
        <v>Actuals Start</v>
      </c>
      <c r="H7" s="25" t="str">
        <f>"Estimates Start"</f>
        <v>Estimates Start</v>
      </c>
      <c r="I7" s="25" t="str">
        <f>"Estimates End"</f>
        <v>Estimates End</v>
      </c>
      <c r="J7" s="26" t="str">
        <f>"Default: All actuals, 10Y estimates"</f>
        <v>Default: All actuals, 10Y estimates</v>
      </c>
      <c r="L7" s="22" t="str">
        <f>"DCF ("&amp;_xlfn.TEXTAFTER(C247,"(")</f>
        <v>DCF (Perpetuity)</v>
      </c>
      <c r="N7" s="97">
        <f ca="1">IFERROR(D261,1)</f>
        <v>183.86827457437761</v>
      </c>
      <c r="O7" s="98">
        <f ca="1">IFERROR(D263,1)</f>
        <v>-9.4345333278934129E-2</v>
      </c>
      <c r="P7" s="22" t="str">
        <f>"Nebt Debt"</f>
        <v>Nebt Debt</v>
      </c>
      <c r="R7" s="72">
        <f ca="1">IFERROR(_xlfn.XLOOKUP(D7,13:13,58:58),1)</f>
        <v>-41907.960273972611</v>
      </c>
      <c r="S7" s="18">
        <f ca="1">IFERROR(K6,"NA")</f>
        <v>203.125</v>
      </c>
    </row>
    <row r="8" spans="1:19" s="22" customFormat="1" x14ac:dyDescent="0.25">
      <c r="A8" s="83"/>
      <c r="B8" s="74"/>
      <c r="C8" s="22" t="str">
        <f>"Weighted-Average Cost of Capital"</f>
        <v>Weighted-Average Cost of Capital</v>
      </c>
      <c r="D8" s="96">
        <f ca="1">IF(N8,N8,D288)</f>
        <v>9.6441559159654799E-2</v>
      </c>
      <c r="E8" s="18" t="str" cm="1">
        <f t="array" aca="1" ref="E8" ca="1">IFERROR(_xlfn.TEXTBEFORE(ADDRESS(1,_xlfn.XMATCH(C6,_xlfn.NUMBERVALUE(_xlfn.TEXTBEFORE(_xlfn.TEXTAFTER(INDIRECT("Consensus!18:18"),"FY ")," ")))+F6-D9,4),1),_xlfn.TEXTBEFORE(ADDRESS(1,YEAR(D7)+9-C6,4),1))</f>
        <v>P</v>
      </c>
      <c r="F8" s="66" t="str">
        <f>"Street Case"</f>
        <v>Street Case</v>
      </c>
      <c r="G8" s="66"/>
      <c r="H8" s="67"/>
      <c r="I8" s="67"/>
      <c r="J8" s="26" t="str">
        <f>"Overwrite years"</f>
        <v>Overwrite years</v>
      </c>
      <c r="L8" s="22" t="str">
        <f>"WACC (Overwrite)"</f>
        <v>WACC (Overwrite)</v>
      </c>
      <c r="N8" s="68">
        <f ca="1">IFERROR(D288,10%)</f>
        <v>9.6441559159654799E-2</v>
      </c>
      <c r="P8" s="22" t="str">
        <f>"Diluted Shares"</f>
        <v>Diluted Shares</v>
      </c>
      <c r="R8" s="72">
        <f ca="1">IFERROR(_xlfn.XLOOKUP(D7,13:13,53:53),1)</f>
        <v>14874.236575342467</v>
      </c>
      <c r="S8" s="18" cm="1" vm="1">
        <f t="array" aca="1" ref="S8" ca="1">IFERROR(_xlfn.LET(_xlpm.x,TRANSPOSE(_xlfn.STOCKHISTORY(TRIM(_xlfn.TEXTBEFORE(_xlfn.TEXTAFTER(C3,":")," ")), D7-7, D7,0,0,1)),INDEX(_xlpm.x,,COUNTA(_xlpm.x))),"NA")</f>
        <v>202.92</v>
      </c>
    </row>
    <row r="9" spans="1:19" s="18" customFormat="1" x14ac:dyDescent="0.25">
      <c r="A9" s="74"/>
      <c r="B9" s="74"/>
      <c r="D9" s="18">
        <f ca="1">C6</f>
        <v>2020</v>
      </c>
      <c r="E9" s="18" cm="1">
        <f t="array" aca="1" ref="E9:R9" ca="1">IFERROR(_xlfn.SEQUENCE(,F6-D9)+D9,1)</f>
        <v>2021</v>
      </c>
      <c r="F9" s="18">
        <f ca="1"/>
        <v>2022</v>
      </c>
      <c r="G9" s="18">
        <f ca="1"/>
        <v>2023</v>
      </c>
      <c r="H9" s="18">
        <f ca="1"/>
        <v>2024</v>
      </c>
      <c r="I9" s="18">
        <f ca="1"/>
        <v>2025</v>
      </c>
      <c r="J9" s="18">
        <f ca="1"/>
        <v>2026</v>
      </c>
      <c r="K9" s="18">
        <f ca="1"/>
        <v>2027</v>
      </c>
      <c r="L9" s="18">
        <f ca="1"/>
        <v>2028</v>
      </c>
      <c r="M9" s="18">
        <f ca="1"/>
        <v>2029</v>
      </c>
      <c r="N9" s="18">
        <f ca="1"/>
        <v>2030</v>
      </c>
      <c r="O9" s="18">
        <f ca="1"/>
        <v>2031</v>
      </c>
      <c r="P9" s="18">
        <f ca="1"/>
        <v>2032</v>
      </c>
      <c r="Q9" s="18">
        <f ca="1"/>
        <v>2033</v>
      </c>
      <c r="R9" s="18">
        <f ca="1"/>
        <v>2034</v>
      </c>
    </row>
    <row r="10" spans="1:19" s="18" customFormat="1" x14ac:dyDescent="0.25">
      <c r="A10" s="83"/>
      <c r="B10" s="74"/>
      <c r="C10" s="23" t="str">
        <f>"Consensus Estimates"</f>
        <v>Consensus Estimates</v>
      </c>
      <c r="D10" s="18" cm="1">
        <f t="array" aca="1" ref="D10:R10" ca="1">IFERROR(--(D9:OFFSET(D9,0,F6-D9)&lt;$D$6),1)</f>
        <v>1</v>
      </c>
      <c r="E10" s="18">
        <f ca="1"/>
        <v>1</v>
      </c>
      <c r="F10" s="18">
        <f ca="1"/>
        <v>1</v>
      </c>
      <c r="G10" s="18">
        <f ca="1"/>
        <v>1</v>
      </c>
      <c r="H10" s="18">
        <f ca="1"/>
        <v>1</v>
      </c>
      <c r="I10" s="18">
        <f ca="1"/>
        <v>0</v>
      </c>
      <c r="J10" s="18">
        <f ca="1"/>
        <v>0</v>
      </c>
      <c r="K10" s="18">
        <f ca="1"/>
        <v>0</v>
      </c>
      <c r="L10" s="18">
        <f ca="1"/>
        <v>0</v>
      </c>
      <c r="M10" s="18">
        <f ca="1"/>
        <v>0</v>
      </c>
      <c r="N10" s="18">
        <f ca="1"/>
        <v>0</v>
      </c>
      <c r="O10" s="18">
        <f ca="1"/>
        <v>0</v>
      </c>
      <c r="P10" s="18">
        <f ca="1"/>
        <v>0</v>
      </c>
      <c r="Q10" s="18">
        <f ca="1"/>
        <v>0</v>
      </c>
      <c r="R10" s="18">
        <f ca="1"/>
        <v>0</v>
      </c>
    </row>
    <row r="11" spans="1:19" s="20" customFormat="1" x14ac:dyDescent="0.25">
      <c r="A11" s="102" t="str">
        <f>""</f>
        <v/>
      </c>
      <c r="B11" s="106"/>
      <c r="C11" s="17"/>
      <c r="D11" s="20" t="str" cm="1">
        <f t="array" aca="1" ref="D11:R11" ca="1">IFERROR(IF($D$9:OFFSET($D$9,0,$F$6-$D$9)&lt;$D$6,TEXT($D$9:OFFSET($D$9,0,$F$6-$D$9),"0A"),TEXT($D$9:OFFSET($D$9,0,$F$6-$D$9),"0")&amp;"E"),1)</f>
        <v>2020A</v>
      </c>
      <c r="E11" s="20" t="str">
        <f ca="1"/>
        <v>2021A</v>
      </c>
      <c r="F11" s="20" t="str">
        <f ca="1"/>
        <v>2022A</v>
      </c>
      <c r="G11" s="20" t="str">
        <f ca="1"/>
        <v>2023A</v>
      </c>
      <c r="H11" s="20" t="str">
        <f ca="1"/>
        <v>2024A</v>
      </c>
      <c r="I11" s="20" t="str">
        <f ca="1"/>
        <v>2025E</v>
      </c>
      <c r="J11" s="20" t="str">
        <f ca="1"/>
        <v>2026E</v>
      </c>
      <c r="K11" s="20" t="str">
        <f ca="1"/>
        <v>2027E</v>
      </c>
      <c r="L11" s="20" t="str">
        <f ca="1"/>
        <v>2028E</v>
      </c>
      <c r="M11" s="20" t="str">
        <f ca="1"/>
        <v>2029E</v>
      </c>
      <c r="N11" s="20" t="str">
        <f ca="1"/>
        <v>2030E</v>
      </c>
      <c r="O11" s="20" t="str">
        <f ca="1"/>
        <v>2031E</v>
      </c>
      <c r="P11" s="20" t="str">
        <f ca="1"/>
        <v>2032E</v>
      </c>
      <c r="Q11" s="20" t="str">
        <f ca="1"/>
        <v>2033E</v>
      </c>
      <c r="R11" s="20" t="str">
        <f ca="1"/>
        <v>2034E</v>
      </c>
    </row>
    <row r="12" spans="1:19" s="15" customFormat="1" x14ac:dyDescent="0.25">
      <c r="A12" s="103"/>
      <c r="B12" s="107"/>
      <c r="C12" s="10" t="str">
        <f>"Fiscal Year"</f>
        <v>Fiscal Year</v>
      </c>
      <c r="D12" s="15" cm="1">
        <f t="array" aca="1" ref="D12:R12" ca="1">IFERROR(DATE($D$9:OFFSET($D$9,0,$F$6-$D$9),_xlfn.XLOOKUP(_xlfn.TEXTAFTER(_xlfn.TEXTBEFORE($C$5,"-"),": "),$G$4:$R$4,_xlfn.ANCHORARRAY($G$3)),$G$6),1)</f>
        <v>44104</v>
      </c>
      <c r="E12" s="15">
        <f ca="1"/>
        <v>44469</v>
      </c>
      <c r="F12" s="15">
        <f ca="1"/>
        <v>44834</v>
      </c>
      <c r="G12" s="15">
        <f ca="1"/>
        <v>45199</v>
      </c>
      <c r="H12" s="15">
        <f ca="1"/>
        <v>45565</v>
      </c>
      <c r="I12" s="15">
        <f ca="1"/>
        <v>45930</v>
      </c>
      <c r="J12" s="15">
        <f ca="1"/>
        <v>46295</v>
      </c>
      <c r="K12" s="15">
        <f ca="1"/>
        <v>46660</v>
      </c>
      <c r="L12" s="15">
        <f ca="1"/>
        <v>47026</v>
      </c>
      <c r="M12" s="15">
        <f ca="1"/>
        <v>47391</v>
      </c>
      <c r="N12" s="15">
        <f ca="1"/>
        <v>47756</v>
      </c>
      <c r="O12" s="15">
        <f ca="1"/>
        <v>48121</v>
      </c>
      <c r="P12" s="15">
        <f ca="1"/>
        <v>48487</v>
      </c>
      <c r="Q12" s="15">
        <f ca="1"/>
        <v>48852</v>
      </c>
      <c r="R12" s="15">
        <f ca="1"/>
        <v>49217</v>
      </c>
    </row>
    <row r="13" spans="1:19" s="15" customFormat="1" x14ac:dyDescent="0.25">
      <c r="A13" s="103"/>
      <c r="B13" s="107"/>
      <c r="C13" s="10" t="str">
        <f>"Valuation Date"</f>
        <v>Valuation Date</v>
      </c>
      <c r="D13" s="15" cm="1">
        <f t="array" aca="1" ref="D13:R13" ca="1">IFERROR(DATE(D9:OFFSET(D9,0,F6-D9)-E3,MONTH(D7),DAY(D7)),1)</f>
        <v>44049</v>
      </c>
      <c r="E13" s="15">
        <f ca="1"/>
        <v>44414</v>
      </c>
      <c r="F13" s="15">
        <f ca="1"/>
        <v>44779</v>
      </c>
      <c r="G13" s="15">
        <f ca="1"/>
        <v>45144</v>
      </c>
      <c r="H13" s="15">
        <f ca="1"/>
        <v>45510</v>
      </c>
      <c r="I13" s="15">
        <f ca="1"/>
        <v>45875</v>
      </c>
      <c r="J13" s="15">
        <f ca="1"/>
        <v>46240</v>
      </c>
      <c r="K13" s="15">
        <f ca="1"/>
        <v>46605</v>
      </c>
      <c r="L13" s="15">
        <f ca="1"/>
        <v>46971</v>
      </c>
      <c r="M13" s="15">
        <f ca="1"/>
        <v>47336</v>
      </c>
      <c r="N13" s="15">
        <f ca="1"/>
        <v>47701</v>
      </c>
      <c r="O13" s="15">
        <f ca="1"/>
        <v>48066</v>
      </c>
      <c r="P13" s="15">
        <f ca="1"/>
        <v>48432</v>
      </c>
      <c r="Q13" s="15">
        <f ca="1"/>
        <v>48797</v>
      </c>
      <c r="R13" s="15">
        <f ca="1"/>
        <v>49162</v>
      </c>
    </row>
    <row r="15" spans="1:19" s="13" customFormat="1" x14ac:dyDescent="0.25">
      <c r="A15" s="73"/>
      <c r="B15" s="74"/>
      <c r="C15" s="8" t="str">
        <f>"Revenue"</f>
        <v>Revenue</v>
      </c>
      <c r="D15" s="13" cm="1">
        <f t="array" aca="1" ref="D15:R15" ca="1">IFERROR(_xlfn.NUMBERVALUE(_xlfn.TEXTBEFORE(INDIRECT("Consensus!"&amp;$E$7&amp;B16&amp;":"&amp;$E$8&amp;B16)," ")),"NA")</f>
        <v>274515</v>
      </c>
      <c r="E15" s="13">
        <f ca="1"/>
        <v>365817</v>
      </c>
      <c r="F15" s="13">
        <f ca="1"/>
        <v>394328</v>
      </c>
      <c r="G15" s="13">
        <f ca="1"/>
        <v>383285</v>
      </c>
      <c r="H15" s="13">
        <f ca="1"/>
        <v>391035</v>
      </c>
      <c r="I15" s="13">
        <f ca="1"/>
        <v>414909.05</v>
      </c>
      <c r="J15" s="13">
        <f ca="1"/>
        <v>435293.35</v>
      </c>
      <c r="K15" s="13">
        <f ca="1"/>
        <v>463392.15</v>
      </c>
      <c r="L15" s="13">
        <f ca="1"/>
        <v>489893.5</v>
      </c>
      <c r="M15" s="13">
        <f ca="1"/>
        <v>533329</v>
      </c>
      <c r="N15" s="13">
        <f ca="1"/>
        <v>569147</v>
      </c>
      <c r="O15" s="13">
        <f ca="1"/>
        <v>596418</v>
      </c>
      <c r="P15" s="13" t="str">
        <f ca="1"/>
        <v>NA</v>
      </c>
      <c r="Q15" s="13" t="str">
        <f ca="1"/>
        <v>NA</v>
      </c>
      <c r="R15" s="13" t="str">
        <f ca="1"/>
        <v>NA</v>
      </c>
    </row>
    <row r="16" spans="1:19" s="19" customFormat="1" x14ac:dyDescent="0.25">
      <c r="A16" s="76"/>
      <c r="B16" s="74">
        <f ca="1">_xlfn.XMATCH(C15,INDIRECT("Consensus!A:A"))</f>
        <v>95</v>
      </c>
      <c r="C16" s="16" t="str">
        <f>"% growth"</f>
        <v>% growth</v>
      </c>
      <c r="E16" s="19" cm="1">
        <f t="array" aca="1" ref="E16:R16" ca="1">IFERROR(E15:OFFSET(E15,,F6-D9-1)/D15:OFFSET(D15,,F6-D9-1)-1,"NA ")</f>
        <v>0.33259384733074704</v>
      </c>
      <c r="F16" s="19">
        <f ca="1"/>
        <v>7.7937876041846099E-2</v>
      </c>
      <c r="G16" s="19">
        <f ca="1"/>
        <v>-2.800460530319937E-2</v>
      </c>
      <c r="H16" s="19">
        <f ca="1"/>
        <v>2.021994077514111E-2</v>
      </c>
      <c r="I16" s="19">
        <f ca="1"/>
        <v>6.1053486260820522E-2</v>
      </c>
      <c r="J16" s="19">
        <f ca="1"/>
        <v>4.9129562249847325E-2</v>
      </c>
      <c r="K16" s="19">
        <f ca="1"/>
        <v>6.4551411134583292E-2</v>
      </c>
      <c r="L16" s="19">
        <f ca="1"/>
        <v>5.7189898447783216E-2</v>
      </c>
      <c r="M16" s="19">
        <f ca="1"/>
        <v>8.8663148214867205E-2</v>
      </c>
      <c r="N16" s="19">
        <f ca="1"/>
        <v>6.7159295669277252E-2</v>
      </c>
      <c r="O16" s="19">
        <f ca="1"/>
        <v>4.791556487164117E-2</v>
      </c>
      <c r="P16" s="19" t="str">
        <f ca="1"/>
        <v xml:space="preserve">NA </v>
      </c>
      <c r="Q16" s="19" t="str">
        <f ca="1"/>
        <v xml:space="preserve">NA </v>
      </c>
      <c r="R16" s="19" t="str">
        <f ca="1"/>
        <v xml:space="preserve">NA </v>
      </c>
    </row>
    <row r="17" spans="1:18" s="13" customFormat="1" x14ac:dyDescent="0.25">
      <c r="A17" s="73"/>
      <c r="B17" s="74"/>
      <c r="C17" s="8"/>
    </row>
    <row r="18" spans="1:18" s="13" customFormat="1" x14ac:dyDescent="0.25">
      <c r="A18" s="73"/>
      <c r="B18" s="74"/>
      <c r="C18" s="8" t="str">
        <f>"EBITDA"</f>
        <v>EBITDA</v>
      </c>
      <c r="D18" s="13" cm="1">
        <f t="array" aca="1" ref="D18:R18" ca="1">IFERROR(_xlfn.NUMBERVALUE(_xlfn.TEXTBEFORE(INDIRECT("Consensus!"&amp;$E$7&amp;B19&amp;":"&amp;$E$8&amp;B19)," ")),"NA")</f>
        <v>77344</v>
      </c>
      <c r="E18" s="13">
        <f ca="1"/>
        <v>120233</v>
      </c>
      <c r="F18" s="13">
        <f ca="1"/>
        <v>130541</v>
      </c>
      <c r="G18" s="13">
        <f ca="1"/>
        <v>125820</v>
      </c>
      <c r="H18" s="13">
        <f ca="1"/>
        <v>134661</v>
      </c>
      <c r="I18" s="13">
        <f ca="1"/>
        <v>143832.42000000001</v>
      </c>
      <c r="J18" s="13">
        <f ca="1"/>
        <v>149548.89000000001</v>
      </c>
      <c r="K18" s="13">
        <f ca="1"/>
        <v>161367.18</v>
      </c>
      <c r="L18" s="13">
        <f ca="1"/>
        <v>174140.5</v>
      </c>
      <c r="M18" s="13">
        <f ca="1"/>
        <v>194179</v>
      </c>
      <c r="N18" s="13">
        <f ca="1"/>
        <v>217531</v>
      </c>
      <c r="O18" s="13">
        <f ca="1"/>
        <v>233309</v>
      </c>
      <c r="P18" s="13" t="str">
        <f ca="1"/>
        <v>NA</v>
      </c>
      <c r="Q18" s="13" t="str">
        <f ca="1"/>
        <v>NA</v>
      </c>
      <c r="R18" s="13" t="str">
        <f ca="1"/>
        <v>NA</v>
      </c>
    </row>
    <row r="19" spans="1:18" s="19" customFormat="1" x14ac:dyDescent="0.25">
      <c r="A19" s="76"/>
      <c r="B19" s="74">
        <f ca="1">_xlfn.XMATCH(C18,INDIRECT("Consensus!A:A"))</f>
        <v>122</v>
      </c>
      <c r="C19" s="16" t="str">
        <f>"% of Revenue"</f>
        <v>% of Revenue</v>
      </c>
      <c r="D19" s="19" cm="1">
        <f t="array" aca="1" ref="D19:R19" ca="1">IFERROR(D18:OFFSET(D18,0,$F$6-$D$9)/D$15:OFFSET(D$15,0,$F$6-$D$9),"NA ")</f>
        <v>0.2817478097736007</v>
      </c>
      <c r="E19" s="19">
        <f ca="1"/>
        <v>0.32866979938056462</v>
      </c>
      <c r="F19" s="19">
        <f ca="1"/>
        <v>0.3310467428130896</v>
      </c>
      <c r="G19" s="19">
        <f ca="1"/>
        <v>0.32826747720364741</v>
      </c>
      <c r="H19" s="19">
        <f ca="1"/>
        <v>0.34437070850435381</v>
      </c>
      <c r="I19" s="19">
        <f ca="1"/>
        <v>0.34666011744019565</v>
      </c>
      <c r="J19" s="19">
        <f ca="1"/>
        <v>0.34355886668151492</v>
      </c>
      <c r="K19" s="19">
        <f ca="1"/>
        <v>0.34823028400459521</v>
      </c>
      <c r="L19" s="19">
        <f ca="1"/>
        <v>0.35546603496474233</v>
      </c>
      <c r="M19" s="19">
        <f ca="1"/>
        <v>0.36408858321973864</v>
      </c>
      <c r="N19" s="19">
        <f ca="1"/>
        <v>0.38220530021242316</v>
      </c>
      <c r="O19" s="19">
        <f ca="1"/>
        <v>0.39118370002246744</v>
      </c>
      <c r="P19" s="19" t="str">
        <f ca="1"/>
        <v xml:space="preserve">NA </v>
      </c>
      <c r="Q19" s="19" t="str">
        <f ca="1"/>
        <v xml:space="preserve">NA </v>
      </c>
      <c r="R19" s="19" t="str">
        <f ca="1"/>
        <v xml:space="preserve">NA </v>
      </c>
    </row>
    <row r="20" spans="1:18" s="13" customFormat="1" x14ac:dyDescent="0.25">
      <c r="A20" s="73"/>
      <c r="B20" s="74"/>
      <c r="C20" s="8"/>
    </row>
    <row r="21" spans="1:18" s="13" customFormat="1" x14ac:dyDescent="0.25">
      <c r="A21" s="73"/>
      <c r="B21" s="74"/>
      <c r="C21" s="8" t="str">
        <f>"EBIT"</f>
        <v>EBIT</v>
      </c>
      <c r="D21" s="13" cm="1">
        <f t="array" aca="1" ref="D21:R21" ca="1">IFERROR(_xlfn.NUMBERVALUE(_xlfn.TEXTBEFORE(INDIRECT("Consensus!"&amp;$E$7&amp;B22&amp;":"&amp;$E$8&amp;B22)," ")),"NA")</f>
        <v>66288</v>
      </c>
      <c r="E21" s="13">
        <f ca="1"/>
        <v>108949</v>
      </c>
      <c r="F21" s="13">
        <f ca="1"/>
        <v>119437</v>
      </c>
      <c r="G21" s="13">
        <f ca="1"/>
        <v>114301</v>
      </c>
      <c r="H21" s="13">
        <f ca="1"/>
        <v>123216</v>
      </c>
      <c r="I21" s="13">
        <f ca="1"/>
        <v>132012.79999999999</v>
      </c>
      <c r="J21" s="13">
        <f ca="1"/>
        <v>138295.31</v>
      </c>
      <c r="K21" s="13">
        <f ca="1"/>
        <v>148068.1</v>
      </c>
      <c r="L21" s="13">
        <f ca="1"/>
        <v>162985.5</v>
      </c>
      <c r="M21" s="13">
        <f ca="1"/>
        <v>182518.5</v>
      </c>
      <c r="N21" s="13">
        <f ca="1"/>
        <v>202402</v>
      </c>
      <c r="O21" s="13">
        <f ca="1"/>
        <v>217277</v>
      </c>
      <c r="P21" s="13" t="str">
        <f ca="1"/>
        <v>NA</v>
      </c>
      <c r="Q21" s="13" t="str">
        <f ca="1"/>
        <v>NA</v>
      </c>
      <c r="R21" s="13" t="str">
        <f ca="1"/>
        <v>NA</v>
      </c>
    </row>
    <row r="22" spans="1:18" s="19" customFormat="1" x14ac:dyDescent="0.25">
      <c r="A22" s="76"/>
      <c r="B22" s="74">
        <f ca="1">_xlfn.XMATCH(C21,INDIRECT("Consensus!A:A"))</f>
        <v>131</v>
      </c>
      <c r="C22" s="16" t="str">
        <f>"% of Revenue"</f>
        <v>% of Revenue</v>
      </c>
      <c r="D22" s="19" cm="1">
        <f t="array" aca="1" ref="D22:R22" ca="1">IFERROR(D21:OFFSET(D21,0,$F$6-$D$9)/D$15:OFFSET(D$15,0,$F$6-$D$9),"NA ")</f>
        <v>0.24147314354406862</v>
      </c>
      <c r="E22" s="19">
        <f ca="1"/>
        <v>0.29782377527561593</v>
      </c>
      <c r="F22" s="19">
        <f ca="1"/>
        <v>0.30288744395528594</v>
      </c>
      <c r="G22" s="19">
        <f ca="1"/>
        <v>0.29821412265024722</v>
      </c>
      <c r="H22" s="19">
        <f ca="1"/>
        <v>0.31510222870075566</v>
      </c>
      <c r="I22" s="19">
        <f ca="1"/>
        <v>0.31817286222125063</v>
      </c>
      <c r="J22" s="19">
        <f ca="1"/>
        <v>0.31770600217072004</v>
      </c>
      <c r="K22" s="19">
        <f ca="1"/>
        <v>0.31953087681783127</v>
      </c>
      <c r="L22" s="19">
        <f ca="1"/>
        <v>0.33269577979703752</v>
      </c>
      <c r="M22" s="19">
        <f ca="1"/>
        <v>0.34222496807786562</v>
      </c>
      <c r="N22" s="19">
        <f ca="1"/>
        <v>0.35562341539180564</v>
      </c>
      <c r="O22" s="19">
        <f ca="1"/>
        <v>0.36430322357809458</v>
      </c>
      <c r="P22" s="19" t="str">
        <f ca="1"/>
        <v xml:space="preserve">NA </v>
      </c>
      <c r="Q22" s="19" t="str">
        <f ca="1"/>
        <v xml:space="preserve">NA </v>
      </c>
      <c r="R22" s="19" t="str">
        <f ca="1"/>
        <v xml:space="preserve">NA </v>
      </c>
    </row>
    <row r="23" spans="1:18" s="13" customFormat="1" x14ac:dyDescent="0.25">
      <c r="A23" s="73"/>
      <c r="B23" s="74"/>
      <c r="C23" s="8"/>
    </row>
    <row r="24" spans="1:18" s="13" customFormat="1" x14ac:dyDescent="0.25">
      <c r="A24" s="73"/>
      <c r="B24" s="74"/>
      <c r="C24" s="8" t="str">
        <f>"Depreciation &amp; Amortization"</f>
        <v>Depreciation &amp; Amortization</v>
      </c>
      <c r="D24" s="13" cm="1">
        <f t="array" aca="1" ref="D24:R24" ca="1">IFERROR(_xlfn.NUMBERVALUE(_xlfn.TEXTBEFORE(INDIRECT("Consensus!"&amp;$E$7&amp;B25&amp;":"&amp;$E$8&amp;B25)," ")),"NA")</f>
        <v>11056</v>
      </c>
      <c r="E24" s="13">
        <f ca="1"/>
        <v>11284</v>
      </c>
      <c r="F24" s="13">
        <f ca="1"/>
        <v>11104</v>
      </c>
      <c r="G24" s="13">
        <f ca="1"/>
        <v>11519</v>
      </c>
      <c r="H24" s="13">
        <f ca="1"/>
        <v>11445</v>
      </c>
      <c r="I24" s="13">
        <f ca="1"/>
        <v>11618.78</v>
      </c>
      <c r="J24" s="13">
        <f ca="1"/>
        <v>12021.49</v>
      </c>
      <c r="K24" s="13">
        <f ca="1"/>
        <v>12323.99</v>
      </c>
      <c r="L24" s="13">
        <f ca="1"/>
        <v>11094</v>
      </c>
      <c r="M24" s="13">
        <f ca="1"/>
        <v>11601</v>
      </c>
      <c r="N24" s="13">
        <f ca="1"/>
        <v>15129</v>
      </c>
      <c r="O24" s="13">
        <f ca="1"/>
        <v>16032</v>
      </c>
      <c r="P24" s="13" t="str">
        <f ca="1"/>
        <v>NA</v>
      </c>
      <c r="Q24" s="13" t="str">
        <f ca="1"/>
        <v>NA</v>
      </c>
      <c r="R24" s="13" t="str">
        <f ca="1"/>
        <v>NA</v>
      </c>
    </row>
    <row r="25" spans="1:18" s="19" customFormat="1" x14ac:dyDescent="0.25">
      <c r="A25" s="76"/>
      <c r="B25" s="74">
        <f ca="1">_xlfn.XMATCH(C24,INDIRECT("Consensus!A:A"))</f>
        <v>212</v>
      </c>
      <c r="C25" s="16" t="str">
        <f>"% of Revenue"</f>
        <v>% of Revenue</v>
      </c>
      <c r="D25" s="19" cm="1">
        <f t="array" aca="1" ref="D25:R25" ca="1">IFERROR(D24:OFFSET(D24,0,$F$6-$D$9)/D$15:OFFSET(D$15,0,$F$6-$D$9),"NA ")</f>
        <v>4.0274666229532081E-2</v>
      </c>
      <c r="E25" s="19">
        <f ca="1"/>
        <v>3.084602410494865E-2</v>
      </c>
      <c r="F25" s="19">
        <f ca="1"/>
        <v>2.8159298857803657E-2</v>
      </c>
      <c r="G25" s="19">
        <f ca="1"/>
        <v>3.0053354553400212E-2</v>
      </c>
      <c r="H25" s="19">
        <f ca="1"/>
        <v>2.9268479803598143E-2</v>
      </c>
      <c r="I25" s="19">
        <f ca="1"/>
        <v>2.8003197327221473E-2</v>
      </c>
      <c r="J25" s="19">
        <f ca="1"/>
        <v>2.7616985189413072E-2</v>
      </c>
      <c r="K25" s="19">
        <f ca="1"/>
        <v>2.6595163513236035E-2</v>
      </c>
      <c r="L25" s="19">
        <f ca="1"/>
        <v>2.2645738308428261E-2</v>
      </c>
      <c r="M25" s="19">
        <f ca="1"/>
        <v>2.1752051735420351E-2</v>
      </c>
      <c r="N25" s="19">
        <f ca="1"/>
        <v>2.6581884820617522E-2</v>
      </c>
      <c r="O25" s="19">
        <f ca="1"/>
        <v>2.6880476444372907E-2</v>
      </c>
      <c r="P25" s="19" t="str">
        <f ca="1"/>
        <v xml:space="preserve">NA </v>
      </c>
      <c r="Q25" s="19" t="str">
        <f ca="1"/>
        <v xml:space="preserve">NA </v>
      </c>
      <c r="R25" s="19" t="str">
        <f ca="1"/>
        <v xml:space="preserve">NA </v>
      </c>
    </row>
    <row r="26" spans="1:18" s="13" customFormat="1" x14ac:dyDescent="0.25">
      <c r="A26" s="73"/>
      <c r="B26" s="74"/>
      <c r="C26" s="8"/>
    </row>
    <row r="27" spans="1:18" s="13" customFormat="1" x14ac:dyDescent="0.25">
      <c r="A27" s="73"/>
      <c r="B27" s="74"/>
      <c r="C27" s="8" t="str">
        <f>"Capital Expenditures"</f>
        <v>Capital Expenditures</v>
      </c>
      <c r="D27" s="13" cm="1">
        <f t="array" aca="1" ref="D27:R27" ca="1">IFERROR(-_xlfn.NUMBERVALUE(_xlfn.TEXTBEFORE(INDIRECT("Consensus!"&amp;$E$7&amp;B28&amp;":"&amp;$E$8&amp;B28)," ")),"NA")</f>
        <v>-7309</v>
      </c>
      <c r="E27" s="13">
        <f ca="1"/>
        <v>-11085</v>
      </c>
      <c r="F27" s="13">
        <f ca="1"/>
        <v>-10708</v>
      </c>
      <c r="G27" s="13">
        <f ca="1"/>
        <v>-10959</v>
      </c>
      <c r="H27" s="13">
        <f ca="1"/>
        <v>-9447</v>
      </c>
      <c r="I27" s="13">
        <f ca="1"/>
        <v>-11813.41</v>
      </c>
      <c r="J27" s="13">
        <f ca="1"/>
        <v>-12949.41</v>
      </c>
      <c r="K27" s="13">
        <f ca="1"/>
        <v>-12658.63</v>
      </c>
      <c r="L27" s="13">
        <f ca="1"/>
        <v>-14598</v>
      </c>
      <c r="M27" s="13">
        <f ca="1"/>
        <v>-15750</v>
      </c>
      <c r="N27" s="13">
        <f ca="1"/>
        <v>-15129</v>
      </c>
      <c r="O27" s="13">
        <f ca="1"/>
        <v>-16032</v>
      </c>
      <c r="P27" s="13" t="str">
        <f ca="1"/>
        <v>NA</v>
      </c>
      <c r="Q27" s="13" t="str">
        <f ca="1"/>
        <v>NA</v>
      </c>
      <c r="R27" s="13" t="str">
        <f ca="1"/>
        <v>NA</v>
      </c>
    </row>
    <row r="28" spans="1:18" s="19" customFormat="1" x14ac:dyDescent="0.25">
      <c r="A28" s="76"/>
      <c r="B28" s="74">
        <f ca="1">_xlfn.XMATCH(C27,INDIRECT("Consensus!A:A"))</f>
        <v>239</v>
      </c>
      <c r="C28" s="16" t="str">
        <f>"% of Revenue"</f>
        <v>% of Revenue</v>
      </c>
      <c r="D28" s="19" cm="1">
        <f t="array" aca="1" ref="D28:R28" ca="1">IFERROR(-D27:OFFSET(D27,0,$F$6-$D$9)/D$15:OFFSET(D$15,0,$F$6-$D$9),"NA ")</f>
        <v>2.6625138881299748E-2</v>
      </c>
      <c r="E28" s="19">
        <f ca="1"/>
        <v>3.0302036264033657E-2</v>
      </c>
      <c r="F28" s="19">
        <f ca="1"/>
        <v>2.7155058732831552E-2</v>
      </c>
      <c r="G28" s="19">
        <f ca="1"/>
        <v>2.859230076835775E-2</v>
      </c>
      <c r="H28" s="19">
        <f ca="1"/>
        <v>2.415896275269477E-2</v>
      </c>
      <c r="I28" s="19">
        <f ca="1"/>
        <v>2.8472288083376346E-2</v>
      </c>
      <c r="J28" s="19">
        <f ca="1"/>
        <v>2.9748697056823866E-2</v>
      </c>
      <c r="K28" s="19">
        <f ca="1"/>
        <v>2.7317316445692914E-2</v>
      </c>
      <c r="L28" s="19">
        <f ca="1"/>
        <v>2.9798313306871799E-2</v>
      </c>
      <c r="M28" s="19">
        <f ca="1"/>
        <v>2.953148994335579E-2</v>
      </c>
      <c r="N28" s="19">
        <f ca="1"/>
        <v>2.6581884820617522E-2</v>
      </c>
      <c r="O28" s="19">
        <f ca="1"/>
        <v>2.6880476444372907E-2</v>
      </c>
      <c r="P28" s="19" t="str">
        <f ca="1"/>
        <v xml:space="preserve">NA </v>
      </c>
      <c r="Q28" s="19" t="str">
        <f ca="1"/>
        <v xml:space="preserve">NA </v>
      </c>
      <c r="R28" s="19" t="str">
        <f ca="1"/>
        <v xml:space="preserve">NA </v>
      </c>
    </row>
    <row r="29" spans="1:18" s="13" customFormat="1" x14ac:dyDescent="0.25">
      <c r="A29" s="73"/>
      <c r="B29" s="74"/>
      <c r="C29" s="8"/>
    </row>
    <row r="30" spans="1:18" s="13" customFormat="1" x14ac:dyDescent="0.25">
      <c r="A30" s="73"/>
      <c r="B30" s="74"/>
      <c r="C30" s="8" t="str" cm="1">
        <f t="array" aca="1" ref="C30" ca="1">INDIRECT("Consensus!A"&amp;B31)</f>
        <v>Net Income (GAAP)</v>
      </c>
      <c r="D30" s="13" cm="1">
        <f t="array" aca="1" ref="D30:R30" ca="1">IFERROR(_xlfn.NUMBERVALUE(_xlfn.TEXTBEFORE(INDIRECT("Consensus!"&amp;$E$7&amp;B31&amp;":"&amp;$E$8&amp;B31)," ")),"NA")</f>
        <v>57411</v>
      </c>
      <c r="E30" s="13">
        <f ca="1"/>
        <v>94680</v>
      </c>
      <c r="F30" s="13">
        <f ca="1"/>
        <v>99803</v>
      </c>
      <c r="G30" s="13">
        <f ca="1"/>
        <v>96995</v>
      </c>
      <c r="H30" s="13">
        <f ca="1"/>
        <v>93736</v>
      </c>
      <c r="I30" s="13">
        <f ca="1"/>
        <v>110712.97</v>
      </c>
      <c r="J30" s="13">
        <f ca="1"/>
        <v>115464.08</v>
      </c>
      <c r="K30" s="13">
        <f ca="1"/>
        <v>124950.62</v>
      </c>
      <c r="L30" s="13">
        <f ca="1"/>
        <v>137972.5</v>
      </c>
      <c r="M30" s="13">
        <f ca="1"/>
        <v>154634.5</v>
      </c>
      <c r="N30" s="13">
        <f ca="1"/>
        <v>173181</v>
      </c>
      <c r="O30" s="13">
        <f ca="1"/>
        <v>186207</v>
      </c>
      <c r="P30" s="13" t="str">
        <f ca="1"/>
        <v>NA</v>
      </c>
      <c r="Q30" s="13" t="str">
        <f ca="1"/>
        <v>NA</v>
      </c>
      <c r="R30" s="13" t="str">
        <f ca="1"/>
        <v>NA</v>
      </c>
    </row>
    <row r="31" spans="1:18" s="19" customFormat="1" x14ac:dyDescent="0.25">
      <c r="A31" s="76"/>
      <c r="B31" s="74" cm="1">
        <f t="array" aca="1" ref="B31" ca="1">_xlfn.XMATCH(1,SEARCH("Net Income (",INDIRECT("Consensus!A:A")))</f>
        <v>185</v>
      </c>
      <c r="C31" s="16" t="str">
        <f>"% of Revenue"</f>
        <v>% of Revenue</v>
      </c>
      <c r="D31" s="19" cm="1">
        <f t="array" aca="1" ref="D31:R31" ca="1">IFERROR(D30:OFFSET(D30,0,$F$6-$D$9)/D$15:OFFSET(D$15,0,$F$6-$D$9),"NA ")</f>
        <v>0.20913611278072236</v>
      </c>
      <c r="E31" s="19">
        <f ca="1"/>
        <v>0.25881793355694238</v>
      </c>
      <c r="F31" s="19">
        <f ca="1"/>
        <v>0.25309640705199732</v>
      </c>
      <c r="G31" s="19">
        <f ca="1"/>
        <v>0.25306234264320282</v>
      </c>
      <c r="H31" s="19">
        <f ca="1"/>
        <v>0.23971255769943867</v>
      </c>
      <c r="I31" s="19">
        <f ca="1"/>
        <v>0.26683671999923841</v>
      </c>
      <c r="J31" s="19">
        <f ca="1"/>
        <v>0.2652557867010833</v>
      </c>
      <c r="K31" s="19">
        <f ca="1"/>
        <v>0.26964336793361732</v>
      </c>
      <c r="L31" s="19">
        <f ca="1"/>
        <v>0.28163774371368472</v>
      </c>
      <c r="M31" s="19">
        <f ca="1"/>
        <v>0.28994204327910167</v>
      </c>
      <c r="N31" s="19">
        <f ca="1"/>
        <v>0.30428167064044964</v>
      </c>
      <c r="O31" s="19">
        <f ca="1"/>
        <v>0.31220888705572264</v>
      </c>
      <c r="P31" s="19" t="str">
        <f ca="1"/>
        <v xml:space="preserve">NA </v>
      </c>
      <c r="Q31" s="19" t="str">
        <f ca="1"/>
        <v xml:space="preserve">NA </v>
      </c>
      <c r="R31" s="19" t="str">
        <f ca="1"/>
        <v xml:space="preserve">NA </v>
      </c>
    </row>
    <row r="32" spans="1:18" s="13" customFormat="1" x14ac:dyDescent="0.25">
      <c r="A32" s="73"/>
      <c r="B32" s="74"/>
      <c r="C32" s="8"/>
    </row>
    <row r="33" spans="1:18" s="13" customFormat="1" x14ac:dyDescent="0.25">
      <c r="A33" s="73"/>
      <c r="B33" s="74"/>
      <c r="C33" s="8" t="str">
        <f>"Cash From Operations"</f>
        <v>Cash From Operations</v>
      </c>
      <c r="D33" s="13" cm="1">
        <f t="array" aca="1" ref="D33:R33" ca="1">IFERROR(_xlfn.NUMBERVALUE(_xlfn.TEXTBEFORE(INDIRECT("Consensus!"&amp;$E$7&amp;B34&amp;":"&amp;$E$8&amp;B34)," ")),"NA")</f>
        <v>80674</v>
      </c>
      <c r="E33" s="13">
        <f ca="1"/>
        <v>104038</v>
      </c>
      <c r="F33" s="13">
        <f ca="1"/>
        <v>122151</v>
      </c>
      <c r="G33" s="13">
        <f ca="1"/>
        <v>110543</v>
      </c>
      <c r="H33" s="13">
        <f ca="1"/>
        <v>118254</v>
      </c>
      <c r="I33" s="13">
        <f ca="1"/>
        <v>123738.45</v>
      </c>
      <c r="J33" s="13">
        <f ca="1"/>
        <v>141388.5</v>
      </c>
      <c r="K33" s="13">
        <f ca="1"/>
        <v>150431</v>
      </c>
      <c r="L33" s="13">
        <f ca="1"/>
        <v>180186</v>
      </c>
      <c r="M33" s="13">
        <f ca="1"/>
        <v>201026</v>
      </c>
      <c r="N33" s="13">
        <f ca="1"/>
        <v>210628</v>
      </c>
      <c r="O33" s="13">
        <f ca="1"/>
        <v>229479</v>
      </c>
      <c r="P33" s="13" t="str">
        <f ca="1"/>
        <v>NA</v>
      </c>
      <c r="Q33" s="13" t="str">
        <f ca="1"/>
        <v>NA</v>
      </c>
      <c r="R33" s="13" t="str">
        <f ca="1"/>
        <v>NA</v>
      </c>
    </row>
    <row r="34" spans="1:18" s="19" customFormat="1" x14ac:dyDescent="0.25">
      <c r="A34" s="76"/>
      <c r="B34" s="74">
        <f ca="1">_xlfn.XMATCH(C33,INDIRECT("Consensus!A:A"))</f>
        <v>221</v>
      </c>
      <c r="C34" s="16" t="str">
        <f>"% of Revenue"</f>
        <v>% of Revenue</v>
      </c>
      <c r="D34" s="19" cm="1">
        <f t="array" aca="1" ref="D34:R34" ca="1">IFERROR(D33:OFFSET(D33,0,$F$6-$D$9)/D$15:OFFSET(D$15,0,$F$6-$D$9),"NA ")</f>
        <v>0.29387829444656938</v>
      </c>
      <c r="E34" s="19">
        <f ca="1"/>
        <v>0.28439903011615097</v>
      </c>
      <c r="F34" s="19">
        <f ca="1"/>
        <v>0.30977003915522106</v>
      </c>
      <c r="G34" s="19">
        <f ca="1"/>
        <v>0.28840940814276583</v>
      </c>
      <c r="H34" s="19">
        <f ca="1"/>
        <v>0.30241282749625992</v>
      </c>
      <c r="I34" s="19">
        <f ca="1"/>
        <v>0.29823029890526609</v>
      </c>
      <c r="J34" s="19">
        <f ca="1"/>
        <v>0.32481199172925568</v>
      </c>
      <c r="K34" s="19">
        <f ca="1"/>
        <v>0.32463001369358541</v>
      </c>
      <c r="L34" s="19">
        <f ca="1"/>
        <v>0.36780647222304441</v>
      </c>
      <c r="M34" s="19">
        <f ca="1"/>
        <v>0.37692681253035182</v>
      </c>
      <c r="N34" s="19">
        <f ca="1"/>
        <v>0.370076623438233</v>
      </c>
      <c r="O34" s="19">
        <f ca="1"/>
        <v>0.38476202931501063</v>
      </c>
      <c r="P34" s="19" t="str">
        <f ca="1"/>
        <v xml:space="preserve">NA </v>
      </c>
      <c r="Q34" s="19" t="str">
        <f ca="1"/>
        <v xml:space="preserve">NA </v>
      </c>
      <c r="R34" s="19" t="str">
        <f ca="1"/>
        <v xml:space="preserve">NA </v>
      </c>
    </row>
    <row r="35" spans="1:18" s="13" customFormat="1" x14ac:dyDescent="0.25">
      <c r="A35" s="73"/>
      <c r="B35" s="74"/>
      <c r="C35" s="8"/>
    </row>
    <row r="36" spans="1:18" s="13" customFormat="1" x14ac:dyDescent="0.25">
      <c r="A36" s="73"/>
      <c r="B36" s="74"/>
      <c r="C36" s="8" t="str">
        <f>"Change in Working Capital &amp; Other Non-Cash Expenses"</f>
        <v>Change in Working Capital &amp; Other Non-Cash Expenses</v>
      </c>
      <c r="D36" s="13" cm="1">
        <f t="array" aca="1" ref="D36:R36" ca="1">IFERROR(D33:OFFSET(D33,0,$F$6-$D$9)-D30:OFFSET(D30,0,$F$6-$D$9)-D24:OFFSET(D24,0,$F$6-$D$9),"NA")</f>
        <v>12207</v>
      </c>
      <c r="E36" s="13">
        <f ca="1"/>
        <v>-1926</v>
      </c>
      <c r="F36" s="13">
        <f ca="1"/>
        <v>11244</v>
      </c>
      <c r="G36" s="13">
        <f ca="1"/>
        <v>2029</v>
      </c>
      <c r="H36" s="13">
        <f ca="1"/>
        <v>13073</v>
      </c>
      <c r="I36" s="13">
        <f ca="1"/>
        <v>1406.6999999999953</v>
      </c>
      <c r="J36" s="13">
        <f ca="1"/>
        <v>13902.929999999998</v>
      </c>
      <c r="K36" s="13">
        <f ca="1"/>
        <v>13156.390000000005</v>
      </c>
      <c r="L36" s="13">
        <f ca="1"/>
        <v>31119.5</v>
      </c>
      <c r="M36" s="13">
        <f ca="1"/>
        <v>34790.5</v>
      </c>
      <c r="N36" s="13">
        <f ca="1"/>
        <v>22318</v>
      </c>
      <c r="O36" s="13">
        <f ca="1"/>
        <v>27240</v>
      </c>
      <c r="P36" s="13" t="str">
        <f ca="1"/>
        <v>NA</v>
      </c>
      <c r="Q36" s="13" t="str">
        <f ca="1"/>
        <v>NA</v>
      </c>
      <c r="R36" s="13" t="str">
        <f ca="1"/>
        <v>NA</v>
      </c>
    </row>
    <row r="37" spans="1:18" s="19" customFormat="1" x14ac:dyDescent="0.25">
      <c r="A37" s="76"/>
      <c r="B37" s="74"/>
      <c r="C37" s="16" t="str">
        <f>"% of Revenue"</f>
        <v>% of Revenue</v>
      </c>
      <c r="D37" s="19" cm="1">
        <f t="array" aca="1" ref="D37:R37" ca="1">IFERROR(D36:OFFSET(D36,0,$F$6-$D$9)/D$15:OFFSET(D$15,0,$F$6-$D$9),"NA ")</f>
        <v>4.4467515436314956E-2</v>
      </c>
      <c r="E37" s="19">
        <f ca="1"/>
        <v>-5.2649275457400833E-3</v>
      </c>
      <c r="F37" s="19">
        <f ca="1"/>
        <v>2.8514333245420055E-2</v>
      </c>
      <c r="G37" s="19">
        <f ca="1"/>
        <v>5.2937109461627767E-3</v>
      </c>
      <c r="H37" s="19">
        <f ca="1"/>
        <v>3.3431789993223111E-2</v>
      </c>
      <c r="I37" s="19">
        <f ca="1"/>
        <v>3.3903815788062356E-3</v>
      </c>
      <c r="J37" s="19">
        <f ca="1"/>
        <v>3.193921983875931E-2</v>
      </c>
      <c r="K37" s="19">
        <f ca="1"/>
        <v>2.8391482246732068E-2</v>
      </c>
      <c r="L37" s="19">
        <f ca="1"/>
        <v>6.3522990200931426E-2</v>
      </c>
      <c r="M37" s="19">
        <f ca="1"/>
        <v>6.5232717515829819E-2</v>
      </c>
      <c r="N37" s="19">
        <f ca="1"/>
        <v>3.9213067977165832E-2</v>
      </c>
      <c r="O37" s="19">
        <f ca="1"/>
        <v>4.5672665814915039E-2</v>
      </c>
      <c r="P37" s="19" t="str">
        <f ca="1"/>
        <v xml:space="preserve">NA </v>
      </c>
      <c r="Q37" s="19" t="str">
        <f ca="1"/>
        <v xml:space="preserve">NA </v>
      </c>
      <c r="R37" s="19" t="str">
        <f ca="1"/>
        <v xml:space="preserve">NA </v>
      </c>
    </row>
    <row r="38" spans="1:18" s="19" customFormat="1" x14ac:dyDescent="0.25">
      <c r="A38" s="76"/>
      <c r="B38" s="82"/>
      <c r="C38" s="16" t="str">
        <f>"% of Change in Revenue"</f>
        <v>% of Change in Revenue</v>
      </c>
      <c r="E38" s="19" cm="1">
        <f t="array" aca="1" ref="E38:R38" ca="1">IFERROR(E36:OFFSET(E36,,$F$6-$D$9-1)/($E$15:OFFSET($E$15,,$F$6-$D$9-1)-$D$15:OFFSET($D$15,,$F$6-$D$9-1)),"NA ")</f>
        <v>-2.1094828152723927E-2</v>
      </c>
      <c r="F38" s="19">
        <f ca="1"/>
        <v>0.39437410122408895</v>
      </c>
      <c r="G38" s="19">
        <f ca="1"/>
        <v>-0.18373630354070453</v>
      </c>
      <c r="H38" s="19">
        <f ca="1"/>
        <v>1.6868387096774193</v>
      </c>
      <c r="I38" s="19">
        <f ca="1"/>
        <v>5.8921716256772352E-2</v>
      </c>
      <c r="J38" s="19">
        <f ca="1"/>
        <v>0.68204108063558755</v>
      </c>
      <c r="K38" s="19">
        <f ca="1"/>
        <v>0.4682189274986826</v>
      </c>
      <c r="L38" s="19">
        <f ca="1"/>
        <v>1.1742609338769545</v>
      </c>
      <c r="M38" s="19">
        <f ca="1"/>
        <v>0.80096925326058177</v>
      </c>
      <c r="N38" s="19">
        <f ca="1"/>
        <v>0.62309453347478916</v>
      </c>
      <c r="O38" s="19">
        <f ca="1"/>
        <v>0.9988632613398849</v>
      </c>
      <c r="P38" s="19" t="str">
        <f ca="1"/>
        <v xml:space="preserve">NA </v>
      </c>
      <c r="Q38" s="19" t="str">
        <f ca="1"/>
        <v xml:space="preserve">NA </v>
      </c>
      <c r="R38" s="19" t="str">
        <f ca="1"/>
        <v xml:space="preserve">NA </v>
      </c>
    </row>
    <row r="39" spans="1:18" s="13" customFormat="1" x14ac:dyDescent="0.25">
      <c r="A39" s="73"/>
      <c r="B39" s="74"/>
      <c r="C39" s="8"/>
    </row>
    <row r="40" spans="1:18" s="13" customFormat="1" x14ac:dyDescent="0.25">
      <c r="A40" s="73"/>
      <c r="B40" s="74"/>
      <c r="C40" s="8" t="str">
        <f>"Normalized Taxes"</f>
        <v>Normalized Taxes</v>
      </c>
      <c r="D40" s="13" cm="1">
        <f t="array" aca="1" ref="D40:R40" ca="1">IFERROR(-D41:OFFSET(D41,0,$F$6-$D$9)*D21:OFFSET(D21,0,$F$6-$D$9),"NA")</f>
        <v>-9565.3583999999992</v>
      </c>
      <c r="E40" s="13">
        <f ca="1"/>
        <v>-14490.217000000001</v>
      </c>
      <c r="F40" s="13">
        <f ca="1"/>
        <v>-19348.794000000002</v>
      </c>
      <c r="G40" s="13">
        <f ca="1"/>
        <v>-16825.107199999999</v>
      </c>
      <c r="H40" s="13">
        <f ca="1"/>
        <v>-29682.734400000001</v>
      </c>
      <c r="I40" s="13">
        <f ca="1"/>
        <v>-20831.619839999999</v>
      </c>
      <c r="J40" s="13">
        <f ca="1"/>
        <v>-22265.544910000001</v>
      </c>
      <c r="K40" s="13">
        <f ca="1"/>
        <v>-23483.60066</v>
      </c>
      <c r="L40" s="13">
        <f ca="1"/>
        <v>-25262.752499999999</v>
      </c>
      <c r="M40" s="13">
        <f ca="1"/>
        <v>-28290.3675</v>
      </c>
      <c r="N40" s="13">
        <f ca="1"/>
        <v>-30360.3</v>
      </c>
      <c r="O40" s="13">
        <f ca="1"/>
        <v>-32591.55</v>
      </c>
      <c r="P40" s="13" t="str">
        <f ca="1"/>
        <v>NA</v>
      </c>
      <c r="Q40" s="13" t="str">
        <f ca="1"/>
        <v>NA</v>
      </c>
      <c r="R40" s="13" t="str">
        <f ca="1"/>
        <v>NA</v>
      </c>
    </row>
    <row r="41" spans="1:18" s="19" customFormat="1" x14ac:dyDescent="0.25">
      <c r="A41" s="76"/>
      <c r="B41" s="82"/>
      <c r="C41" s="16" t="str">
        <f>"Effective Tax Rate (%)"</f>
        <v>Effective Tax Rate (%)</v>
      </c>
      <c r="D41" s="19" cm="1">
        <f t="array" aca="1" ref="D41:R41" ca="1">IFERROR(IFERROR(_xlfn.NUMBERVALUE(_xlfn.TEXTBEFORE(INDIRECT("Consensus!"&amp;$E$7&amp;B42&amp;":"&amp;$E$8&amp;B42)," ")),"NA")%,"NA ")</f>
        <v>0.14429999999999998</v>
      </c>
      <c r="E41" s="19">
        <f ca="1"/>
        <v>0.13300000000000001</v>
      </c>
      <c r="F41" s="19">
        <f ca="1"/>
        <v>0.16200000000000001</v>
      </c>
      <c r="G41" s="19">
        <f ca="1"/>
        <v>0.1472</v>
      </c>
      <c r="H41" s="19">
        <f ca="1"/>
        <v>0.2409</v>
      </c>
      <c r="I41" s="19">
        <f ca="1"/>
        <v>0.1578</v>
      </c>
      <c r="J41" s="19">
        <f ca="1"/>
        <v>0.161</v>
      </c>
      <c r="K41" s="19">
        <f ca="1"/>
        <v>0.15859999999999999</v>
      </c>
      <c r="L41" s="19">
        <f ca="1"/>
        <v>0.155</v>
      </c>
      <c r="M41" s="19">
        <f ca="1"/>
        <v>0.155</v>
      </c>
      <c r="N41" s="19">
        <f ca="1"/>
        <v>0.15</v>
      </c>
      <c r="O41" s="19">
        <f ca="1"/>
        <v>0.15</v>
      </c>
      <c r="P41" s="19" t="str">
        <f ca="1"/>
        <v xml:space="preserve">NA </v>
      </c>
      <c r="Q41" s="19" t="str">
        <f ca="1"/>
        <v xml:space="preserve">NA </v>
      </c>
      <c r="R41" s="19" t="str">
        <f ca="1"/>
        <v xml:space="preserve">NA </v>
      </c>
    </row>
    <row r="42" spans="1:18" s="13" customFormat="1" x14ac:dyDescent="0.25">
      <c r="A42" s="73"/>
      <c r="B42" s="74">
        <f ca="1">_xlfn.XMATCH(C41,INDIRECT("Consensus!A:A"))</f>
        <v>167</v>
      </c>
      <c r="C42" s="8"/>
    </row>
    <row r="43" spans="1:18" s="13" customFormat="1" x14ac:dyDescent="0.25">
      <c r="A43" s="73"/>
      <c r="B43" s="74"/>
      <c r="C43" s="8" t="str">
        <f>"EBIAT/NOPAT"</f>
        <v>EBIAT/NOPAT</v>
      </c>
      <c r="D43" s="13" cm="1">
        <f t="array" aca="1" ref="D43:R43" ca="1">IFERROR(D21:OFFSET(D21,0,$F$6-$D$9)+D40:OFFSET(D40,0,$F$6-$D$9),"NA")</f>
        <v>56722.641600000003</v>
      </c>
      <c r="E43" s="13">
        <f ca="1"/>
        <v>94458.782999999996</v>
      </c>
      <c r="F43" s="13">
        <f ca="1"/>
        <v>100088.20600000001</v>
      </c>
      <c r="G43" s="13">
        <f ca="1"/>
        <v>97475.892800000001</v>
      </c>
      <c r="H43" s="13">
        <f ca="1"/>
        <v>93533.265599999999</v>
      </c>
      <c r="I43" s="13">
        <f ca="1"/>
        <v>111181.18015999999</v>
      </c>
      <c r="J43" s="13">
        <f ca="1"/>
        <v>116029.76509</v>
      </c>
      <c r="K43" s="13">
        <f ca="1"/>
        <v>124584.49934000001</v>
      </c>
      <c r="L43" s="13">
        <f ca="1"/>
        <v>137722.7475</v>
      </c>
      <c r="M43" s="13">
        <f ca="1"/>
        <v>154228.13250000001</v>
      </c>
      <c r="N43" s="13">
        <f ca="1"/>
        <v>172041.7</v>
      </c>
      <c r="O43" s="13">
        <f ca="1"/>
        <v>184685.45</v>
      </c>
      <c r="P43" s="13" t="str">
        <f ca="1"/>
        <v>NA</v>
      </c>
      <c r="Q43" s="13" t="str">
        <f ca="1"/>
        <v>NA</v>
      </c>
      <c r="R43" s="13" t="str">
        <f ca="1"/>
        <v>NA</v>
      </c>
    </row>
    <row r="44" spans="1:18" s="19" customFormat="1" x14ac:dyDescent="0.25">
      <c r="A44" s="76"/>
      <c r="B44" s="82"/>
      <c r="C44" s="16" t="str">
        <f>"% of Revenue"</f>
        <v>% of Revenue</v>
      </c>
      <c r="D44" s="19" cm="1">
        <f t="array" aca="1" ref="D44:R44" ca="1">IFERROR(D43:OFFSET(D43,0,$F$6-$D$9)/D$15:OFFSET(D$15,0,$F$6-$D$9),"NA ")</f>
        <v>0.20662856893065953</v>
      </c>
      <c r="E44" s="19">
        <f ca="1"/>
        <v>0.25821321316395901</v>
      </c>
      <c r="F44" s="19">
        <f ca="1"/>
        <v>0.25381967803452965</v>
      </c>
      <c r="G44" s="19">
        <f ca="1"/>
        <v>0.25431700379613081</v>
      </c>
      <c r="H44" s="19">
        <f ca="1"/>
        <v>0.23919410180674364</v>
      </c>
      <c r="I44" s="19">
        <f ca="1"/>
        <v>0.26796518456273727</v>
      </c>
      <c r="J44" s="19">
        <f ca="1"/>
        <v>0.26655533582123414</v>
      </c>
      <c r="K44" s="19">
        <f ca="1"/>
        <v>0.26885327975452328</v>
      </c>
      <c r="L44" s="19">
        <f ca="1"/>
        <v>0.28112793392849672</v>
      </c>
      <c r="M44" s="19">
        <f ca="1"/>
        <v>0.28918009802579647</v>
      </c>
      <c r="N44" s="19">
        <f ca="1"/>
        <v>0.30227990308303482</v>
      </c>
      <c r="O44" s="19">
        <f ca="1"/>
        <v>0.30965774004138041</v>
      </c>
      <c r="P44" s="19" t="str">
        <f ca="1"/>
        <v xml:space="preserve">NA </v>
      </c>
      <c r="Q44" s="19" t="str">
        <f ca="1"/>
        <v xml:space="preserve">NA </v>
      </c>
      <c r="R44" s="19" t="str">
        <f ca="1"/>
        <v xml:space="preserve">NA </v>
      </c>
    </row>
    <row r="45" spans="1:18" s="13" customFormat="1" x14ac:dyDescent="0.25">
      <c r="A45" s="73"/>
      <c r="B45" s="74"/>
      <c r="C45" s="8"/>
    </row>
    <row r="46" spans="1:18" s="13" customFormat="1" x14ac:dyDescent="0.25">
      <c r="A46" s="73"/>
      <c r="B46" s="74"/>
      <c r="C46" s="8" t="str">
        <f>"Unlevered Free Cash Flow"</f>
        <v>Unlevered Free Cash Flow</v>
      </c>
      <c r="D46" s="13" cm="1">
        <f t="array" aca="1" ref="D46:R46" ca="1">IFERROR(D43:OFFSET(D43,0,$F$6-$D$9)+D24:OFFSET(D24,0,$F$6-$D$9)+D36:OFFSET(D36,0,$F$6-$D$9)+D27:OFFSET(D27,0,$F$6-$D$9),"NA")</f>
        <v>72676.641600000003</v>
      </c>
      <c r="E46" s="13">
        <f ca="1"/>
        <v>92731.782999999996</v>
      </c>
      <c r="F46" s="13">
        <f ca="1"/>
        <v>111728.20600000001</v>
      </c>
      <c r="G46" s="13">
        <f ca="1"/>
        <v>100064.8928</v>
      </c>
      <c r="H46" s="13">
        <f ca="1"/>
        <v>108604.2656</v>
      </c>
      <c r="I46" s="13">
        <f ca="1"/>
        <v>112393.25015999998</v>
      </c>
      <c r="J46" s="13">
        <f ca="1"/>
        <v>129004.77509000001</v>
      </c>
      <c r="K46" s="13">
        <f ca="1"/>
        <v>137406.24934000001</v>
      </c>
      <c r="L46" s="13">
        <f ca="1"/>
        <v>165338.2475</v>
      </c>
      <c r="M46" s="13">
        <f ca="1"/>
        <v>184869.63250000001</v>
      </c>
      <c r="N46" s="13">
        <f ca="1"/>
        <v>194359.7</v>
      </c>
      <c r="O46" s="13">
        <f ca="1"/>
        <v>211925.45</v>
      </c>
      <c r="P46" s="13" t="str">
        <f ca="1"/>
        <v>NA</v>
      </c>
      <c r="Q46" s="13" t="str">
        <f ca="1"/>
        <v>NA</v>
      </c>
      <c r="R46" s="13" t="str">
        <f ca="1"/>
        <v>NA</v>
      </c>
    </row>
    <row r="47" spans="1:18" s="19" customFormat="1" x14ac:dyDescent="0.25">
      <c r="A47" s="76"/>
      <c r="B47" s="82"/>
      <c r="C47" s="16" t="str">
        <f>"% of Revenue"</f>
        <v>% of Revenue</v>
      </c>
      <c r="D47" s="19" cm="1">
        <f t="array" aca="1" ref="D47:R47" ca="1">IFERROR(D46:OFFSET(D46,0,$F$6-$D$9)/D$15:OFFSET(D$15,0,$F$6-$D$9),"NA ")</f>
        <v>0.26474561171520683</v>
      </c>
      <c r="E47" s="19">
        <f ca="1"/>
        <v>0.25349227345913394</v>
      </c>
      <c r="F47" s="19">
        <f ca="1"/>
        <v>0.2833382514049218</v>
      </c>
      <c r="G47" s="19">
        <f ca="1"/>
        <v>0.26107176852733605</v>
      </c>
      <c r="H47" s="19">
        <f ca="1"/>
        <v>0.27773540885087011</v>
      </c>
      <c r="I47" s="19">
        <f ca="1"/>
        <v>0.27088647538538863</v>
      </c>
      <c r="J47" s="19">
        <f ca="1"/>
        <v>0.29636284379258265</v>
      </c>
      <c r="K47" s="19">
        <f ca="1"/>
        <v>0.2965226090687984</v>
      </c>
      <c r="L47" s="19">
        <f ca="1"/>
        <v>0.33749834913098459</v>
      </c>
      <c r="M47" s="19">
        <f ca="1"/>
        <v>0.34663337733369087</v>
      </c>
      <c r="N47" s="19">
        <f ca="1"/>
        <v>0.34149297106020066</v>
      </c>
      <c r="O47" s="19">
        <f ca="1"/>
        <v>0.35533040585629544</v>
      </c>
      <c r="P47" s="19" t="str">
        <f ca="1"/>
        <v xml:space="preserve">NA </v>
      </c>
      <c r="Q47" s="19" t="str">
        <f ca="1"/>
        <v xml:space="preserve">NA </v>
      </c>
      <c r="R47" s="19" t="str">
        <f ca="1"/>
        <v xml:space="preserve">NA </v>
      </c>
    </row>
    <row r="48" spans="1:18" s="13" customFormat="1" x14ac:dyDescent="0.25">
      <c r="A48" s="73"/>
      <c r="B48" s="74"/>
      <c r="C48" s="8"/>
    </row>
    <row r="49" spans="1:18" s="13" customFormat="1" x14ac:dyDescent="0.25">
      <c r="A49" s="73"/>
      <c r="B49" s="74"/>
      <c r="C49" s="8" t="str">
        <f>"Avg. Diluted Shares Outstanding"</f>
        <v>Avg. Diluted Shares Outstanding</v>
      </c>
      <c r="D49" s="13" t="str" cm="1">
        <f t="array" aca="1" ref="D49:R49" ca="1">IFERROR(_xlfn.NUMBERVALUE(_xlfn.TEXTBEFORE(INDIRECT("Consensus!"&amp;$E$7&amp;B50&amp;":"&amp;$E$8&amp;B50)," ")),"NA")</f>
        <v>NA</v>
      </c>
      <c r="E49" s="13" t="str">
        <f ca="1"/>
        <v>NA</v>
      </c>
      <c r="F49" s="13" t="str">
        <f ca="1"/>
        <v>NA</v>
      </c>
      <c r="G49" s="13">
        <f ca="1"/>
        <v>15812.55</v>
      </c>
      <c r="H49" s="13">
        <f ca="1"/>
        <v>15242.85</v>
      </c>
      <c r="I49" s="13">
        <f ca="1"/>
        <v>15031.57</v>
      </c>
      <c r="J49" s="13">
        <f ca="1"/>
        <v>14623.59</v>
      </c>
      <c r="K49" s="13">
        <f ca="1"/>
        <v>14298.05</v>
      </c>
      <c r="L49" s="13">
        <f ca="1"/>
        <v>13327</v>
      </c>
      <c r="M49" s="13">
        <f ca="1"/>
        <v>12750</v>
      </c>
      <c r="N49" s="13" t="str">
        <f ca="1"/>
        <v>NA</v>
      </c>
      <c r="O49" s="13" t="str">
        <f ca="1"/>
        <v>NA</v>
      </c>
      <c r="P49" s="13" t="str">
        <f ca="1"/>
        <v>NA</v>
      </c>
      <c r="Q49" s="13" t="str">
        <f ca="1"/>
        <v>NA</v>
      </c>
      <c r="R49" s="13" t="str">
        <f ca="1"/>
        <v>NA</v>
      </c>
    </row>
    <row r="50" spans="1:18" s="13" customFormat="1" x14ac:dyDescent="0.25">
      <c r="A50" s="73"/>
      <c r="B50" s="74">
        <f ca="1">_xlfn.XMATCH(C49,INDIRECT("Consensus!A:A"))</f>
        <v>83</v>
      </c>
      <c r="C50" s="8"/>
    </row>
    <row r="51" spans="1:18" s="13" customFormat="1" x14ac:dyDescent="0.25">
      <c r="A51" s="73"/>
      <c r="B51" s="74"/>
      <c r="C51" s="8" t="str">
        <f>"Diluted Shares Outstanding as of Fiscal Year End"</f>
        <v>Diluted Shares Outstanding as of Fiscal Year End</v>
      </c>
      <c r="D51" s="13" t="str" cm="1">
        <f t="array" aca="1" ref="D51:R51" ca="1">IFERROR((D49:OFFSET(D49,0,$F$6-$D$9)+E49:OFFSET(E49,0,$F$6-$D$9))/2,"NA")</f>
        <v>NA</v>
      </c>
      <c r="E51" s="13" t="str">
        <f ca="1"/>
        <v>NA</v>
      </c>
      <c r="F51" s="13" t="str">
        <f ca="1"/>
        <v>NA</v>
      </c>
      <c r="G51" s="13">
        <f ca="1"/>
        <v>15527.7</v>
      </c>
      <c r="H51" s="13">
        <f ca="1"/>
        <v>15137.21</v>
      </c>
      <c r="I51" s="13">
        <f ca="1"/>
        <v>14827.58</v>
      </c>
      <c r="J51" s="13">
        <f ca="1"/>
        <v>14460.82</v>
      </c>
      <c r="K51" s="13">
        <f ca="1"/>
        <v>13812.525</v>
      </c>
      <c r="L51" s="13">
        <f ca="1"/>
        <v>13038.5</v>
      </c>
      <c r="M51" s="13" t="str">
        <f ca="1"/>
        <v>NA</v>
      </c>
      <c r="N51" s="13" t="str">
        <f ca="1"/>
        <v>NA</v>
      </c>
      <c r="O51" s="13" t="str">
        <f ca="1"/>
        <v>NA</v>
      </c>
      <c r="P51" s="13" t="str">
        <f ca="1"/>
        <v>NA</v>
      </c>
      <c r="Q51" s="13" t="str">
        <f ca="1"/>
        <v>NA</v>
      </c>
      <c r="R51" s="13" t="str">
        <f ca="1"/>
        <v>NA</v>
      </c>
    </row>
    <row r="52" spans="1:18" s="13" customFormat="1" x14ac:dyDescent="0.25">
      <c r="A52" s="73"/>
      <c r="B52" s="74"/>
      <c r="C52" s="8"/>
    </row>
    <row r="53" spans="1:18" s="13" customFormat="1" x14ac:dyDescent="0.25">
      <c r="A53" s="73"/>
      <c r="B53" s="74"/>
      <c r="C53" s="8" t="str">
        <f>"Diluted Shares Outstanding as of Valuation Date"</f>
        <v>Diluted Shares Outstanding as of Valuation Date</v>
      </c>
      <c r="D53" s="13" t="str" cm="1">
        <f t="array" aca="1" ref="D53:R53" ca="1">IFERROR(C51:OFFSET(C51,0,$F$6-$D$9)*(1-$E$4)+D51:OFFSET(D51,0,$F$6-$D$9)*(1-$F$4),"NA")</f>
        <v>NA</v>
      </c>
      <c r="E53" s="13" t="str">
        <f ca="1"/>
        <v>NA</v>
      </c>
      <c r="F53" s="13" t="str">
        <f ca="1"/>
        <v>NA</v>
      </c>
      <c r="G53" s="13" t="str">
        <f ca="1"/>
        <v>NA</v>
      </c>
      <c r="H53" s="13">
        <f ca="1"/>
        <v>15196.05095890411</v>
      </c>
      <c r="I53" s="13">
        <f ca="1"/>
        <v>14874.236575342467</v>
      </c>
      <c r="J53" s="13">
        <f ca="1"/>
        <v>14516.085205479452</v>
      </c>
      <c r="K53" s="13">
        <f ca="1"/>
        <v>13910.213287671235</v>
      </c>
      <c r="L53" s="13">
        <f ca="1"/>
        <v>13155.133904109591</v>
      </c>
      <c r="M53" s="13" t="str">
        <f ca="1"/>
        <v>NA</v>
      </c>
      <c r="N53" s="13" t="str">
        <f ca="1"/>
        <v>NA</v>
      </c>
      <c r="O53" s="13" t="str">
        <f ca="1"/>
        <v>NA</v>
      </c>
      <c r="P53" s="13" t="str">
        <f ca="1"/>
        <v>NA</v>
      </c>
      <c r="Q53" s="13" t="str">
        <f ca="1"/>
        <v>NA</v>
      </c>
      <c r="R53" s="13" t="str">
        <f ca="1"/>
        <v>NA</v>
      </c>
    </row>
    <row r="54" spans="1:18" s="13" customFormat="1" x14ac:dyDescent="0.25">
      <c r="A54" s="73"/>
      <c r="B54" s="74"/>
      <c r="C54" s="8"/>
    </row>
    <row r="55" spans="1:18" s="13" customFormat="1" x14ac:dyDescent="0.25">
      <c r="A55" s="73"/>
      <c r="B55" s="74"/>
      <c r="C55" s="8" t="str">
        <f>"Net Debt"</f>
        <v>Net Debt</v>
      </c>
      <c r="D55" s="13" cm="1">
        <f t="array" aca="1" ref="D55:R55" ca="1">IFERROR(_xlfn.NUMBERVALUE(_xlfn.TEXTBEFORE(INDIRECT("Consensus!"&amp;$E$7&amp;B56&amp;":"&amp;$E$8&amp;B56)," ")),"NA")</f>
        <v>-79394</v>
      </c>
      <c r="E55" s="13">
        <f ca="1"/>
        <v>-65797</v>
      </c>
      <c r="F55" s="13">
        <f ca="1"/>
        <v>-49040</v>
      </c>
      <c r="G55" s="13">
        <f ca="1"/>
        <v>-51011</v>
      </c>
      <c r="H55" s="13">
        <f ca="1"/>
        <v>-50021</v>
      </c>
      <c r="I55" s="13">
        <f ca="1"/>
        <v>-40468.550000000003</v>
      </c>
      <c r="J55" s="13">
        <f ca="1"/>
        <v>-35343.1</v>
      </c>
      <c r="K55" s="13">
        <f ca="1"/>
        <v>-31152.52</v>
      </c>
      <c r="L55" s="13" t="str">
        <f ca="1"/>
        <v>NA</v>
      </c>
      <c r="M55" s="13" t="str">
        <f ca="1"/>
        <v>NA</v>
      </c>
      <c r="N55" s="13" t="str">
        <f ca="1"/>
        <v>NA</v>
      </c>
      <c r="O55" s="13" t="str">
        <f ca="1"/>
        <v>NA</v>
      </c>
      <c r="P55" s="13" t="str">
        <f ca="1"/>
        <v>NA</v>
      </c>
      <c r="Q55" s="13" t="str">
        <f ca="1"/>
        <v>NA</v>
      </c>
      <c r="R55" s="13" t="str">
        <f ca="1"/>
        <v>NA</v>
      </c>
    </row>
    <row r="56" spans="1:18" s="19" customFormat="1" x14ac:dyDescent="0.25">
      <c r="A56" s="76"/>
      <c r="B56" s="74">
        <f ca="1">_xlfn.XMATCH(C55,INDIRECT("Consensus!A:A"))</f>
        <v>194</v>
      </c>
      <c r="C56" s="16" t="str">
        <f>"% of Revenue"</f>
        <v>% of Revenue</v>
      </c>
      <c r="D56" s="19" cm="1">
        <f t="array" aca="1" ref="D56:R56" ca="1">IFERROR(D55:OFFSET(D55,0,$F$6-$D$9)/D$15:OFFSET(D$15,0,$F$6-$D$9),"NA ")</f>
        <v>-0.28921552556326613</v>
      </c>
      <c r="E56" s="19">
        <f ca="1"/>
        <v>-0.1798631556215266</v>
      </c>
      <c r="F56" s="19">
        <f ca="1"/>
        <v>-0.12436347406220202</v>
      </c>
      <c r="G56" s="19">
        <f ca="1"/>
        <v>-0.13308895469428755</v>
      </c>
      <c r="H56" s="19">
        <f ca="1"/>
        <v>-0.12791949569731609</v>
      </c>
      <c r="I56" s="19">
        <f ca="1"/>
        <v>-9.7535953963886798E-2</v>
      </c>
      <c r="J56" s="19">
        <f ca="1"/>
        <v>-8.1193751294385733E-2</v>
      </c>
      <c r="K56" s="19">
        <f ca="1"/>
        <v>-6.7227120701116749E-2</v>
      </c>
      <c r="L56" s="19" t="str">
        <f ca="1"/>
        <v xml:space="preserve">NA </v>
      </c>
      <c r="M56" s="19" t="str">
        <f ca="1"/>
        <v xml:space="preserve">NA </v>
      </c>
      <c r="N56" s="19" t="str">
        <f ca="1"/>
        <v xml:space="preserve">NA </v>
      </c>
      <c r="O56" s="19" t="str">
        <f ca="1"/>
        <v xml:space="preserve">NA </v>
      </c>
      <c r="P56" s="19" t="str">
        <f ca="1"/>
        <v xml:space="preserve">NA </v>
      </c>
      <c r="Q56" s="19" t="str">
        <f ca="1"/>
        <v xml:space="preserve">NA </v>
      </c>
      <c r="R56" s="19" t="str">
        <f ca="1"/>
        <v xml:space="preserve">NA </v>
      </c>
    </row>
    <row r="57" spans="1:18" s="13" customFormat="1" x14ac:dyDescent="0.25">
      <c r="A57" s="73"/>
      <c r="B57" s="74"/>
      <c r="C57" s="8"/>
    </row>
    <row r="58" spans="1:18" s="13" customFormat="1" x14ac:dyDescent="0.25">
      <c r="A58" s="73"/>
      <c r="B58" s="74"/>
      <c r="C58" s="8" t="str">
        <f>"Net Debt as of Valuation Date"</f>
        <v>Net Debt as of Valuation Date</v>
      </c>
      <c r="D58" s="13" t="str" cm="1">
        <f t="array" aca="1" ref="D58:R58" ca="1">IFERROR(C55:OFFSET(C55,0,$F$6-$D$9)*(1-$E$4)+D55:OFFSET(D55,0,$F$6-$D$9)*(1-$F$4),"NA")</f>
        <v>NA</v>
      </c>
      <c r="E58" s="13">
        <f ca="1"/>
        <v>-67845.863013698632</v>
      </c>
      <c r="F58" s="13">
        <f ca="1"/>
        <v>-51565.027397260281</v>
      </c>
      <c r="G58" s="13">
        <f ca="1"/>
        <v>-50714</v>
      </c>
      <c r="H58" s="13">
        <f ca="1"/>
        <v>-50170.178082191793</v>
      </c>
      <c r="I58" s="13">
        <f ca="1"/>
        <v>-41907.960273972611</v>
      </c>
      <c r="J58" s="13">
        <f ca="1"/>
        <v>-36115.428082191786</v>
      </c>
      <c r="K58" s="13">
        <f ca="1"/>
        <v>-31783.977260273976</v>
      </c>
      <c r="L58" s="13" t="str">
        <f ca="1"/>
        <v>NA</v>
      </c>
      <c r="M58" s="13" t="str">
        <f ca="1"/>
        <v>NA</v>
      </c>
      <c r="N58" s="13" t="str">
        <f ca="1"/>
        <v>NA</v>
      </c>
      <c r="O58" s="13" t="str">
        <f ca="1"/>
        <v>NA</v>
      </c>
      <c r="P58" s="13" t="str">
        <f ca="1"/>
        <v>NA</v>
      </c>
      <c r="Q58" s="13" t="str">
        <f ca="1"/>
        <v>NA</v>
      </c>
      <c r="R58" s="13" t="str">
        <f ca="1"/>
        <v>NA</v>
      </c>
    </row>
    <row r="59" spans="1:18" s="13" customFormat="1" x14ac:dyDescent="0.25">
      <c r="A59" s="73"/>
      <c r="B59" s="74"/>
      <c r="C59" s="8"/>
    </row>
    <row r="60" spans="1:18" s="13" customFormat="1" x14ac:dyDescent="0.25">
      <c r="A60" s="73"/>
      <c r="B60" s="74"/>
      <c r="C60" s="8" t="str">
        <f>"Interest Expense"</f>
        <v>Interest Expense</v>
      </c>
      <c r="D60" s="13" cm="1">
        <f t="array" aca="1" ref="D60:R60" ca="1">IFERROR(_xlfn.NUMBERVALUE(_xlfn.TEXTBEFORE(INDIRECT("Consensus!"&amp;$E$7&amp;B61&amp;":"&amp;$E$8&amp;B61)," ")),"NA")</f>
        <v>2873</v>
      </c>
      <c r="E60" s="13">
        <f ca="1"/>
        <v>2645</v>
      </c>
      <c r="F60" s="13">
        <f ca="1"/>
        <v>334</v>
      </c>
      <c r="G60" s="13">
        <f ca="1"/>
        <v>565</v>
      </c>
      <c r="H60" s="13">
        <f ca="1"/>
        <v>269</v>
      </c>
      <c r="I60" s="13">
        <f ca="1"/>
        <v>759.5</v>
      </c>
      <c r="J60" s="13">
        <f ca="1"/>
        <v>796.8</v>
      </c>
      <c r="K60" s="13">
        <f ca="1"/>
        <v>448.68</v>
      </c>
      <c r="L60" s="13" t="str">
        <f ca="1"/>
        <v>NA</v>
      </c>
      <c r="M60" s="13" t="str">
        <f ca="1"/>
        <v>NA</v>
      </c>
      <c r="N60" s="13" t="str">
        <f ca="1"/>
        <v>NA</v>
      </c>
      <c r="O60" s="13" t="str">
        <f ca="1"/>
        <v>NA</v>
      </c>
      <c r="P60" s="13" t="str">
        <f ca="1"/>
        <v>NA</v>
      </c>
      <c r="Q60" s="13" t="str">
        <f ca="1"/>
        <v>NA</v>
      </c>
      <c r="R60" s="13" t="str">
        <f ca="1"/>
        <v>NA</v>
      </c>
    </row>
    <row r="61" spans="1:18" s="13" customFormat="1" x14ac:dyDescent="0.25">
      <c r="A61" s="73"/>
      <c r="B61" s="74">
        <f ca="1">_xlfn.XMATCH(C60,INDIRECT("Consensus!A:A"))</f>
        <v>140</v>
      </c>
      <c r="C61" s="8"/>
    </row>
    <row r="62" spans="1:18" s="13" customFormat="1" x14ac:dyDescent="0.25">
      <c r="A62" s="73"/>
      <c r="B62" s="74"/>
      <c r="C62" s="8" t="str">
        <f>"TEV"</f>
        <v>TEV</v>
      </c>
      <c r="D62" s="13" cm="1">
        <f t="array" aca="1" ref="D62:R62" ca="1">IFERROR(_xlfn.NUMBERVALUE(_xlfn.TEXTBEFORE(INDIRECT("Consensus!"&amp;$E$7&amp;B63&amp;":"&amp;$E$8&amp;B63)," ")),"NA")</f>
        <v>1755856.5</v>
      </c>
      <c r="E62" s="13">
        <f ca="1"/>
        <v>2321680.4</v>
      </c>
      <c r="F62" s="13">
        <f ca="1"/>
        <v>2374424.4500000002</v>
      </c>
      <c r="G62" s="13">
        <f ca="1"/>
        <v>2573292.0499999998</v>
      </c>
      <c r="H62" s="13">
        <f ca="1"/>
        <v>3207267.74</v>
      </c>
      <c r="I62" s="13">
        <f ca="1"/>
        <v>3085489.88</v>
      </c>
      <c r="J62" s="13">
        <f ca="1"/>
        <v>3080272.44</v>
      </c>
      <c r="K62" s="13">
        <f ca="1"/>
        <v>3084775.15</v>
      </c>
      <c r="L62" s="13">
        <f ca="1"/>
        <v>3419583</v>
      </c>
      <c r="M62" s="13">
        <f ca="1"/>
        <v>3499849.5</v>
      </c>
      <c r="N62" s="13">
        <f ca="1"/>
        <v>3193008</v>
      </c>
      <c r="O62" s="13">
        <f ca="1"/>
        <v>3208307</v>
      </c>
      <c r="P62" s="13" t="str">
        <f ca="1"/>
        <v>NA</v>
      </c>
      <c r="Q62" s="13" t="str">
        <f ca="1"/>
        <v>NA</v>
      </c>
      <c r="R62" s="13" t="str">
        <f ca="1"/>
        <v>NA</v>
      </c>
    </row>
    <row r="63" spans="1:18" s="13" customFormat="1" x14ac:dyDescent="0.25">
      <c r="A63" s="73"/>
      <c r="B63" s="74">
        <f ca="1">_xlfn.XMATCH(C62,INDIRECT("Consensus!A:A"))</f>
        <v>203</v>
      </c>
      <c r="C63" s="8"/>
    </row>
    <row r="64" spans="1:18" s="13" customFormat="1" x14ac:dyDescent="0.25">
      <c r="A64" s="73"/>
      <c r="B64" s="74"/>
      <c r="C64" s="8" t="str">
        <f>"Equity Value"</f>
        <v>Equity Value</v>
      </c>
      <c r="D64" s="13" cm="1">
        <f t="array" aca="1" ref="D64:R64" ca="1">IFERROR(_xlfn.ANCHORARRAY(D62)-_xlfn.ANCHORARRAY(D55),"NA")</f>
        <v>1835250.5</v>
      </c>
      <c r="E64" s="13">
        <f ca="1"/>
        <v>2387477.4</v>
      </c>
      <c r="F64" s="13">
        <f ca="1"/>
        <v>2423464.4500000002</v>
      </c>
      <c r="G64" s="13">
        <f ca="1"/>
        <v>2624303.0499999998</v>
      </c>
      <c r="H64" s="13">
        <f ca="1"/>
        <v>3257288.74</v>
      </c>
      <c r="I64" s="13">
        <f ca="1"/>
        <v>3125958.4299999997</v>
      </c>
      <c r="J64" s="13">
        <f ca="1"/>
        <v>3115615.54</v>
      </c>
      <c r="K64" s="13">
        <f ca="1"/>
        <v>3115927.67</v>
      </c>
      <c r="L64" s="13" t="str">
        <f ca="1"/>
        <v>NA</v>
      </c>
      <c r="M64" s="13" t="str">
        <f ca="1"/>
        <v>NA</v>
      </c>
      <c r="N64" s="13" t="str">
        <f ca="1"/>
        <v>NA</v>
      </c>
      <c r="O64" s="13" t="str">
        <f ca="1"/>
        <v>NA</v>
      </c>
      <c r="P64" s="13" t="str">
        <f ca="1"/>
        <v>NA</v>
      </c>
      <c r="Q64" s="13" t="str">
        <f ca="1"/>
        <v>NA</v>
      </c>
      <c r="R64" s="13" t="str">
        <f ca="1"/>
        <v>NA</v>
      </c>
    </row>
    <row r="65" spans="1:18" s="13" customFormat="1" x14ac:dyDescent="0.25">
      <c r="A65" s="73"/>
      <c r="B65" s="74"/>
      <c r="C65" s="8"/>
    </row>
    <row r="66" spans="1:18" s="13" customFormat="1" x14ac:dyDescent="0.25">
      <c r="A66" s="73"/>
      <c r="B66" s="74"/>
      <c r="C66" s="8" t="str">
        <f>"Equity Value as of Valuation Date"</f>
        <v>Equity Value as of Valuation Date</v>
      </c>
      <c r="D66" s="13" t="str" cm="1">
        <f t="array" aca="1" ref="D66:R66" ca="1">IFERROR(C64:OFFSET(C64,0,$F$6-$D$9)*(1-$E$4)+D64:OFFSET(D64,0,$F$6-$D$9)*(1-$F$4),"NA")</f>
        <v>NA</v>
      </c>
      <c r="E66" s="13">
        <f ca="1"/>
        <v>2304265.1273972606</v>
      </c>
      <c r="F66" s="13">
        <f ca="1"/>
        <v>2418041.7438356169</v>
      </c>
      <c r="G66" s="13">
        <f ca="1"/>
        <v>2594039.6993150683</v>
      </c>
      <c r="H66" s="13">
        <f ca="1"/>
        <v>3161907.3346575345</v>
      </c>
      <c r="I66" s="13">
        <f ca="1"/>
        <v>3145747.9287671233</v>
      </c>
      <c r="J66" s="13">
        <f ca="1"/>
        <v>3117174.0576712331</v>
      </c>
      <c r="K66" s="13">
        <f ca="1"/>
        <v>3115880.636712329</v>
      </c>
      <c r="L66" s="13" t="str">
        <f ca="1"/>
        <v>NA</v>
      </c>
      <c r="M66" s="13" t="str">
        <f ca="1"/>
        <v>NA</v>
      </c>
      <c r="N66" s="13" t="str">
        <f ca="1"/>
        <v>NA</v>
      </c>
      <c r="O66" s="13" t="str">
        <f ca="1"/>
        <v>NA</v>
      </c>
      <c r="P66" s="13" t="str">
        <f ca="1"/>
        <v>NA</v>
      </c>
      <c r="Q66" s="13" t="str">
        <f ca="1"/>
        <v>NA</v>
      </c>
      <c r="R66" s="13" t="str">
        <f ca="1"/>
        <v>NA</v>
      </c>
    </row>
    <row r="67" spans="1:18" s="13" customFormat="1" x14ac:dyDescent="0.25">
      <c r="A67" s="73"/>
      <c r="B67" s="74"/>
      <c r="C67" s="8"/>
    </row>
    <row r="68" spans="1:18" s="64" customFormat="1" x14ac:dyDescent="0.25">
      <c r="A68" s="73"/>
      <c r="B68" s="73"/>
      <c r="C68" s="8" t="str">
        <f>"Implied Share Price"</f>
        <v>Implied Share Price</v>
      </c>
      <c r="D68" s="64" t="str" cm="1">
        <f t="array" aca="1" ref="D68:R68" ca="1">IFERROR(_xlfn.ANCHORARRAY(D66)/_xlfn.ANCHORARRAY(D53),"NA ")</f>
        <v xml:space="preserve">NA </v>
      </c>
      <c r="E68" s="64" t="str">
        <f ca="1"/>
        <v xml:space="preserve">NA </v>
      </c>
      <c r="F68" s="64" t="str">
        <f ca="1"/>
        <v xml:space="preserve">NA </v>
      </c>
      <c r="G68" s="64" t="str">
        <f ca="1"/>
        <v xml:space="preserve">NA </v>
      </c>
      <c r="H68" s="64">
        <f ca="1"/>
        <v>208.07427819296817</v>
      </c>
      <c r="I68" s="64">
        <f ca="1"/>
        <v>211.48970656967617</v>
      </c>
      <c r="J68" s="64">
        <f ca="1"/>
        <v>214.73930564244549</v>
      </c>
      <c r="K68" s="64">
        <f ca="1"/>
        <v>223.99948672778197</v>
      </c>
      <c r="L68" s="64" t="str">
        <f ca="1"/>
        <v xml:space="preserve">NA </v>
      </c>
      <c r="M68" s="64" t="str">
        <f ca="1"/>
        <v xml:space="preserve">NA </v>
      </c>
      <c r="N68" s="64" t="str">
        <f ca="1"/>
        <v xml:space="preserve">NA </v>
      </c>
      <c r="O68" s="64" t="str">
        <f ca="1"/>
        <v xml:space="preserve">NA </v>
      </c>
      <c r="P68" s="64" t="str">
        <f ca="1"/>
        <v xml:space="preserve">NA </v>
      </c>
      <c r="Q68" s="64" t="str">
        <f ca="1"/>
        <v xml:space="preserve">NA </v>
      </c>
      <c r="R68" s="64" t="str">
        <f ca="1"/>
        <v xml:space="preserve">NA </v>
      </c>
    </row>
    <row r="69" spans="1:18" s="64" customFormat="1" x14ac:dyDescent="0.25">
      <c r="A69" s="73"/>
      <c r="B69" s="73"/>
      <c r="C69" s="8"/>
    </row>
    <row r="70" spans="1:18" s="65" customFormat="1" x14ac:dyDescent="0.25">
      <c r="A70" s="104"/>
      <c r="B70" s="104"/>
      <c r="C70" s="37" t="str">
        <f>"Implied EV/EBITDA Multiple"</f>
        <v>Implied EV/EBITDA Multiple</v>
      </c>
      <c r="D70" s="65" cm="1">
        <f t="array" aca="1" ref="D70:R70" ca="1">IFERROR(_xlfn.ANCHORARRAY(D62)/_xlfn.ANCHORARRAY(D18),"NA")</f>
        <v>22.701909650393048</v>
      </c>
      <c r="E70" s="65">
        <f ca="1"/>
        <v>19.309843387422752</v>
      </c>
      <c r="F70" s="65">
        <f ca="1"/>
        <v>18.189108785745475</v>
      </c>
      <c r="G70" s="65">
        <f ca="1"/>
        <v>20.452170163725956</v>
      </c>
      <c r="H70" s="65">
        <f ca="1"/>
        <v>23.81734681904932</v>
      </c>
      <c r="I70" s="65">
        <f ca="1"/>
        <v>21.45197779471415</v>
      </c>
      <c r="J70" s="65">
        <f ca="1"/>
        <v>20.597093298385563</v>
      </c>
      <c r="K70" s="65">
        <f ca="1"/>
        <v>19.11649661349972</v>
      </c>
      <c r="L70" s="65">
        <f ca="1"/>
        <v>19.636919613760153</v>
      </c>
      <c r="M70" s="65">
        <f ca="1"/>
        <v>18.02383110429037</v>
      </c>
      <c r="N70" s="65">
        <f ca="1"/>
        <v>14.678404457295741</v>
      </c>
      <c r="O70" s="65">
        <f ca="1"/>
        <v>13.751321209211818</v>
      </c>
      <c r="P70" s="65" t="str">
        <f ca="1"/>
        <v>NA</v>
      </c>
      <c r="Q70" s="65" t="str">
        <f ca="1"/>
        <v>NA</v>
      </c>
      <c r="R70" s="65" t="str">
        <f ca="1"/>
        <v>NA</v>
      </c>
    </row>
    <row r="71" spans="1:18" s="65" customFormat="1" x14ac:dyDescent="0.25">
      <c r="A71" s="104"/>
      <c r="B71" s="104"/>
      <c r="C71" s="37"/>
    </row>
    <row r="72" spans="1:18" s="65" customFormat="1" x14ac:dyDescent="0.25">
      <c r="A72" s="104"/>
      <c r="B72" s="104"/>
      <c r="C72" s="8" t="str">
        <f>"EV/EBITDA Multiple as of Valuation Date"</f>
        <v>EV/EBITDA Multiple as of Valuation Date</v>
      </c>
      <c r="D72" s="65" cm="1">
        <f t="array" aca="1" ref="D72:R72" ca="1">IF(IFERROR(C70:OFFSET(C70,0,$F$6-$D$9)*(1-$E$4)+D70:OFFSET(D70,0,$F$6-$D$9)*(1-$F$4),D70:OFFSET(D70,0,$F$6-$D$9))="NA",LOOKUP(2,1/(ISNUMBER(IFERROR(C70:OFFSET(C70,0,$F$6-$D$9)*(1-$E$4)+D70:OFFSET(D70,0,$F$6-$D$9)*(1-$F$4),D70:OFFSET(D70,0,$F$6-$D$9)))),IFERROR(C70:OFFSET(C70,0,$F$6-$D$9)*(1-$E$4)+D70:OFFSET(D70,0,$F$6-$D$9)*(1-$F$4),D70:OFFSET(D70,0,$F$6-$D$9))),IFERROR(C70:OFFSET(C70,0,$F$6-$D$9)*(1-$E$4)+D70:OFFSET(D70,0,$F$6-$D$9)*(1-$F$4),D70:OFFSET(D70,0,$F$6-$D$9)))</f>
        <v>22.701909650393048</v>
      </c>
      <c r="E72" s="65">
        <f ca="1"/>
        <v>19.82097665992513</v>
      </c>
      <c r="F72" s="65">
        <f ca="1"/>
        <v>18.357986602436572</v>
      </c>
      <c r="G72" s="65">
        <f ca="1"/>
        <v>20.111160914989174</v>
      </c>
      <c r="H72" s="65">
        <f ca="1"/>
        <v>23.310265405233473</v>
      </c>
      <c r="I72" s="65">
        <f ca="1"/>
        <v>21.808403264134519</v>
      </c>
      <c r="J72" s="65">
        <f ca="1"/>
        <v>20.725911510161108</v>
      </c>
      <c r="K72" s="65">
        <f ca="1"/>
        <v>19.339600223551013</v>
      </c>
      <c r="L72" s="65">
        <f ca="1"/>
        <v>19.558499709611326</v>
      </c>
      <c r="M72" s="65">
        <f ca="1"/>
        <v>18.266899235854311</v>
      </c>
      <c r="N72" s="65">
        <f ca="1"/>
        <v>15.182509842459318</v>
      </c>
      <c r="O72" s="65">
        <f ca="1"/>
        <v>13.891018684950494</v>
      </c>
      <c r="P72" s="65">
        <f ca="1"/>
        <v>13.891018684950494</v>
      </c>
      <c r="Q72" s="65">
        <f ca="1"/>
        <v>13.891018684950494</v>
      </c>
      <c r="R72" s="65">
        <f ca="1"/>
        <v>13.891018684950494</v>
      </c>
    </row>
    <row r="73" spans="1:18" s="13" customFormat="1" x14ac:dyDescent="0.25">
      <c r="A73" s="73"/>
      <c r="B73" s="74"/>
      <c r="C73" s="8"/>
    </row>
    <row r="74" spans="1:18" x14ac:dyDescent="0.25">
      <c r="C74" s="9" t="str">
        <f>"Discounted Cash Flow - "&amp;F8</f>
        <v>Discounted Cash Flow - Street Case</v>
      </c>
    </row>
    <row r="75" spans="1:18" s="20" customFormat="1" x14ac:dyDescent="0.25">
      <c r="A75" s="102" t="str">
        <f>""</f>
        <v/>
      </c>
      <c r="B75" s="106"/>
      <c r="C75" s="17"/>
      <c r="D75" s="20" t="str" cm="1">
        <f t="array" aca="1" ref="D75:R75" ca="1">IFERROR(IF($D$9:OFFSET($D$9,0,$F$6-$D$9)&lt;$D$6,TEXT($D$9:OFFSET($D$9,0,$F$6-$D$9),"0A"),TEXT($D$9:OFFSET($D$9,0,$F$6-$D$9),"0")&amp;"E"),1)</f>
        <v>2020A</v>
      </c>
      <c r="E75" s="20" t="str">
        <f ca="1"/>
        <v>2021A</v>
      </c>
      <c r="F75" s="20" t="str">
        <f ca="1"/>
        <v>2022A</v>
      </c>
      <c r="G75" s="20" t="str">
        <f ca="1"/>
        <v>2023A</v>
      </c>
      <c r="H75" s="20" t="str">
        <f ca="1"/>
        <v>2024A</v>
      </c>
      <c r="I75" s="20" t="str">
        <f ca="1"/>
        <v>2025E</v>
      </c>
      <c r="J75" s="20" t="str">
        <f ca="1"/>
        <v>2026E</v>
      </c>
      <c r="K75" s="20" t="str">
        <f ca="1"/>
        <v>2027E</v>
      </c>
      <c r="L75" s="20" t="str">
        <f ca="1"/>
        <v>2028E</v>
      </c>
      <c r="M75" s="20" t="str">
        <f ca="1"/>
        <v>2029E</v>
      </c>
      <c r="N75" s="20" t="str">
        <f ca="1"/>
        <v>2030E</v>
      </c>
      <c r="O75" s="20" t="str">
        <f ca="1"/>
        <v>2031E</v>
      </c>
      <c r="P75" s="20" t="str">
        <f ca="1"/>
        <v>2032E</v>
      </c>
      <c r="Q75" s="20" t="str">
        <f ca="1"/>
        <v>2033E</v>
      </c>
      <c r="R75" s="20" t="str">
        <f ca="1"/>
        <v>2034E</v>
      </c>
    </row>
    <row r="76" spans="1:18" s="15" customFormat="1" x14ac:dyDescent="0.25">
      <c r="A76" s="103"/>
      <c r="B76" s="107"/>
      <c r="C76" s="10" t="str">
        <f>"Fiscal Year"</f>
        <v>Fiscal Year</v>
      </c>
      <c r="D76" s="15" cm="1">
        <f t="array" aca="1" ref="D76:R76" ca="1">IFERROR(DATE($D$9:OFFSET($D$9,0,$F$6-$D$9),_xlfn.XLOOKUP(_xlfn.TEXTAFTER(_xlfn.TEXTBEFORE($C$5,"-"),": "),$G$4:$R$4,_xlfn.ANCHORARRAY($G$3)),$G$6),1)</f>
        <v>44104</v>
      </c>
      <c r="E76" s="15">
        <f ca="1"/>
        <v>44469</v>
      </c>
      <c r="F76" s="15">
        <f ca="1"/>
        <v>44834</v>
      </c>
      <c r="G76" s="15">
        <f ca="1"/>
        <v>45199</v>
      </c>
      <c r="H76" s="15">
        <f ca="1"/>
        <v>45565</v>
      </c>
      <c r="I76" s="15">
        <f ca="1"/>
        <v>45930</v>
      </c>
      <c r="J76" s="15">
        <f ca="1"/>
        <v>46295</v>
      </c>
      <c r="K76" s="15">
        <f ca="1"/>
        <v>46660</v>
      </c>
      <c r="L76" s="15">
        <f ca="1"/>
        <v>47026</v>
      </c>
      <c r="M76" s="15">
        <f ca="1"/>
        <v>47391</v>
      </c>
      <c r="N76" s="15">
        <f ca="1"/>
        <v>47756</v>
      </c>
      <c r="O76" s="15">
        <f ca="1"/>
        <v>48121</v>
      </c>
      <c r="P76" s="15">
        <f ca="1"/>
        <v>48487</v>
      </c>
      <c r="Q76" s="15">
        <f ca="1"/>
        <v>48852</v>
      </c>
      <c r="R76" s="15">
        <f ca="1"/>
        <v>49217</v>
      </c>
    </row>
    <row r="78" spans="1:18" s="24" customFormat="1" x14ac:dyDescent="0.25">
      <c r="A78" s="83"/>
      <c r="B78" s="74"/>
      <c r="C78" s="22" t="str">
        <f>$C$15</f>
        <v>Revenue</v>
      </c>
      <c r="D78" s="24">
        <f ca="1">CHOOSE($F$3,D107,D136,D165,D194)</f>
        <v>274515</v>
      </c>
      <c r="E78" s="24" cm="1">
        <f t="array" aca="1" ref="E78:R78" ca="1">IFERROR(CHOOSE($F$3,_xlfn.ANCHORARRAY(E107),_xlfn.ANCHORARRAY(E136),_xlfn.ANCHORARRAY(E165),_xlfn.ANCHORARRAY(E194)),1)</f>
        <v>365817</v>
      </c>
      <c r="F78" s="24">
        <f ca="1"/>
        <v>394328</v>
      </c>
      <c r="G78" s="24">
        <f ca="1"/>
        <v>383285</v>
      </c>
      <c r="H78" s="24">
        <f ca="1"/>
        <v>391034.99999999994</v>
      </c>
      <c r="I78" s="24">
        <f ca="1"/>
        <v>414909.04999999987</v>
      </c>
      <c r="J78" s="24">
        <f ca="1"/>
        <v>435293.34999999986</v>
      </c>
      <c r="K78" s="24">
        <f ca="1"/>
        <v>463392.14999999991</v>
      </c>
      <c r="L78" s="24">
        <f ca="1"/>
        <v>489893.49999999983</v>
      </c>
      <c r="M78" s="24">
        <f ca="1"/>
        <v>533328.99999999988</v>
      </c>
      <c r="N78" s="24">
        <f ca="1"/>
        <v>569146.99999999988</v>
      </c>
      <c r="O78" s="24">
        <f ca="1"/>
        <v>596417.99999999988</v>
      </c>
      <c r="P78" s="24">
        <f ca="1"/>
        <v>624995.70536961441</v>
      </c>
      <c r="Q78" s="24">
        <f ca="1"/>
        <v>654942.72763474926</v>
      </c>
      <c r="R78" s="24">
        <f ca="1"/>
        <v>686324.67838794168</v>
      </c>
    </row>
    <row r="79" spans="1:18" s="19" customFormat="1" x14ac:dyDescent="0.25">
      <c r="A79" s="76"/>
      <c r="B79" s="74"/>
      <c r="C79" s="16" t="str">
        <f>$C$16</f>
        <v>% growth</v>
      </c>
      <c r="D79" s="31"/>
      <c r="E79" s="31" cm="1">
        <f t="array" aca="1" ref="E79:R79" ca="1">IFERROR(CHOOSE($F$3,_xlfn.ANCHORARRAY(E108),_xlfn.ANCHORARRAY(E137),_xlfn.ANCHORARRAY(E166),_xlfn.ANCHORARRAY(E195)),1)</f>
        <v>0.33259384733074704</v>
      </c>
      <c r="F79" s="31">
        <f ca="1"/>
        <v>7.7937876041846099E-2</v>
      </c>
      <c r="G79" s="31">
        <f ca="1"/>
        <v>-2.800460530319937E-2</v>
      </c>
      <c r="H79" s="31">
        <f ca="1"/>
        <v>2.021994077514111E-2</v>
      </c>
      <c r="I79" s="31">
        <f ca="1"/>
        <v>6.1053486260820522E-2</v>
      </c>
      <c r="J79" s="31">
        <f ca="1"/>
        <v>4.9129562249847325E-2</v>
      </c>
      <c r="K79" s="31">
        <f ca="1"/>
        <v>6.4551411134583292E-2</v>
      </c>
      <c r="L79" s="31">
        <f ca="1"/>
        <v>5.7189898447783216E-2</v>
      </c>
      <c r="M79" s="31">
        <f ca="1"/>
        <v>8.8663148214867205E-2</v>
      </c>
      <c r="N79" s="31">
        <f ca="1"/>
        <v>6.7159295669277252E-2</v>
      </c>
      <c r="O79" s="31">
        <f ca="1"/>
        <v>4.791556487164117E-2</v>
      </c>
      <c r="P79" s="31">
        <f ca="1"/>
        <v>4.791556487164117E-2</v>
      </c>
      <c r="Q79" s="31">
        <f ca="1"/>
        <v>4.791556487164117E-2</v>
      </c>
      <c r="R79" s="31">
        <f ca="1"/>
        <v>4.791556487164117E-2</v>
      </c>
    </row>
    <row r="80" spans="1:18" s="13" customFormat="1" x14ac:dyDescent="0.25">
      <c r="A80" s="73"/>
      <c r="B80" s="74"/>
      <c r="C80" s="8"/>
      <c r="D80" s="24"/>
      <c r="E80" s="24"/>
      <c r="F80" s="24"/>
      <c r="G80" s="24"/>
      <c r="H80" s="24"/>
      <c r="I80" s="24"/>
      <c r="J80" s="24"/>
      <c r="K80" s="24"/>
      <c r="L80" s="24"/>
      <c r="M80" s="24"/>
      <c r="N80" s="24"/>
      <c r="O80" s="24"/>
      <c r="P80" s="24"/>
      <c r="Q80" s="24"/>
      <c r="R80" s="24"/>
    </row>
    <row r="81" spans="1:18" s="13" customFormat="1" x14ac:dyDescent="0.25">
      <c r="A81" s="73"/>
      <c r="B81" s="74"/>
      <c r="C81" s="8" t="str">
        <f>$C$21</f>
        <v>EBIT</v>
      </c>
      <c r="D81" s="24" cm="1">
        <f t="array" aca="1" ref="D81:R81" ca="1">IFERROR(CHOOSE($F$3,_xlfn.ANCHORARRAY(D110),_xlfn.ANCHORARRAY(D139),_xlfn.ANCHORARRAY(D168),_xlfn.ANCHORARRAY(D197)),1)</f>
        <v>66288</v>
      </c>
      <c r="E81" s="24">
        <f ca="1"/>
        <v>108949</v>
      </c>
      <c r="F81" s="24">
        <f ca="1"/>
        <v>119437</v>
      </c>
      <c r="G81" s="24">
        <f ca="1"/>
        <v>114301</v>
      </c>
      <c r="H81" s="24">
        <f ca="1"/>
        <v>123215.99999999997</v>
      </c>
      <c r="I81" s="24">
        <f ca="1"/>
        <v>132012.79999999996</v>
      </c>
      <c r="J81" s="24">
        <f ca="1"/>
        <v>138295.30999999994</v>
      </c>
      <c r="K81" s="24">
        <f ca="1"/>
        <v>148068.09999999995</v>
      </c>
      <c r="L81" s="24">
        <f ca="1"/>
        <v>162985.49999999994</v>
      </c>
      <c r="M81" s="24">
        <f ca="1"/>
        <v>182518.49999999994</v>
      </c>
      <c r="N81" s="24">
        <f ca="1"/>
        <v>202401.99999999997</v>
      </c>
      <c r="O81" s="24">
        <f ca="1"/>
        <v>217276.99999999997</v>
      </c>
      <c r="P81" s="24">
        <f ca="1"/>
        <v>227687.95018861556</v>
      </c>
      <c r="Q81" s="24">
        <f ca="1"/>
        <v>238597.74693636916</v>
      </c>
      <c r="R81" s="24">
        <f ca="1"/>
        <v>250030.29275792619</v>
      </c>
    </row>
    <row r="82" spans="1:18" s="19" customFormat="1" x14ac:dyDescent="0.25">
      <c r="A82" s="76"/>
      <c r="B82" s="74"/>
      <c r="C82" s="16" t="str">
        <f>$C$22</f>
        <v>% of Revenue</v>
      </c>
      <c r="D82" s="31" cm="1">
        <f t="array" aca="1" ref="D82:R82" ca="1">IFERROR(CHOOSE($F$3,_xlfn.ANCHORARRAY(D111),_xlfn.ANCHORARRAY(D140),_xlfn.ANCHORARRAY(D169),_xlfn.ANCHORARRAY(D198)),1)</f>
        <v>0.24147314354406862</v>
      </c>
      <c r="E82" s="31">
        <f ca="1"/>
        <v>0.29782377527561593</v>
      </c>
      <c r="F82" s="31">
        <f ca="1"/>
        <v>0.30288744395528594</v>
      </c>
      <c r="G82" s="31">
        <f ca="1"/>
        <v>0.29821412265024722</v>
      </c>
      <c r="H82" s="31">
        <f ca="1"/>
        <v>0.31510222870075566</v>
      </c>
      <c r="I82" s="31">
        <f ca="1"/>
        <v>0.31817286222125063</v>
      </c>
      <c r="J82" s="31">
        <f ca="1"/>
        <v>0.31770600217072004</v>
      </c>
      <c r="K82" s="31">
        <f ca="1"/>
        <v>0.31953087681783127</v>
      </c>
      <c r="L82" s="31">
        <f ca="1"/>
        <v>0.33269577979703752</v>
      </c>
      <c r="M82" s="31">
        <f ca="1"/>
        <v>0.34222496807786562</v>
      </c>
      <c r="N82" s="31">
        <f ca="1"/>
        <v>0.35562341539180564</v>
      </c>
      <c r="O82" s="31">
        <f ca="1"/>
        <v>0.36430322357809458</v>
      </c>
      <c r="P82" s="31">
        <f ca="1"/>
        <v>0.36430322357809458</v>
      </c>
      <c r="Q82" s="31">
        <f ca="1"/>
        <v>0.36430322357809458</v>
      </c>
      <c r="R82" s="31">
        <f ca="1"/>
        <v>0.36430322357809458</v>
      </c>
    </row>
    <row r="83" spans="1:18" s="13" customFormat="1" x14ac:dyDescent="0.25">
      <c r="A83" s="73"/>
      <c r="B83" s="74"/>
      <c r="C83" s="8"/>
      <c r="D83" s="24"/>
      <c r="E83" s="24"/>
      <c r="F83" s="24"/>
      <c r="G83" s="24"/>
      <c r="H83" s="24"/>
      <c r="I83" s="24"/>
      <c r="J83" s="24"/>
      <c r="K83" s="24"/>
      <c r="L83" s="24"/>
      <c r="M83" s="24"/>
      <c r="N83" s="24"/>
      <c r="O83" s="24"/>
      <c r="P83" s="24"/>
      <c r="Q83" s="24"/>
      <c r="R83" s="24"/>
    </row>
    <row r="84" spans="1:18" s="13" customFormat="1" x14ac:dyDescent="0.25">
      <c r="A84" s="73"/>
      <c r="B84" s="74"/>
      <c r="C84" s="8" t="str">
        <f>$C$24</f>
        <v>Depreciation &amp; Amortization</v>
      </c>
      <c r="D84" s="24" cm="1">
        <f t="array" aca="1" ref="D84:R84" ca="1">IFERROR(CHOOSE($F$3,_xlfn.ANCHORARRAY(D113),_xlfn.ANCHORARRAY(D142),_xlfn.ANCHORARRAY(D171),_xlfn.ANCHORARRAY(D200)),1)</f>
        <v>11056</v>
      </c>
      <c r="E84" s="24">
        <f ca="1"/>
        <v>11284</v>
      </c>
      <c r="F84" s="24">
        <f ca="1"/>
        <v>11104</v>
      </c>
      <c r="G84" s="24">
        <f ca="1"/>
        <v>11519</v>
      </c>
      <c r="H84" s="24">
        <f ca="1"/>
        <v>11444.999999999998</v>
      </c>
      <c r="I84" s="24">
        <f ca="1"/>
        <v>11618.779999999997</v>
      </c>
      <c r="J84" s="24">
        <f ca="1"/>
        <v>12021.489999999996</v>
      </c>
      <c r="K84" s="24">
        <f ca="1"/>
        <v>12323.989999999998</v>
      </c>
      <c r="L84" s="24">
        <f ca="1"/>
        <v>11093.999999999996</v>
      </c>
      <c r="M84" s="24">
        <f ca="1"/>
        <v>11600.999999999998</v>
      </c>
      <c r="N84" s="24">
        <f ca="1"/>
        <v>15128.999999999998</v>
      </c>
      <c r="O84" s="24">
        <f ca="1"/>
        <v>16031.999999999996</v>
      </c>
      <c r="P84" s="24">
        <f ca="1"/>
        <v>16800.18233602215</v>
      </c>
      <c r="Q84" s="24">
        <f ca="1"/>
        <v>17605.172562599219</v>
      </c>
      <c r="R84" s="24">
        <f ca="1"/>
        <v>18448.734350598876</v>
      </c>
    </row>
    <row r="85" spans="1:18" s="19" customFormat="1" x14ac:dyDescent="0.25">
      <c r="A85" s="76"/>
      <c r="B85" s="74"/>
      <c r="C85" s="16" t="str">
        <f>$C$25</f>
        <v>% of Revenue</v>
      </c>
      <c r="D85" s="31" cm="1">
        <f t="array" aca="1" ref="D85:R85" ca="1">IFERROR(CHOOSE($F$3,_xlfn.ANCHORARRAY(D114),_xlfn.ANCHORARRAY(D143),_xlfn.ANCHORARRAY(D172),_xlfn.ANCHORARRAY(D201)),1)</f>
        <v>4.0274666229532081E-2</v>
      </c>
      <c r="E85" s="31">
        <f ca="1"/>
        <v>3.084602410494865E-2</v>
      </c>
      <c r="F85" s="31">
        <f ca="1"/>
        <v>2.8159298857803657E-2</v>
      </c>
      <c r="G85" s="31">
        <f ca="1"/>
        <v>3.0053354553400212E-2</v>
      </c>
      <c r="H85" s="31">
        <f ca="1"/>
        <v>2.9268479803598143E-2</v>
      </c>
      <c r="I85" s="31">
        <f ca="1"/>
        <v>2.8003197327221473E-2</v>
      </c>
      <c r="J85" s="31">
        <f ca="1"/>
        <v>2.7616985189413072E-2</v>
      </c>
      <c r="K85" s="31">
        <f ca="1"/>
        <v>2.6595163513236035E-2</v>
      </c>
      <c r="L85" s="31">
        <f ca="1"/>
        <v>2.2645738308428261E-2</v>
      </c>
      <c r="M85" s="31">
        <f ca="1"/>
        <v>2.1752051735420351E-2</v>
      </c>
      <c r="N85" s="31">
        <f ca="1"/>
        <v>2.6581884820617522E-2</v>
      </c>
      <c r="O85" s="31">
        <f ca="1"/>
        <v>2.6880476444372907E-2</v>
      </c>
      <c r="P85" s="31">
        <f ca="1"/>
        <v>2.6880476444372907E-2</v>
      </c>
      <c r="Q85" s="31">
        <f ca="1"/>
        <v>2.6880476444372907E-2</v>
      </c>
      <c r="R85" s="31">
        <f ca="1"/>
        <v>2.6880476444372907E-2</v>
      </c>
    </row>
    <row r="86" spans="1:18" s="13" customFormat="1" x14ac:dyDescent="0.25">
      <c r="A86" s="73"/>
      <c r="B86" s="74"/>
      <c r="C86" s="8"/>
      <c r="D86" s="24"/>
      <c r="E86" s="24"/>
      <c r="F86" s="24"/>
      <c r="G86" s="24"/>
      <c r="H86" s="24"/>
      <c r="I86" s="24"/>
      <c r="J86" s="24"/>
      <c r="K86" s="24"/>
      <c r="L86" s="24"/>
      <c r="M86" s="24"/>
      <c r="N86" s="24"/>
      <c r="O86" s="24"/>
      <c r="P86" s="24"/>
      <c r="Q86" s="24"/>
      <c r="R86" s="24"/>
    </row>
    <row r="87" spans="1:18" s="13" customFormat="1" x14ac:dyDescent="0.25">
      <c r="A87" s="73"/>
      <c r="B87" s="74"/>
      <c r="C87" s="8" t="str">
        <f>$C$27</f>
        <v>Capital Expenditures</v>
      </c>
      <c r="D87" s="24" cm="1">
        <f t="array" aca="1" ref="D87:R87" ca="1">IFERROR(CHOOSE($F$3,_xlfn.ANCHORARRAY(D116),_xlfn.ANCHORARRAY(D145),_xlfn.ANCHORARRAY(D174),_xlfn.ANCHORARRAY(D203)),1)</f>
        <v>-7309</v>
      </c>
      <c r="E87" s="24">
        <f ca="1"/>
        <v>-11085</v>
      </c>
      <c r="F87" s="24">
        <f ca="1"/>
        <v>-10708</v>
      </c>
      <c r="G87" s="24">
        <f ca="1"/>
        <v>-10959</v>
      </c>
      <c r="H87" s="24">
        <f ca="1"/>
        <v>-9446.9999999999982</v>
      </c>
      <c r="I87" s="24">
        <f ca="1"/>
        <v>-11813.409999999996</v>
      </c>
      <c r="J87" s="24">
        <f ca="1"/>
        <v>-12949.409999999996</v>
      </c>
      <c r="K87" s="24">
        <f ca="1"/>
        <v>-12658.629999999996</v>
      </c>
      <c r="L87" s="24">
        <f ca="1"/>
        <v>-14597.999999999995</v>
      </c>
      <c r="M87" s="24">
        <f ca="1"/>
        <v>-15749.999999999996</v>
      </c>
      <c r="N87" s="24">
        <f ca="1"/>
        <v>-15128.999999999998</v>
      </c>
      <c r="O87" s="24">
        <f ca="1"/>
        <v>-16031.999999999996</v>
      </c>
      <c r="P87" s="24">
        <f ca="1"/>
        <v>-16800.18233602215</v>
      </c>
      <c r="Q87" s="24">
        <f ca="1"/>
        <v>-17605.172562599219</v>
      </c>
      <c r="R87" s="24">
        <f ca="1"/>
        <v>-18448.734350598876</v>
      </c>
    </row>
    <row r="88" spans="1:18" s="19" customFormat="1" x14ac:dyDescent="0.25">
      <c r="A88" s="76"/>
      <c r="B88" s="74"/>
      <c r="C88" s="16" t="str">
        <f>$C$28</f>
        <v>% of Revenue</v>
      </c>
      <c r="D88" s="31" cm="1">
        <f t="array" aca="1" ref="D88:R88" ca="1">IFERROR(CHOOSE($F$3,_xlfn.ANCHORARRAY(D117),_xlfn.ANCHORARRAY(D146),_xlfn.ANCHORARRAY(D175),_xlfn.ANCHORARRAY(D204)),1)</f>
        <v>2.6625138881299748E-2</v>
      </c>
      <c r="E88" s="31">
        <f ca="1"/>
        <v>3.0302036264033657E-2</v>
      </c>
      <c r="F88" s="31">
        <f ca="1"/>
        <v>2.7155058732831552E-2</v>
      </c>
      <c r="G88" s="31">
        <f ca="1"/>
        <v>2.859230076835775E-2</v>
      </c>
      <c r="H88" s="31">
        <f ca="1"/>
        <v>2.415896275269477E-2</v>
      </c>
      <c r="I88" s="31">
        <f ca="1"/>
        <v>2.8472288083376346E-2</v>
      </c>
      <c r="J88" s="31">
        <f ca="1"/>
        <v>2.9748697056823866E-2</v>
      </c>
      <c r="K88" s="31">
        <f ca="1"/>
        <v>2.7317316445692914E-2</v>
      </c>
      <c r="L88" s="31">
        <f ca="1"/>
        <v>2.9798313306871799E-2</v>
      </c>
      <c r="M88" s="31">
        <f ca="1"/>
        <v>2.953148994335579E-2</v>
      </c>
      <c r="N88" s="31">
        <f ca="1"/>
        <v>2.6581884820617522E-2</v>
      </c>
      <c r="O88" s="31">
        <f ca="1"/>
        <v>2.6880476444372907E-2</v>
      </c>
      <c r="P88" s="31">
        <f ca="1"/>
        <v>2.6880476444372907E-2</v>
      </c>
      <c r="Q88" s="31">
        <f ca="1"/>
        <v>2.6880476444372907E-2</v>
      </c>
      <c r="R88" s="31">
        <f ca="1"/>
        <v>2.6880476444372907E-2</v>
      </c>
    </row>
    <row r="89" spans="1:18" s="13" customFormat="1" x14ac:dyDescent="0.25">
      <c r="A89" s="73"/>
      <c r="B89" s="74"/>
      <c r="C89" s="8"/>
      <c r="D89" s="24"/>
      <c r="E89" s="24"/>
      <c r="F89" s="24"/>
      <c r="G89" s="24"/>
      <c r="H89" s="24"/>
      <c r="I89" s="24"/>
      <c r="J89" s="24"/>
      <c r="K89" s="24"/>
      <c r="L89" s="24"/>
      <c r="M89" s="24"/>
      <c r="N89" s="24"/>
      <c r="O89" s="24"/>
      <c r="P89" s="24"/>
      <c r="Q89" s="24"/>
      <c r="R89" s="24"/>
    </row>
    <row r="90" spans="1:18" s="13" customFormat="1" x14ac:dyDescent="0.25">
      <c r="A90" s="73"/>
      <c r="B90" s="74"/>
      <c r="C90" s="8" t="str">
        <f>$C$36</f>
        <v>Change in Working Capital &amp; Other Non-Cash Expenses</v>
      </c>
      <c r="D90" s="24" cm="1">
        <f t="array" aca="1" ref="D90:R90" ca="1">IFERROR(CHOOSE($F$3,_xlfn.ANCHORARRAY(D119),_xlfn.ANCHORARRAY(D148),_xlfn.ANCHORARRAY(D177),_xlfn.ANCHORARRAY(D206)),1)</f>
        <v>12207</v>
      </c>
      <c r="E90" s="24">
        <f ca="1"/>
        <v>-1926</v>
      </c>
      <c r="F90" s="24">
        <f ca="1"/>
        <v>11244</v>
      </c>
      <c r="G90" s="24">
        <f ca="1"/>
        <v>2028.9999999999998</v>
      </c>
      <c r="H90" s="24">
        <f ca="1"/>
        <v>13072.999999999998</v>
      </c>
      <c r="I90" s="24">
        <f ca="1"/>
        <v>1406.6999999999948</v>
      </c>
      <c r="J90" s="24">
        <f ca="1"/>
        <v>13902.929999999995</v>
      </c>
      <c r="K90" s="24">
        <f ca="1"/>
        <v>13156.390000000001</v>
      </c>
      <c r="L90" s="24">
        <f ca="1"/>
        <v>31119.499999999989</v>
      </c>
      <c r="M90" s="24">
        <f ca="1"/>
        <v>34790.499999999993</v>
      </c>
      <c r="N90" s="24">
        <f ca="1"/>
        <v>22317.999999999996</v>
      </c>
      <c r="O90" s="24">
        <f ca="1"/>
        <v>27239.999999999993</v>
      </c>
      <c r="P90" s="24">
        <f ca="1"/>
        <v>28545.219987103501</v>
      </c>
      <c r="Q90" s="24">
        <f ca="1"/>
        <v>29912.980327170822</v>
      </c>
      <c r="R90" s="24">
        <f ca="1"/>
        <v>31346.277676541504</v>
      </c>
    </row>
    <row r="91" spans="1:18" s="19" customFormat="1" x14ac:dyDescent="0.25">
      <c r="A91" s="76"/>
      <c r="B91" s="74"/>
      <c r="C91" s="16" t="str">
        <f>$C$37</f>
        <v>% of Revenue</v>
      </c>
      <c r="D91" s="31" cm="1">
        <f t="array" aca="1" ref="D91:R91" ca="1">IFERROR(CHOOSE($F$3,_xlfn.ANCHORARRAY(D120),_xlfn.ANCHORARRAY(D149),_xlfn.ANCHORARRAY(D178),_xlfn.ANCHORARRAY(D207)),1)</f>
        <v>4.4467515436314956E-2</v>
      </c>
      <c r="E91" s="31">
        <f ca="1"/>
        <v>-5.2649275457400833E-3</v>
      </c>
      <c r="F91" s="31">
        <f ca="1"/>
        <v>2.8514333245420055E-2</v>
      </c>
      <c r="G91" s="31">
        <f ca="1"/>
        <v>5.2937109461627767E-3</v>
      </c>
      <c r="H91" s="31">
        <f ca="1"/>
        <v>3.3431789993223111E-2</v>
      </c>
      <c r="I91" s="31">
        <f ca="1"/>
        <v>3.3903815788062356E-3</v>
      </c>
      <c r="J91" s="31">
        <f ca="1"/>
        <v>3.193921983875931E-2</v>
      </c>
      <c r="K91" s="31">
        <f ca="1"/>
        <v>2.8391482246732068E-2</v>
      </c>
      <c r="L91" s="31">
        <f ca="1"/>
        <v>6.3522990200931426E-2</v>
      </c>
      <c r="M91" s="31">
        <f ca="1"/>
        <v>6.5232717515829819E-2</v>
      </c>
      <c r="N91" s="31">
        <f ca="1"/>
        <v>3.9213067977165832E-2</v>
      </c>
      <c r="O91" s="31">
        <f ca="1"/>
        <v>4.5672665814915039E-2</v>
      </c>
      <c r="P91" s="31">
        <f ca="1"/>
        <v>4.5672665814915039E-2</v>
      </c>
      <c r="Q91" s="31">
        <f ca="1"/>
        <v>4.5672665814915039E-2</v>
      </c>
      <c r="R91" s="31">
        <f ca="1"/>
        <v>4.5672665814915039E-2</v>
      </c>
    </row>
    <row r="92" spans="1:18" s="19" customFormat="1" x14ac:dyDescent="0.25">
      <c r="A92" s="76"/>
      <c r="B92" s="82"/>
      <c r="C92" s="16" t="str">
        <f>$C$38</f>
        <v>% of Change in Revenue</v>
      </c>
      <c r="D92" s="31"/>
      <c r="E92" s="31" cm="1">
        <f t="array" aca="1" ref="E92:R92" ca="1">CHOOSE($F$3,_xlfn.ANCHORARRAY(E121),_xlfn.ANCHORARRAY(E150),_xlfn.ANCHORARRAY(E179),_xlfn.ANCHORARRAY(E208))</f>
        <v>-2.1094828152723927E-2</v>
      </c>
      <c r="F92" s="31">
        <f ca="1"/>
        <v>0.39437410122408895</v>
      </c>
      <c r="G92" s="31">
        <f ca="1"/>
        <v>-0.1837363035407045</v>
      </c>
      <c r="H92" s="31">
        <f ca="1"/>
        <v>1.6868387096774318</v>
      </c>
      <c r="I92" s="31">
        <f ca="1"/>
        <v>5.8921716256772477E-2</v>
      </c>
      <c r="J92" s="31">
        <f ca="1"/>
        <v>0.68204108063558733</v>
      </c>
      <c r="K92" s="31">
        <f ca="1"/>
        <v>0.46821892749868249</v>
      </c>
      <c r="L92" s="31">
        <f ca="1"/>
        <v>1.1742609338769567</v>
      </c>
      <c r="M92" s="31">
        <f ca="1"/>
        <v>0.80096925326058055</v>
      </c>
      <c r="N92" s="31">
        <f ca="1"/>
        <v>0.62309453347478916</v>
      </c>
      <c r="O92" s="31">
        <f ca="1"/>
        <v>0.99886326133988457</v>
      </c>
      <c r="P92" s="31">
        <f ca="1"/>
        <v>0.99886326133988457</v>
      </c>
      <c r="Q92" s="31">
        <f ca="1"/>
        <v>0.99886326133988768</v>
      </c>
      <c r="R92" s="31">
        <f ca="1"/>
        <v>0.99886326133988712</v>
      </c>
    </row>
    <row r="93" spans="1:18" s="13" customFormat="1" x14ac:dyDescent="0.25">
      <c r="A93" s="73"/>
      <c r="B93" s="74"/>
      <c r="C93" s="8"/>
      <c r="D93" s="24"/>
      <c r="E93" s="24"/>
      <c r="F93" s="24"/>
      <c r="G93" s="24"/>
      <c r="H93" s="24"/>
      <c r="I93" s="24"/>
      <c r="J93" s="24"/>
      <c r="K93" s="24"/>
      <c r="L93" s="24"/>
      <c r="M93" s="24"/>
      <c r="N93" s="24"/>
      <c r="O93" s="24"/>
      <c r="P93" s="24"/>
      <c r="Q93" s="24"/>
      <c r="R93" s="24"/>
    </row>
    <row r="94" spans="1:18" s="13" customFormat="1" x14ac:dyDescent="0.25">
      <c r="A94" s="73"/>
      <c r="B94" s="74"/>
      <c r="C94" s="8" t="str">
        <f>$C$40</f>
        <v>Normalized Taxes</v>
      </c>
      <c r="D94" s="24" cm="1">
        <f t="array" aca="1" ref="D94:R94" ca="1">IFERROR(CHOOSE($F$3,_xlfn.ANCHORARRAY(D123),_xlfn.ANCHORARRAY(D152),_xlfn.ANCHORARRAY(D181),_xlfn.ANCHORARRAY(D210)),1)</f>
        <v>-9565.3583999999992</v>
      </c>
      <c r="E94" s="24">
        <f ca="1"/>
        <v>-14490.217000000001</v>
      </c>
      <c r="F94" s="24">
        <f ca="1"/>
        <v>-19348.794000000002</v>
      </c>
      <c r="G94" s="24">
        <f ca="1"/>
        <v>-16825.107199999999</v>
      </c>
      <c r="H94" s="24">
        <f ca="1"/>
        <v>-29682.734399999994</v>
      </c>
      <c r="I94" s="24">
        <f ca="1"/>
        <v>-20831.619839999992</v>
      </c>
      <c r="J94" s="24">
        <f ca="1"/>
        <v>-22265.54490999999</v>
      </c>
      <c r="K94" s="24">
        <f ca="1"/>
        <v>-23483.600659999989</v>
      </c>
      <c r="L94" s="24">
        <f ca="1"/>
        <v>-25262.752499999991</v>
      </c>
      <c r="M94" s="24">
        <f ca="1"/>
        <v>-28290.367499999989</v>
      </c>
      <c r="N94" s="24">
        <f ca="1"/>
        <v>-30360.299999999996</v>
      </c>
      <c r="O94" s="24">
        <f ca="1"/>
        <v>-32591.549999999996</v>
      </c>
      <c r="P94" s="24">
        <f ca="1"/>
        <v>-34153.192528292333</v>
      </c>
      <c r="Q94" s="24">
        <f ca="1"/>
        <v>-35789.662040455376</v>
      </c>
      <c r="R94" s="24">
        <f ca="1"/>
        <v>-37504.543913688925</v>
      </c>
    </row>
    <row r="95" spans="1:18" s="19" customFormat="1" x14ac:dyDescent="0.25">
      <c r="A95" s="76"/>
      <c r="B95" s="82"/>
      <c r="C95" s="16" t="str">
        <f>$C$41</f>
        <v>Effective Tax Rate (%)</v>
      </c>
      <c r="D95" s="31" cm="1">
        <f t="array" aca="1" ref="D95:R95" ca="1">IFERROR(CHOOSE($F$3,_xlfn.ANCHORARRAY(D124),_xlfn.ANCHORARRAY(D153),_xlfn.ANCHORARRAY(D182),_xlfn.ANCHORARRAY(D211)),1)</f>
        <v>0.14429999999999998</v>
      </c>
      <c r="E95" s="31">
        <f ca="1"/>
        <v>0.13300000000000001</v>
      </c>
      <c r="F95" s="31">
        <f ca="1"/>
        <v>0.16200000000000001</v>
      </c>
      <c r="G95" s="31">
        <f ca="1"/>
        <v>0.1472</v>
      </c>
      <c r="H95" s="31">
        <f ca="1"/>
        <v>0.2409</v>
      </c>
      <c r="I95" s="31">
        <f ca="1"/>
        <v>0.1578</v>
      </c>
      <c r="J95" s="31">
        <f ca="1"/>
        <v>0.161</v>
      </c>
      <c r="K95" s="31">
        <f ca="1"/>
        <v>0.15859999999999999</v>
      </c>
      <c r="L95" s="31">
        <f ca="1"/>
        <v>0.155</v>
      </c>
      <c r="M95" s="31">
        <f ca="1"/>
        <v>0.155</v>
      </c>
      <c r="N95" s="31">
        <f ca="1"/>
        <v>0.15</v>
      </c>
      <c r="O95" s="31">
        <f ca="1"/>
        <v>0.15</v>
      </c>
      <c r="P95" s="31">
        <f ca="1"/>
        <v>0.15</v>
      </c>
      <c r="Q95" s="31">
        <f ca="1"/>
        <v>0.15</v>
      </c>
      <c r="R95" s="31">
        <f ca="1"/>
        <v>0.15</v>
      </c>
    </row>
    <row r="96" spans="1:18" s="13" customFormat="1" x14ac:dyDescent="0.25">
      <c r="A96" s="73"/>
      <c r="B96" s="74"/>
      <c r="C96" s="8"/>
      <c r="D96" s="24"/>
      <c r="E96" s="24"/>
      <c r="F96" s="24"/>
      <c r="G96" s="24"/>
      <c r="H96" s="24"/>
      <c r="I96" s="24"/>
      <c r="J96" s="24"/>
      <c r="K96" s="24"/>
      <c r="L96" s="24"/>
      <c r="M96" s="24"/>
      <c r="N96" s="24"/>
      <c r="O96" s="24"/>
      <c r="P96" s="24"/>
      <c r="Q96" s="24"/>
      <c r="R96" s="24"/>
    </row>
    <row r="97" spans="1:18" s="13" customFormat="1" x14ac:dyDescent="0.25">
      <c r="A97" s="73"/>
      <c r="B97" s="74"/>
      <c r="C97" s="8" t="str">
        <f>$C$43</f>
        <v>EBIAT/NOPAT</v>
      </c>
      <c r="D97" s="24" cm="1">
        <f t="array" aca="1" ref="D97:R97" ca="1">IFERROR(CHOOSE($F$3,_xlfn.ANCHORARRAY(D126),_xlfn.ANCHORARRAY(D155),_xlfn.ANCHORARRAY(D184),_xlfn.ANCHORARRAY(D213)),1)</f>
        <v>56722.641600000003</v>
      </c>
      <c r="E97" s="24">
        <f ca="1"/>
        <v>94458.782999999996</v>
      </c>
      <c r="F97" s="24">
        <f ca="1"/>
        <v>100088.20600000001</v>
      </c>
      <c r="G97" s="24">
        <f ca="1"/>
        <v>97475.892800000001</v>
      </c>
      <c r="H97" s="24">
        <f ca="1"/>
        <v>93533.265599999984</v>
      </c>
      <c r="I97" s="24">
        <f ca="1"/>
        <v>111181.18015999996</v>
      </c>
      <c r="J97" s="24">
        <f ca="1"/>
        <v>116029.76508999994</v>
      </c>
      <c r="K97" s="24">
        <f ca="1"/>
        <v>124584.49933999995</v>
      </c>
      <c r="L97" s="24">
        <f ca="1"/>
        <v>137722.74749999994</v>
      </c>
      <c r="M97" s="24">
        <f ca="1"/>
        <v>154228.13249999995</v>
      </c>
      <c r="N97" s="24">
        <f ca="1"/>
        <v>172041.69999999998</v>
      </c>
      <c r="O97" s="24">
        <f ca="1"/>
        <v>184685.44999999998</v>
      </c>
      <c r="P97" s="24">
        <f ca="1"/>
        <v>193534.75766032323</v>
      </c>
      <c r="Q97" s="24">
        <f ca="1"/>
        <v>202808.08489591378</v>
      </c>
      <c r="R97" s="24">
        <f ca="1"/>
        <v>212525.74884423727</v>
      </c>
    </row>
    <row r="98" spans="1:18" s="19" customFormat="1" x14ac:dyDescent="0.25">
      <c r="A98" s="76"/>
      <c r="B98" s="82"/>
      <c r="C98" s="16" t="str">
        <f>$C$44</f>
        <v>% of Revenue</v>
      </c>
      <c r="D98" s="31" cm="1">
        <f t="array" aca="1" ref="D98:R98" ca="1">CHOOSE($F$3,_xlfn.ANCHORARRAY(D127),_xlfn.ANCHORARRAY(D156),_xlfn.ANCHORARRAY(D185),_xlfn.ANCHORARRAY(D214))</f>
        <v>0.20662856893065953</v>
      </c>
      <c r="E98" s="31">
        <f ca="1"/>
        <v>0.25821321316395901</v>
      </c>
      <c r="F98" s="31">
        <f ca="1"/>
        <v>0.25381967803452965</v>
      </c>
      <c r="G98" s="31">
        <f ca="1"/>
        <v>0.25431700379613081</v>
      </c>
      <c r="H98" s="31">
        <f ca="1"/>
        <v>0.23919410180674364</v>
      </c>
      <c r="I98" s="31">
        <f ca="1"/>
        <v>0.26796518456273727</v>
      </c>
      <c r="J98" s="31">
        <f ca="1"/>
        <v>0.26655533582123409</v>
      </c>
      <c r="K98" s="31">
        <f ca="1"/>
        <v>0.26885327975452322</v>
      </c>
      <c r="L98" s="31">
        <f ca="1"/>
        <v>0.28112793392849666</v>
      </c>
      <c r="M98" s="31">
        <f ca="1"/>
        <v>0.28918009802579642</v>
      </c>
      <c r="N98" s="31">
        <f ca="1"/>
        <v>0.30227990308303482</v>
      </c>
      <c r="O98" s="31">
        <f ca="1"/>
        <v>0.30965774004138041</v>
      </c>
      <c r="P98" s="31">
        <f ca="1"/>
        <v>0.30965774004138041</v>
      </c>
      <c r="Q98" s="31">
        <f ca="1"/>
        <v>0.30965774004138036</v>
      </c>
      <c r="R98" s="31">
        <f ca="1"/>
        <v>0.30965774004138041</v>
      </c>
    </row>
    <row r="99" spans="1:18" s="13" customFormat="1" x14ac:dyDescent="0.25">
      <c r="A99" s="73"/>
      <c r="B99" s="74"/>
      <c r="C99" s="8"/>
      <c r="D99" s="24"/>
      <c r="E99" s="24"/>
      <c r="F99" s="24"/>
      <c r="G99" s="24"/>
      <c r="H99" s="24"/>
      <c r="I99" s="24"/>
      <c r="J99" s="24"/>
      <c r="K99" s="24"/>
      <c r="L99" s="24"/>
      <c r="M99" s="24"/>
      <c r="N99" s="24"/>
      <c r="O99" s="24"/>
      <c r="P99" s="24"/>
      <c r="Q99" s="24"/>
      <c r="R99" s="24"/>
    </row>
    <row r="100" spans="1:18" s="13" customFormat="1" x14ac:dyDescent="0.25">
      <c r="A100" s="73"/>
      <c r="B100" s="74"/>
      <c r="C100" s="8" t="str">
        <f>$C$46</f>
        <v>Unlevered Free Cash Flow</v>
      </c>
      <c r="D100" s="24" cm="1">
        <f t="array" aca="1" ref="D100:R100" ca="1">IFERROR(CHOOSE($F$3,_xlfn.ANCHORARRAY(D129),_xlfn.ANCHORARRAY(D158),_xlfn.ANCHORARRAY(D187),_xlfn.ANCHORARRAY(D216)),1)</f>
        <v>72676.641600000003</v>
      </c>
      <c r="E100" s="24">
        <f ca="1"/>
        <v>92731.782999999996</v>
      </c>
      <c r="F100" s="24">
        <f ca="1"/>
        <v>111728.20600000001</v>
      </c>
      <c r="G100" s="24">
        <f ca="1"/>
        <v>100064.8928</v>
      </c>
      <c r="H100" s="24">
        <f ca="1"/>
        <v>108604.26559999998</v>
      </c>
      <c r="I100" s="24">
        <f ca="1"/>
        <v>112393.25015999997</v>
      </c>
      <c r="J100" s="24">
        <f ca="1"/>
        <v>129004.77508999992</v>
      </c>
      <c r="K100" s="24">
        <f ca="1"/>
        <v>137406.24933999998</v>
      </c>
      <c r="L100" s="24">
        <f ca="1"/>
        <v>165338.24749999994</v>
      </c>
      <c r="M100" s="24">
        <f ca="1"/>
        <v>184869.63249999995</v>
      </c>
      <c r="N100" s="24">
        <f ca="1"/>
        <v>194359.69999999998</v>
      </c>
      <c r="O100" s="24">
        <f ca="1"/>
        <v>211925.44999999998</v>
      </c>
      <c r="P100" s="24">
        <f ca="1"/>
        <v>222079.97764742674</v>
      </c>
      <c r="Q100" s="24">
        <f ca="1"/>
        <v>232721.06522308459</v>
      </c>
      <c r="R100" s="24">
        <f ca="1"/>
        <v>243872.02652077877</v>
      </c>
    </row>
    <row r="101" spans="1:18" s="19" customFormat="1" x14ac:dyDescent="0.25">
      <c r="A101" s="76"/>
      <c r="B101" s="82"/>
      <c r="C101" s="16" t="str">
        <f>$C$47</f>
        <v>% of Revenue</v>
      </c>
      <c r="D101" s="31" cm="1">
        <f t="array" aca="1" ref="D101:R101" ca="1">CHOOSE($F$3,_xlfn.ANCHORARRAY(D130),_xlfn.ANCHORARRAY(D159),_xlfn.ANCHORARRAY(D188),_xlfn.ANCHORARRAY(D217))</f>
        <v>0.26474561171520683</v>
      </c>
      <c r="E101" s="31">
        <f ca="1"/>
        <v>0.25349227345913394</v>
      </c>
      <c r="F101" s="31">
        <f ca="1"/>
        <v>0.2833382514049218</v>
      </c>
      <c r="G101" s="31">
        <f ca="1"/>
        <v>0.26107176852733605</v>
      </c>
      <c r="H101" s="31">
        <f ca="1"/>
        <v>0.27773540885087011</v>
      </c>
      <c r="I101" s="31">
        <f ca="1"/>
        <v>0.27088647538538868</v>
      </c>
      <c r="J101" s="31">
        <f ca="1"/>
        <v>0.29636284379258254</v>
      </c>
      <c r="K101" s="31">
        <f ca="1"/>
        <v>0.29652260906879846</v>
      </c>
      <c r="L101" s="31">
        <f ca="1"/>
        <v>0.33749834913098459</v>
      </c>
      <c r="M101" s="31">
        <f ca="1"/>
        <v>0.34663337733369082</v>
      </c>
      <c r="N101" s="31">
        <f ca="1"/>
        <v>0.34149297106020066</v>
      </c>
      <c r="O101" s="31">
        <f ca="1"/>
        <v>0.35533040585629544</v>
      </c>
      <c r="P101" s="31">
        <f ca="1"/>
        <v>0.35533040585629544</v>
      </c>
      <c r="Q101" s="31">
        <f ca="1"/>
        <v>0.35533040585629538</v>
      </c>
      <c r="R101" s="31">
        <f ca="1"/>
        <v>0.35533040585629549</v>
      </c>
    </row>
    <row r="103" spans="1:18" hidden="1" outlineLevel="1" x14ac:dyDescent="0.25">
      <c r="C103" s="9" t="str">
        <f>"Analyst's Case"</f>
        <v>Analyst's Case</v>
      </c>
    </row>
    <row r="104" spans="1:18" s="20" customFormat="1" hidden="1" outlineLevel="1" x14ac:dyDescent="0.25">
      <c r="A104" s="102" t="str">
        <f>""</f>
        <v/>
      </c>
      <c r="B104" s="106"/>
      <c r="C104" s="14"/>
      <c r="D104" s="20" t="str" cm="1">
        <f t="array" aca="1" ref="D104:R104" ca="1">IFERROR(IF($D$9:OFFSET($D$9,0,$F$6-$D$9)&lt;$D$6,TEXT($D$9:OFFSET($D$9,0,$F$6-$D$9),"0A"),TEXT($D$9:OFFSET($D$9,0,$F$6-$D$9),"0")&amp;"E"),1)</f>
        <v>2020A</v>
      </c>
      <c r="E104" s="20" t="str">
        <f ca="1"/>
        <v>2021A</v>
      </c>
      <c r="F104" s="20" t="str">
        <f ca="1"/>
        <v>2022A</v>
      </c>
      <c r="G104" s="20" t="str">
        <f ca="1"/>
        <v>2023A</v>
      </c>
      <c r="H104" s="20" t="str">
        <f ca="1"/>
        <v>2024A</v>
      </c>
      <c r="I104" s="20" t="str">
        <f ca="1"/>
        <v>2025E</v>
      </c>
      <c r="J104" s="20" t="str">
        <f ca="1"/>
        <v>2026E</v>
      </c>
      <c r="K104" s="20" t="str">
        <f ca="1"/>
        <v>2027E</v>
      </c>
      <c r="L104" s="20" t="str">
        <f ca="1"/>
        <v>2028E</v>
      </c>
      <c r="M104" s="20" t="str">
        <f ca="1"/>
        <v>2029E</v>
      </c>
      <c r="N104" s="20" t="str">
        <f ca="1"/>
        <v>2030E</v>
      </c>
      <c r="O104" s="20" t="str">
        <f ca="1"/>
        <v>2031E</v>
      </c>
      <c r="P104" s="20" t="str">
        <f ca="1"/>
        <v>2032E</v>
      </c>
      <c r="Q104" s="20" t="str">
        <f ca="1"/>
        <v>2033E</v>
      </c>
      <c r="R104" s="20" t="str">
        <f ca="1"/>
        <v>2034E</v>
      </c>
    </row>
    <row r="105" spans="1:18" s="15" customFormat="1" hidden="1" outlineLevel="1" x14ac:dyDescent="0.25">
      <c r="A105" s="103"/>
      <c r="B105" s="107"/>
      <c r="C105" s="10" t="str">
        <f>"Fiscal Year"</f>
        <v>Fiscal Year</v>
      </c>
      <c r="D105" s="15" cm="1">
        <f t="array" aca="1" ref="D105:R105" ca="1">IFERROR(DATE($D$9:OFFSET($D$9,0,$F$6-$D$9),_xlfn.XLOOKUP(_xlfn.TEXTAFTER(_xlfn.TEXTBEFORE($C$5,"-"),": "),$G$4:$R$4,_xlfn.ANCHORARRAY($G$3)),$G$6),1)</f>
        <v>44104</v>
      </c>
      <c r="E105" s="15">
        <f ca="1"/>
        <v>44469</v>
      </c>
      <c r="F105" s="15">
        <f ca="1"/>
        <v>44834</v>
      </c>
      <c r="G105" s="15">
        <f ca="1"/>
        <v>45199</v>
      </c>
      <c r="H105" s="15">
        <f ca="1"/>
        <v>45565</v>
      </c>
      <c r="I105" s="15">
        <f ca="1"/>
        <v>45930</v>
      </c>
      <c r="J105" s="15">
        <f ca="1"/>
        <v>46295</v>
      </c>
      <c r="K105" s="15">
        <f ca="1"/>
        <v>46660</v>
      </c>
      <c r="L105" s="15">
        <f ca="1"/>
        <v>47026</v>
      </c>
      <c r="M105" s="15">
        <f ca="1"/>
        <v>47391</v>
      </c>
      <c r="N105" s="15">
        <f ca="1"/>
        <v>47756</v>
      </c>
      <c r="O105" s="15">
        <f ca="1"/>
        <v>48121</v>
      </c>
      <c r="P105" s="15">
        <f ca="1"/>
        <v>48487</v>
      </c>
      <c r="Q105" s="15">
        <f ca="1"/>
        <v>48852</v>
      </c>
      <c r="R105" s="15">
        <f ca="1"/>
        <v>49217</v>
      </c>
    </row>
    <row r="106" spans="1:18" hidden="1" outlineLevel="1" x14ac:dyDescent="0.25"/>
    <row r="107" spans="1:18" s="13" customFormat="1" hidden="1" outlineLevel="1" x14ac:dyDescent="0.25">
      <c r="A107" s="73"/>
      <c r="B107" s="74"/>
      <c r="C107" s="8" t="str">
        <f>$C$15</f>
        <v>Revenue</v>
      </c>
      <c r="D107" s="13">
        <f ca="1">D136</f>
        <v>274515</v>
      </c>
      <c r="E107" s="13" cm="1">
        <f t="array" aca="1" ref="E107:R107" ca="1">IFERROR(_xlfn.LET(
  _xlpm.base, D107,
  _xlpm.growths,_xlfn.ANCHORARRAY( E108),
  _xlpm.result, _xlfn.SCAN(_xlpm.base, _xlpm.growths, _xlfn.LAMBDA(_xlpm.a,_xlpm.b, _xlpm.a * (1 + _xlpm.b))),
  _xlpm.result
),1)</f>
        <v>365817</v>
      </c>
      <c r="F107" s="13">
        <f ca="1"/>
        <v>394328</v>
      </c>
      <c r="G107" s="13">
        <f ca="1"/>
        <v>383285</v>
      </c>
      <c r="H107" s="13">
        <f ca="1"/>
        <v>391034.99999999994</v>
      </c>
      <c r="I107" s="13">
        <f ca="1"/>
        <v>414909.04999999987</v>
      </c>
      <c r="J107" s="13">
        <f ca="1"/>
        <v>435293.34999999986</v>
      </c>
      <c r="K107" s="13">
        <f ca="1"/>
        <v>463392.14999999991</v>
      </c>
      <c r="L107" s="13">
        <f ca="1"/>
        <v>490686.50812816148</v>
      </c>
      <c r="M107" s="13">
        <f ca="1"/>
        <v>516816.05927505833</v>
      </c>
      <c r="N107" s="13">
        <f ca="1"/>
        <v>541416.92043770221</v>
      </c>
      <c r="O107" s="13">
        <f ca="1"/>
        <v>564129.6876838383</v>
      </c>
      <c r="P107" s="13">
        <f ca="1"/>
        <v>584607.82279330783</v>
      </c>
      <c r="Q107" s="13">
        <f ca="1"/>
        <v>602526.17041339644</v>
      </c>
      <c r="R107" s="13">
        <f ca="1"/>
        <v>617589.32467373135</v>
      </c>
    </row>
    <row r="108" spans="1:18" s="19" customFormat="1" hidden="1" outlineLevel="1" x14ac:dyDescent="0.25">
      <c r="A108" s="76"/>
      <c r="B108" s="74"/>
      <c r="C108" s="16" t="str">
        <f>$C$16</f>
        <v>% growth</v>
      </c>
      <c r="E108" s="19" cm="1">
        <f t="array" aca="1" ref="E108:R108" ca="1">IFERROR(_xlfn.LET(
  _xlpm.original, _xlfn._xlws.FILTER(_xlfn.ANCHORARRAY(E137),_xlfn.ANCHORARRAY( E9) &lt; D6+3),
  _xlpm.start, INDEX(_xlpm.original, COLUMNS(_xlpm.original)),
  _xlpm.end, R6,
  _xlpm.steps, F6-D6-2,
  _xlpm.decay, _xlpm.start - (_xlpm.start - _xlpm.end) * (_xlfn.SEQUENCE(1, _xlpm.steps, 1, 1) / _xlpm.steps),
  _xlfn.HSTACK(_xlpm.original, _xlpm.decay)
),1)</f>
        <v>0.33259384733074704</v>
      </c>
      <c r="F108" s="19">
        <f ca="1"/>
        <v>7.7937876041846099E-2</v>
      </c>
      <c r="G108" s="19">
        <f ca="1"/>
        <v>-2.800460530319937E-2</v>
      </c>
      <c r="H108" s="19">
        <f ca="1"/>
        <v>2.021994077514111E-2</v>
      </c>
      <c r="I108" s="19">
        <f ca="1"/>
        <v>6.1053486260820522E-2</v>
      </c>
      <c r="J108" s="19">
        <f ca="1"/>
        <v>4.9129562249847325E-2</v>
      </c>
      <c r="K108" s="19">
        <f ca="1"/>
        <v>6.4551411134583292E-2</v>
      </c>
      <c r="L108" s="19">
        <f ca="1"/>
        <v>5.8901209543928537E-2</v>
      </c>
      <c r="M108" s="19">
        <f ca="1"/>
        <v>5.3251007953273782E-2</v>
      </c>
      <c r="N108" s="19">
        <f ca="1"/>
        <v>4.7600806362619028E-2</v>
      </c>
      <c r="O108" s="19">
        <f ca="1"/>
        <v>4.1950604771964273E-2</v>
      </c>
      <c r="P108" s="19">
        <f ca="1"/>
        <v>3.6300403181309511E-2</v>
      </c>
      <c r="Q108" s="19">
        <f ca="1"/>
        <v>3.0650201590654756E-2</v>
      </c>
      <c r="R108" s="19">
        <f ca="1"/>
        <v>2.5000000000000001E-2</v>
      </c>
    </row>
    <row r="109" spans="1:18" s="19" customFormat="1" hidden="1" outlineLevel="1" x14ac:dyDescent="0.25">
      <c r="A109" s="76"/>
      <c r="B109" s="82"/>
      <c r="C109" s="12"/>
    </row>
    <row r="110" spans="1:18" s="13" customFormat="1" hidden="1" outlineLevel="1" x14ac:dyDescent="0.25">
      <c r="A110" s="73"/>
      <c r="B110" s="74"/>
      <c r="C110" s="8" t="str">
        <f>$C$21</f>
        <v>EBIT</v>
      </c>
      <c r="D110" s="13" cm="1">
        <f t="array" aca="1" ref="D110:R110" ca="1">IFERROR(_xlfn.ANCHORARRAY(D111)*D$107:OFFSET(D$107,0,$F$6-$D$9),1)</f>
        <v>66288</v>
      </c>
      <c r="E110" s="13">
        <f ca="1"/>
        <v>108949</v>
      </c>
      <c r="F110" s="13">
        <f ca="1"/>
        <v>119437</v>
      </c>
      <c r="G110" s="13">
        <f ca="1"/>
        <v>114301</v>
      </c>
      <c r="H110" s="13">
        <f ca="1"/>
        <v>123215.99999999997</v>
      </c>
      <c r="I110" s="13">
        <f ca="1"/>
        <v>132012.79999999996</v>
      </c>
      <c r="J110" s="13">
        <f ca="1"/>
        <v>138295.30999999994</v>
      </c>
      <c r="K110" s="13">
        <f ca="1"/>
        <v>148068.09999999995</v>
      </c>
      <c r="L110" s="13">
        <f ca="1"/>
        <v>163249.33045758406</v>
      </c>
      <c r="M110" s="13">
        <f ca="1"/>
        <v>176867.35938753514</v>
      </c>
      <c r="N110" s="13">
        <f ca="1"/>
        <v>192540.53439696916</v>
      </c>
      <c r="O110" s="13">
        <f ca="1"/>
        <v>205514.26373932601</v>
      </c>
      <c r="P110" s="13">
        <f ca="1"/>
        <v>212974.51437257353</v>
      </c>
      <c r="Q110" s="13">
        <f ca="1"/>
        <v>219502.22617176469</v>
      </c>
      <c r="R110" s="13">
        <f ca="1"/>
        <v>224989.78182605878</v>
      </c>
    </row>
    <row r="111" spans="1:18" s="19" customFormat="1" hidden="1" outlineLevel="1" x14ac:dyDescent="0.25">
      <c r="A111" s="76"/>
      <c r="B111" s="74"/>
      <c r="C111" s="16" t="str">
        <f>$C$22</f>
        <v>% of Revenue</v>
      </c>
      <c r="D111" s="19" cm="1">
        <f t="array" aca="1" ref="D111:R111" ca="1">IFERROR(_xlfn.ANCHORARRAY(D140),1)</f>
        <v>0.24147314354406862</v>
      </c>
      <c r="E111" s="19">
        <f ca="1"/>
        <v>0.29782377527561593</v>
      </c>
      <c r="F111" s="19">
        <f ca="1"/>
        <v>0.30288744395528594</v>
      </c>
      <c r="G111" s="19">
        <f ca="1"/>
        <v>0.29821412265024722</v>
      </c>
      <c r="H111" s="19">
        <f ca="1"/>
        <v>0.31510222870075566</v>
      </c>
      <c r="I111" s="19">
        <f ca="1"/>
        <v>0.31817286222125063</v>
      </c>
      <c r="J111" s="19">
        <f ca="1"/>
        <v>0.31770600217072004</v>
      </c>
      <c r="K111" s="19">
        <f ca="1"/>
        <v>0.31953087681783127</v>
      </c>
      <c r="L111" s="19">
        <f ca="1"/>
        <v>0.33269577979703752</v>
      </c>
      <c r="M111" s="19">
        <f ca="1"/>
        <v>0.34222496807786562</v>
      </c>
      <c r="N111" s="19">
        <f ca="1"/>
        <v>0.35562341539180564</v>
      </c>
      <c r="O111" s="19">
        <f ca="1"/>
        <v>0.36430322357809458</v>
      </c>
      <c r="P111" s="19">
        <f ca="1"/>
        <v>0.36430322357809458</v>
      </c>
      <c r="Q111" s="19">
        <f ca="1"/>
        <v>0.36430322357809458</v>
      </c>
      <c r="R111" s="19">
        <f ca="1"/>
        <v>0.36430322357809458</v>
      </c>
    </row>
    <row r="112" spans="1:18" s="13" customFormat="1" hidden="1" outlineLevel="1" x14ac:dyDescent="0.25">
      <c r="A112" s="73"/>
      <c r="B112" s="74"/>
      <c r="C112" s="29"/>
    </row>
    <row r="113" spans="1:18" s="13" customFormat="1" hidden="1" outlineLevel="1" x14ac:dyDescent="0.25">
      <c r="A113" s="73"/>
      <c r="B113" s="74"/>
      <c r="C113" s="8" t="str">
        <f>$C$24</f>
        <v>Depreciation &amp; Amortization</v>
      </c>
      <c r="D113" s="13" cm="1">
        <f t="array" aca="1" ref="D113:R113" ca="1">IFERROR(_xlfn.ANCHORARRAY(D114)*D$107:OFFSET(D$107,0,$F$6-$D$9),1)</f>
        <v>11056</v>
      </c>
      <c r="E113" s="13">
        <f ca="1"/>
        <v>11284</v>
      </c>
      <c r="F113" s="13">
        <f ca="1"/>
        <v>11104</v>
      </c>
      <c r="G113" s="13">
        <f ca="1"/>
        <v>11519</v>
      </c>
      <c r="H113" s="13">
        <f ca="1"/>
        <v>11444.999999999998</v>
      </c>
      <c r="I113" s="13">
        <f ca="1"/>
        <v>11618.779999999997</v>
      </c>
      <c r="J113" s="13">
        <f ca="1"/>
        <v>12021.489999999996</v>
      </c>
      <c r="K113" s="13">
        <f ca="1"/>
        <v>12323.989999999998</v>
      </c>
      <c r="L113" s="13">
        <f ca="1"/>
        <v>11111.958254546802</v>
      </c>
      <c r="M113" s="13">
        <f ca="1"/>
        <v>11241.80965904714</v>
      </c>
      <c r="N113" s="13">
        <f ca="1"/>
        <v>14391.882219008441</v>
      </c>
      <c r="O113" s="13">
        <f ca="1"/>
        <v>15164.07478135686</v>
      </c>
      <c r="P113" s="13">
        <f ca="1"/>
        <v>15714.536809791642</v>
      </c>
      <c r="Q113" s="13">
        <f ca="1"/>
        <v>16196.190530915519</v>
      </c>
      <c r="R113" s="13">
        <f ca="1"/>
        <v>16601.095294188406</v>
      </c>
    </row>
    <row r="114" spans="1:18" s="19" customFormat="1" hidden="1" outlineLevel="1" x14ac:dyDescent="0.25">
      <c r="A114" s="76"/>
      <c r="B114" s="74"/>
      <c r="C114" s="16" t="str">
        <f>$C$25</f>
        <v>% of Revenue</v>
      </c>
      <c r="D114" s="19" cm="1">
        <f t="array" aca="1" ref="D114:R114" ca="1">IFERROR(_xlfn.ANCHORARRAY(D143),1)</f>
        <v>4.0274666229532081E-2</v>
      </c>
      <c r="E114" s="19">
        <f ca="1"/>
        <v>3.084602410494865E-2</v>
      </c>
      <c r="F114" s="19">
        <f ca="1"/>
        <v>2.8159298857803657E-2</v>
      </c>
      <c r="G114" s="19">
        <f ca="1"/>
        <v>3.0053354553400212E-2</v>
      </c>
      <c r="H114" s="19">
        <f ca="1"/>
        <v>2.9268479803598143E-2</v>
      </c>
      <c r="I114" s="19">
        <f ca="1"/>
        <v>2.8003197327221473E-2</v>
      </c>
      <c r="J114" s="19">
        <f ca="1"/>
        <v>2.7616985189413072E-2</v>
      </c>
      <c r="K114" s="19">
        <f ca="1"/>
        <v>2.6595163513236035E-2</v>
      </c>
      <c r="L114" s="19">
        <f ca="1"/>
        <v>2.2645738308428261E-2</v>
      </c>
      <c r="M114" s="19">
        <f ca="1"/>
        <v>2.1752051735420351E-2</v>
      </c>
      <c r="N114" s="19">
        <f ca="1"/>
        <v>2.6581884820617522E-2</v>
      </c>
      <c r="O114" s="19">
        <f ca="1"/>
        <v>2.6880476444372907E-2</v>
      </c>
      <c r="P114" s="19">
        <f ca="1"/>
        <v>2.6880476444372907E-2</v>
      </c>
      <c r="Q114" s="19">
        <f ca="1"/>
        <v>2.6880476444372907E-2</v>
      </c>
      <c r="R114" s="19">
        <f ca="1"/>
        <v>2.6880476444372907E-2</v>
      </c>
    </row>
    <row r="115" spans="1:18" s="13" customFormat="1" hidden="1" outlineLevel="1" x14ac:dyDescent="0.25">
      <c r="A115" s="73"/>
      <c r="B115" s="74"/>
      <c r="C115" s="8"/>
    </row>
    <row r="116" spans="1:18" s="13" customFormat="1" hidden="1" outlineLevel="1" x14ac:dyDescent="0.25">
      <c r="A116" s="73"/>
      <c r="B116" s="74"/>
      <c r="C116" s="8" t="str">
        <f>$C$27</f>
        <v>Capital Expenditures</v>
      </c>
      <c r="D116" s="13" cm="1">
        <f t="array" aca="1" ref="D116:R116" ca="1">IFERROR(-_xlfn.ANCHORARRAY(D117)*D$107:OFFSET(D$107,0,$F$6-$D$9),1)</f>
        <v>-7309</v>
      </c>
      <c r="E116" s="13">
        <f ca="1"/>
        <v>-11085</v>
      </c>
      <c r="F116" s="13">
        <f ca="1"/>
        <v>-10708</v>
      </c>
      <c r="G116" s="13">
        <f ca="1"/>
        <v>-10959</v>
      </c>
      <c r="H116" s="13">
        <f ca="1"/>
        <v>-9446.9999999999982</v>
      </c>
      <c r="I116" s="13">
        <f ca="1"/>
        <v>-11813.409999999996</v>
      </c>
      <c r="J116" s="13">
        <f ca="1"/>
        <v>-12949.409999999996</v>
      </c>
      <c r="K116" s="13">
        <f ca="1"/>
        <v>-12658.629999999996</v>
      </c>
      <c r="L116" s="13">
        <f ca="1"/>
        <v>-14621.630304657851</v>
      </c>
      <c r="M116" s="13">
        <f ca="1"/>
        <v>-15262.348257046155</v>
      </c>
      <c r="N116" s="13">
        <f ca="1"/>
        <v>-14391.882219008441</v>
      </c>
      <c r="O116" s="13">
        <f ca="1"/>
        <v>-15164.07478135686</v>
      </c>
      <c r="P116" s="13">
        <f ca="1"/>
        <v>-15714.536809791642</v>
      </c>
      <c r="Q116" s="13">
        <f ca="1"/>
        <v>-16196.190530915519</v>
      </c>
      <c r="R116" s="13">
        <f ca="1"/>
        <v>-16601.095294188406</v>
      </c>
    </row>
    <row r="117" spans="1:18" s="19" customFormat="1" hidden="1" outlineLevel="1" x14ac:dyDescent="0.25">
      <c r="A117" s="76"/>
      <c r="B117" s="74"/>
      <c r="C117" s="16" t="str">
        <f>$C$28</f>
        <v>% of Revenue</v>
      </c>
      <c r="D117" s="19" cm="1">
        <f t="array" aca="1" ref="D117:R117" ca="1">IFERROR(_xlfn.ANCHORARRAY(D146),1)</f>
        <v>2.6625138881299748E-2</v>
      </c>
      <c r="E117" s="19">
        <f ca="1"/>
        <v>3.0302036264033657E-2</v>
      </c>
      <c r="F117" s="19">
        <f ca="1"/>
        <v>2.7155058732831552E-2</v>
      </c>
      <c r="G117" s="19">
        <f ca="1"/>
        <v>2.859230076835775E-2</v>
      </c>
      <c r="H117" s="19">
        <f ca="1"/>
        <v>2.415896275269477E-2</v>
      </c>
      <c r="I117" s="19">
        <f ca="1"/>
        <v>2.8472288083376346E-2</v>
      </c>
      <c r="J117" s="19">
        <f ca="1"/>
        <v>2.9748697056823866E-2</v>
      </c>
      <c r="K117" s="19">
        <f ca="1"/>
        <v>2.7317316445692914E-2</v>
      </c>
      <c r="L117" s="19">
        <f ca="1"/>
        <v>2.9798313306871799E-2</v>
      </c>
      <c r="M117" s="19">
        <f ca="1"/>
        <v>2.953148994335579E-2</v>
      </c>
      <c r="N117" s="19">
        <f ca="1"/>
        <v>2.6581884820617522E-2</v>
      </c>
      <c r="O117" s="19">
        <f ca="1"/>
        <v>2.6880476444372907E-2</v>
      </c>
      <c r="P117" s="19">
        <f ca="1"/>
        <v>2.6880476444372907E-2</v>
      </c>
      <c r="Q117" s="19">
        <f ca="1"/>
        <v>2.6880476444372907E-2</v>
      </c>
      <c r="R117" s="19">
        <f ca="1"/>
        <v>2.6880476444372907E-2</v>
      </c>
    </row>
    <row r="118" spans="1:18" s="13" customFormat="1" hidden="1" outlineLevel="1" x14ac:dyDescent="0.25">
      <c r="A118" s="73"/>
      <c r="B118" s="74"/>
      <c r="C118" s="8"/>
    </row>
    <row r="119" spans="1:18" s="13" customFormat="1" hidden="1" outlineLevel="1" x14ac:dyDescent="0.25">
      <c r="A119" s="73"/>
      <c r="B119" s="74"/>
      <c r="C119" s="8" t="str">
        <f>$C$36</f>
        <v>Change in Working Capital &amp; Other Non-Cash Expenses</v>
      </c>
      <c r="D119" s="13" cm="1">
        <f t="array" aca="1" ref="D119:R119" ca="1">IFERROR(_xlfn.ANCHORARRAY(D120)*D$107:OFFSET(D$107,0,$F$6-$D$9),1)</f>
        <v>12207</v>
      </c>
      <c r="E119" s="13">
        <f ca="1"/>
        <v>-1926</v>
      </c>
      <c r="F119" s="13">
        <f ca="1"/>
        <v>11244</v>
      </c>
      <c r="G119" s="13">
        <f ca="1"/>
        <v>2028.9999999999998</v>
      </c>
      <c r="H119" s="13">
        <f ca="1"/>
        <v>13072.999999999998</v>
      </c>
      <c r="I119" s="13">
        <f ca="1"/>
        <v>1406.6999999999948</v>
      </c>
      <c r="J119" s="13">
        <f ca="1"/>
        <v>13902.929999999995</v>
      </c>
      <c r="K119" s="13">
        <f ca="1"/>
        <v>13156.390000000001</v>
      </c>
      <c r="L119" s="13">
        <f ca="1"/>
        <v>31169.87424755446</v>
      </c>
      <c r="M119" s="13">
        <f ca="1"/>
        <v>33713.316002334243</v>
      </c>
      <c r="N119" s="13">
        <f ca="1"/>
        <v>21230.618505111401</v>
      </c>
      <c r="O119" s="13">
        <f ca="1"/>
        <v>25765.306701856338</v>
      </c>
      <c r="P119" s="13">
        <f ca="1"/>
        <v>26700.597723223818</v>
      </c>
      <c r="Q119" s="13">
        <f ca="1"/>
        <v>27518.976426031604</v>
      </c>
      <c r="R119" s="13">
        <f ca="1"/>
        <v>28206.950836682394</v>
      </c>
    </row>
    <row r="120" spans="1:18" s="19" customFormat="1" hidden="1" outlineLevel="1" x14ac:dyDescent="0.25">
      <c r="A120" s="76"/>
      <c r="B120" s="74"/>
      <c r="C120" s="16" t="str">
        <f>$C$37</f>
        <v>% of Revenue</v>
      </c>
      <c r="D120" s="19" cm="1">
        <f t="array" aca="1" ref="D120:R120" ca="1">IFERROR(_xlfn.ANCHORARRAY(D149),1)</f>
        <v>4.4467515436314956E-2</v>
      </c>
      <c r="E120" s="19">
        <f ca="1"/>
        <v>-5.2649275457400833E-3</v>
      </c>
      <c r="F120" s="19">
        <f ca="1"/>
        <v>2.8514333245420055E-2</v>
      </c>
      <c r="G120" s="19">
        <f ca="1"/>
        <v>5.2937109461627767E-3</v>
      </c>
      <c r="H120" s="19">
        <f ca="1"/>
        <v>3.3431789993223111E-2</v>
      </c>
      <c r="I120" s="19">
        <f ca="1"/>
        <v>3.3903815788062356E-3</v>
      </c>
      <c r="J120" s="19">
        <f ca="1"/>
        <v>3.193921983875931E-2</v>
      </c>
      <c r="K120" s="19">
        <f ca="1"/>
        <v>2.8391482246732068E-2</v>
      </c>
      <c r="L120" s="19">
        <f ca="1"/>
        <v>6.3522990200931426E-2</v>
      </c>
      <c r="M120" s="19">
        <f ca="1"/>
        <v>6.5232717515829819E-2</v>
      </c>
      <c r="N120" s="19">
        <f ca="1"/>
        <v>3.9213067977165832E-2</v>
      </c>
      <c r="O120" s="19">
        <f ca="1"/>
        <v>4.5672665814915039E-2</v>
      </c>
      <c r="P120" s="19">
        <f ca="1"/>
        <v>4.5672665814915039E-2</v>
      </c>
      <c r="Q120" s="19">
        <f ca="1"/>
        <v>4.5672665814915039E-2</v>
      </c>
      <c r="R120" s="19">
        <f ca="1"/>
        <v>4.5672665814915039E-2</v>
      </c>
    </row>
    <row r="121" spans="1:18" s="19" customFormat="1" hidden="1" outlineLevel="1" x14ac:dyDescent="0.25">
      <c r="A121" s="76"/>
      <c r="B121" s="82"/>
      <c r="C121" s="16" t="str">
        <f>$C$38</f>
        <v>% of Change in Revenue</v>
      </c>
      <c r="E121" s="19" cm="1">
        <f t="array" aca="1" ref="E121:R121" ca="1">IFERROR(E119:OFFSET(E119,,$F$6-$D$9-1)/($E$107:OFFSET($E$107,,$F$6-$D$9-1)-$D$107:OFFSET($D$107,,$F$6-$D$9-1)),"NA ")</f>
        <v>-2.1094828152723927E-2</v>
      </c>
      <c r="F121" s="19">
        <f ca="1"/>
        <v>0.39437410122408895</v>
      </c>
      <c r="G121" s="19">
        <f ca="1"/>
        <v>-0.1837363035407045</v>
      </c>
      <c r="H121" s="19">
        <f ca="1"/>
        <v>1.6868387096774318</v>
      </c>
      <c r="I121" s="19">
        <f ca="1"/>
        <v>5.8921716256772477E-2</v>
      </c>
      <c r="J121" s="19">
        <f ca="1"/>
        <v>0.68204108063558733</v>
      </c>
      <c r="K121" s="19">
        <f ca="1"/>
        <v>0.46821892749868249</v>
      </c>
      <c r="L121" s="19">
        <f ca="1"/>
        <v>1.1419896412729424</v>
      </c>
      <c r="M121" s="19">
        <f ca="1"/>
        <v>1.2902370887583365</v>
      </c>
      <c r="N121" s="19">
        <f ca="1"/>
        <v>0.86300306175256369</v>
      </c>
      <c r="O121" s="19">
        <f ca="1"/>
        <v>1.1343975140783229</v>
      </c>
      <c r="P121" s="19">
        <f ca="1"/>
        <v>1.3038588514281699</v>
      </c>
      <c r="Q121" s="19">
        <f ca="1"/>
        <v>1.5357987806408859</v>
      </c>
      <c r="R121" s="19">
        <f ca="1"/>
        <v>1.8725792984115168</v>
      </c>
    </row>
    <row r="122" spans="1:18" s="13" customFormat="1" hidden="1" outlineLevel="1" x14ac:dyDescent="0.25">
      <c r="A122" s="73"/>
      <c r="B122" s="74"/>
      <c r="C122" s="8"/>
    </row>
    <row r="123" spans="1:18" s="13" customFormat="1" hidden="1" outlineLevel="1" x14ac:dyDescent="0.25">
      <c r="A123" s="73"/>
      <c r="B123" s="74"/>
      <c r="C123" s="8" t="str">
        <f>$C$40</f>
        <v>Normalized Taxes</v>
      </c>
      <c r="D123" s="13" cm="1">
        <f t="array" aca="1" ref="D123:R123" ca="1">IFERROR(-_xlfn.ANCHORARRAY(D211)*D$110:OFFSET(D$110,0,$F$6-$D$9),1)</f>
        <v>-9565.3583999999992</v>
      </c>
      <c r="E123" s="13">
        <f ca="1"/>
        <v>-14490.217000000001</v>
      </c>
      <c r="F123" s="13">
        <f ca="1"/>
        <v>-19348.794000000002</v>
      </c>
      <c r="G123" s="13">
        <f ca="1"/>
        <v>-16825.107199999999</v>
      </c>
      <c r="H123" s="13">
        <f ca="1"/>
        <v>-29682.734399999994</v>
      </c>
      <c r="I123" s="13">
        <f ca="1"/>
        <v>-21556.14074423541</v>
      </c>
      <c r="J123" s="13">
        <f ca="1"/>
        <v>-23024.545878487268</v>
      </c>
      <c r="K123" s="13">
        <f ca="1"/>
        <v>-24296.237265695956</v>
      </c>
      <c r="L123" s="13">
        <f ca="1"/>
        <v>-26199.601404960373</v>
      </c>
      <c r="M123" s="13">
        <f ca="1"/>
        <v>-28385.135207064628</v>
      </c>
      <c r="N123" s="13">
        <f ca="1"/>
        <v>-29937.79316073361</v>
      </c>
      <c r="O123" s="13">
        <f ca="1"/>
        <v>-31955.055794761771</v>
      </c>
      <c r="P123" s="13">
        <f ca="1"/>
        <v>-33115.037203792868</v>
      </c>
      <c r="Q123" s="13">
        <f ca="1"/>
        <v>-34130.019769771148</v>
      </c>
      <c r="R123" s="13">
        <f ca="1"/>
        <v>-34983.270264015424</v>
      </c>
    </row>
    <row r="124" spans="1:18" s="19" customFormat="1" hidden="1" outlineLevel="1" x14ac:dyDescent="0.25">
      <c r="A124" s="76"/>
      <c r="B124" s="82"/>
      <c r="C124" s="16" t="str">
        <f>$C$41</f>
        <v>Effective Tax Rate (%)</v>
      </c>
      <c r="D124" s="19" cm="1">
        <f t="array" aca="1" ref="D124:R124" ca="1">IFERROR(_xlfn.ANCHORARRAY(D153),1)</f>
        <v>0.14429999999999998</v>
      </c>
      <c r="E124" s="19">
        <f ca="1"/>
        <v>0.13300000000000001</v>
      </c>
      <c r="F124" s="19">
        <f ca="1"/>
        <v>0.16200000000000001</v>
      </c>
      <c r="G124" s="19">
        <f ca="1"/>
        <v>0.1472</v>
      </c>
      <c r="H124" s="19">
        <f ca="1"/>
        <v>0.2409</v>
      </c>
      <c r="I124" s="19">
        <f ca="1"/>
        <v>0.1578</v>
      </c>
      <c r="J124" s="19">
        <f ca="1"/>
        <v>0.161</v>
      </c>
      <c r="K124" s="19">
        <f ca="1"/>
        <v>0.15859999999999999</v>
      </c>
      <c r="L124" s="19">
        <f ca="1"/>
        <v>0.155</v>
      </c>
      <c r="M124" s="19">
        <f ca="1"/>
        <v>0.155</v>
      </c>
      <c r="N124" s="19">
        <f ca="1"/>
        <v>0.15</v>
      </c>
      <c r="O124" s="19">
        <f ca="1"/>
        <v>0.15</v>
      </c>
      <c r="P124" s="19">
        <f ca="1"/>
        <v>0.15</v>
      </c>
      <c r="Q124" s="19">
        <f ca="1"/>
        <v>0.15</v>
      </c>
      <c r="R124" s="19">
        <f ca="1"/>
        <v>0.15</v>
      </c>
    </row>
    <row r="125" spans="1:18" s="13" customFormat="1" hidden="1" outlineLevel="1" x14ac:dyDescent="0.25">
      <c r="A125" s="73"/>
      <c r="B125" s="74"/>
      <c r="C125" s="8"/>
    </row>
    <row r="126" spans="1:18" s="13" customFormat="1" hidden="1" outlineLevel="1" x14ac:dyDescent="0.25">
      <c r="A126" s="73"/>
      <c r="B126" s="74"/>
      <c r="C126" s="8" t="str">
        <f>$C$43</f>
        <v>EBIAT/NOPAT</v>
      </c>
      <c r="D126" s="13" cm="1">
        <f t="array" aca="1" ref="D126:R126" ca="1">IFERROR(_xlfn.ANCHORARRAY(D110)+_xlfn.ANCHORARRAY(D123),1)</f>
        <v>56722.641600000003</v>
      </c>
      <c r="E126" s="13">
        <f ca="1"/>
        <v>94458.782999999996</v>
      </c>
      <c r="F126" s="13">
        <f ca="1"/>
        <v>100088.20600000001</v>
      </c>
      <c r="G126" s="13">
        <f ca="1"/>
        <v>97475.892800000001</v>
      </c>
      <c r="H126" s="13">
        <f ca="1"/>
        <v>93533.265599999984</v>
      </c>
      <c r="I126" s="13">
        <f ca="1"/>
        <v>110456.65925576455</v>
      </c>
      <c r="J126" s="13">
        <f ca="1"/>
        <v>115270.76412151268</v>
      </c>
      <c r="K126" s="13">
        <f ca="1"/>
        <v>123771.86273430398</v>
      </c>
      <c r="L126" s="13">
        <f ca="1"/>
        <v>137049.72905262368</v>
      </c>
      <c r="M126" s="13">
        <f ca="1"/>
        <v>148482.22418047051</v>
      </c>
      <c r="N126" s="13">
        <f ca="1"/>
        <v>162602.74123623554</v>
      </c>
      <c r="O126" s="13">
        <f ca="1"/>
        <v>173559.20794456423</v>
      </c>
      <c r="P126" s="13">
        <f ca="1"/>
        <v>179859.47716878066</v>
      </c>
      <c r="Q126" s="13">
        <f ca="1"/>
        <v>185372.20640199355</v>
      </c>
      <c r="R126" s="13">
        <f ca="1"/>
        <v>190006.51156204336</v>
      </c>
    </row>
    <row r="127" spans="1:18" s="19" customFormat="1" hidden="1" outlineLevel="1" x14ac:dyDescent="0.25">
      <c r="A127" s="76"/>
      <c r="B127" s="74"/>
      <c r="C127" s="16" t="str">
        <f>"% of Revenue"</f>
        <v>% of Revenue</v>
      </c>
      <c r="D127" s="19" cm="1">
        <f t="array" aca="1" ref="D127:R127" ca="1">IFERROR(D126:OFFSET(D126,0,$F$6-$D$9)/D$107:OFFSET(D$107,0,$F$6-$D$9),"NA ")</f>
        <v>0.20662856893065953</v>
      </c>
      <c r="E127" s="19">
        <f ca="1"/>
        <v>0.25821321316395901</v>
      </c>
      <c r="F127" s="19">
        <f ca="1"/>
        <v>0.25381967803452965</v>
      </c>
      <c r="G127" s="19">
        <f ca="1"/>
        <v>0.25431700379613081</v>
      </c>
      <c r="H127" s="19">
        <f ca="1"/>
        <v>0.23919410180674364</v>
      </c>
      <c r="I127" s="19">
        <f ca="1"/>
        <v>0.26621896836370423</v>
      </c>
      <c r="J127" s="19">
        <f ca="1"/>
        <v>0.26481168187272497</v>
      </c>
      <c r="K127" s="19">
        <f ca="1"/>
        <v>0.26709961041485925</v>
      </c>
      <c r="L127" s="19">
        <f ca="1"/>
        <v>0.27930201214504946</v>
      </c>
      <c r="M127" s="19">
        <f ca="1"/>
        <v>0.2873018775553291</v>
      </c>
      <c r="N127" s="19">
        <f ca="1"/>
        <v>0.3003281484161619</v>
      </c>
      <c r="O127" s="19">
        <f ca="1"/>
        <v>0.30765834830843719</v>
      </c>
      <c r="P127" s="19">
        <f ca="1"/>
        <v>0.30765834830843725</v>
      </c>
      <c r="Q127" s="19">
        <f ca="1"/>
        <v>0.30765834830843725</v>
      </c>
      <c r="R127" s="19">
        <f ca="1"/>
        <v>0.30765834830843725</v>
      </c>
    </row>
    <row r="128" spans="1:18" s="19" customFormat="1" hidden="1" outlineLevel="1" x14ac:dyDescent="0.25">
      <c r="A128" s="76"/>
      <c r="B128" s="82"/>
      <c r="C128" s="12"/>
    </row>
    <row r="129" spans="1:18" s="13" customFormat="1" hidden="1" outlineLevel="1" x14ac:dyDescent="0.25">
      <c r="A129" s="73"/>
      <c r="B129" s="74"/>
      <c r="C129" s="8" t="str">
        <f>$C$46</f>
        <v>Unlevered Free Cash Flow</v>
      </c>
      <c r="D129" s="13" cm="1">
        <f t="array" aca="1" ref="D129:R129" ca="1">IFERROR(_xlfn.ANCHORARRAY(D126)+_xlfn.ANCHORARRAY(D119)+_xlfn.ANCHORARRAY(D116)+_xlfn.ANCHORARRAY(D113),1)</f>
        <v>72676.641600000003</v>
      </c>
      <c r="E129" s="13">
        <f ca="1"/>
        <v>92731.782999999996</v>
      </c>
      <c r="F129" s="13">
        <f ca="1"/>
        <v>111728.20600000001</v>
      </c>
      <c r="G129" s="13">
        <f ca="1"/>
        <v>100064.8928</v>
      </c>
      <c r="H129" s="13">
        <f ca="1"/>
        <v>108604.26559999998</v>
      </c>
      <c r="I129" s="13">
        <f ca="1"/>
        <v>111668.72925576454</v>
      </c>
      <c r="J129" s="13">
        <f ca="1"/>
        <v>128245.77412151266</v>
      </c>
      <c r="K129" s="13">
        <f ca="1"/>
        <v>136593.61273430401</v>
      </c>
      <c r="L129" s="13">
        <f ca="1"/>
        <v>164709.93125006708</v>
      </c>
      <c r="M129" s="13">
        <f ca="1"/>
        <v>178175.00158480572</v>
      </c>
      <c r="N129" s="13">
        <f ca="1"/>
        <v>183833.35974134694</v>
      </c>
      <c r="O129" s="13">
        <f ca="1"/>
        <v>199324.51464642055</v>
      </c>
      <c r="P129" s="13">
        <f ca="1"/>
        <v>206560.07489200449</v>
      </c>
      <c r="Q129" s="13">
        <f ca="1"/>
        <v>212891.18282802516</v>
      </c>
      <c r="R129" s="13">
        <f ca="1"/>
        <v>218213.46239872577</v>
      </c>
    </row>
    <row r="130" spans="1:18" s="19" customFormat="1" hidden="1" outlineLevel="1" x14ac:dyDescent="0.25">
      <c r="A130" s="76"/>
      <c r="B130" s="74"/>
      <c r="C130" s="16" t="str">
        <f>"% of Revenue"</f>
        <v>% of Revenue</v>
      </c>
      <c r="D130" s="19" cm="1">
        <f t="array" aca="1" ref="D130:R130" ca="1">IFERROR(D129:OFFSET(D129,0,$F$6-$D$9)/D$107:OFFSET(D$107,0,$F$6-$D$9),"NA ")</f>
        <v>0.26474561171520683</v>
      </c>
      <c r="E130" s="19">
        <f ca="1"/>
        <v>0.25349227345913394</v>
      </c>
      <c r="F130" s="19">
        <f ca="1"/>
        <v>0.2833382514049218</v>
      </c>
      <c r="G130" s="19">
        <f ca="1"/>
        <v>0.26107176852733605</v>
      </c>
      <c r="H130" s="19">
        <f ca="1"/>
        <v>0.27773540885087011</v>
      </c>
      <c r="I130" s="19">
        <f ca="1"/>
        <v>0.26914025918635559</v>
      </c>
      <c r="J130" s="19">
        <f ca="1"/>
        <v>0.29461918984407343</v>
      </c>
      <c r="K130" s="19">
        <f ca="1"/>
        <v>0.29476893972913448</v>
      </c>
      <c r="L130" s="19">
        <f ca="1"/>
        <v>0.33567242734753733</v>
      </c>
      <c r="M130" s="19">
        <f ca="1"/>
        <v>0.34475515686322344</v>
      </c>
      <c r="N130" s="19">
        <f ca="1"/>
        <v>0.33954121639332774</v>
      </c>
      <c r="O130" s="19">
        <f ca="1"/>
        <v>0.35333101412335222</v>
      </c>
      <c r="P130" s="19">
        <f ca="1"/>
        <v>0.35333101412335227</v>
      </c>
      <c r="Q130" s="19">
        <f ca="1"/>
        <v>0.35333101412335233</v>
      </c>
      <c r="R130" s="19">
        <f ca="1"/>
        <v>0.35333101412335227</v>
      </c>
    </row>
    <row r="131" spans="1:18" hidden="1" outlineLevel="1" x14ac:dyDescent="0.25"/>
    <row r="132" spans="1:18" hidden="1" outlineLevel="1" x14ac:dyDescent="0.25">
      <c r="C132" s="9" t="str">
        <f>"Street Case"</f>
        <v>Street Case</v>
      </c>
    </row>
    <row r="133" spans="1:18" s="20" customFormat="1" hidden="1" outlineLevel="1" x14ac:dyDescent="0.25">
      <c r="A133" s="102" t="str">
        <f>""</f>
        <v/>
      </c>
      <c r="B133" s="106"/>
      <c r="C133" s="14"/>
      <c r="D133" s="20" t="str" cm="1">
        <f t="array" aca="1" ref="D133:R133" ca="1">IFERROR(IF($D$9:OFFSET($D$9,0,$F$6-$D$9)&lt;$D$6,TEXT($D$9:OFFSET($D$9,0,$F$6-$D$9),"0A"),TEXT($D$9:OFFSET($D$9,0,$F$6-$D$9),"0")&amp;"E"),1)</f>
        <v>2020A</v>
      </c>
      <c r="E133" s="20" t="str">
        <f ca="1"/>
        <v>2021A</v>
      </c>
      <c r="F133" s="20" t="str">
        <f ca="1"/>
        <v>2022A</v>
      </c>
      <c r="G133" s="20" t="str">
        <f ca="1"/>
        <v>2023A</v>
      </c>
      <c r="H133" s="20" t="str">
        <f ca="1"/>
        <v>2024A</v>
      </c>
      <c r="I133" s="20" t="str">
        <f ca="1"/>
        <v>2025E</v>
      </c>
      <c r="J133" s="20" t="str">
        <f ca="1"/>
        <v>2026E</v>
      </c>
      <c r="K133" s="20" t="str">
        <f ca="1"/>
        <v>2027E</v>
      </c>
      <c r="L133" s="20" t="str">
        <f ca="1"/>
        <v>2028E</v>
      </c>
      <c r="M133" s="20" t="str">
        <f ca="1"/>
        <v>2029E</v>
      </c>
      <c r="N133" s="20" t="str">
        <f ca="1"/>
        <v>2030E</v>
      </c>
      <c r="O133" s="20" t="str">
        <f ca="1"/>
        <v>2031E</v>
      </c>
      <c r="P133" s="20" t="str">
        <f ca="1"/>
        <v>2032E</v>
      </c>
      <c r="Q133" s="20" t="str">
        <f ca="1"/>
        <v>2033E</v>
      </c>
      <c r="R133" s="20" t="str">
        <f ca="1"/>
        <v>2034E</v>
      </c>
    </row>
    <row r="134" spans="1:18" s="15" customFormat="1" hidden="1" outlineLevel="1" x14ac:dyDescent="0.25">
      <c r="A134" s="103"/>
      <c r="B134" s="107"/>
      <c r="C134" s="10" t="str">
        <f>"Fiscal Year"</f>
        <v>Fiscal Year</v>
      </c>
      <c r="D134" s="15" cm="1">
        <f t="array" aca="1" ref="D134:R134" ca="1">IFERROR(DATE($D$9:OFFSET($D$9,0,$F$6-$D$9),_xlfn.XLOOKUP(_xlfn.TEXTAFTER(_xlfn.TEXTBEFORE($C$5,"-"),": "),$G$4:$R$4,_xlfn.ANCHORARRAY($G$3)),$G$6),1)</f>
        <v>44104</v>
      </c>
      <c r="E134" s="15">
        <f ca="1"/>
        <v>44469</v>
      </c>
      <c r="F134" s="15">
        <f ca="1"/>
        <v>44834</v>
      </c>
      <c r="G134" s="15">
        <f ca="1"/>
        <v>45199</v>
      </c>
      <c r="H134" s="15">
        <f ca="1"/>
        <v>45565</v>
      </c>
      <c r="I134" s="15">
        <f ca="1"/>
        <v>45930</v>
      </c>
      <c r="J134" s="15">
        <f ca="1"/>
        <v>46295</v>
      </c>
      <c r="K134" s="15">
        <f ca="1"/>
        <v>46660</v>
      </c>
      <c r="L134" s="15">
        <f ca="1"/>
        <v>47026</v>
      </c>
      <c r="M134" s="15">
        <f ca="1"/>
        <v>47391</v>
      </c>
      <c r="N134" s="15">
        <f ca="1"/>
        <v>47756</v>
      </c>
      <c r="O134" s="15">
        <f ca="1"/>
        <v>48121</v>
      </c>
      <c r="P134" s="15">
        <f ca="1"/>
        <v>48487</v>
      </c>
      <c r="Q134" s="15">
        <f ca="1"/>
        <v>48852</v>
      </c>
      <c r="R134" s="15">
        <f ca="1"/>
        <v>49217</v>
      </c>
    </row>
    <row r="135" spans="1:18" hidden="1" outlineLevel="1" x14ac:dyDescent="0.25"/>
    <row r="136" spans="1:18" s="13" customFormat="1" hidden="1" outlineLevel="1" x14ac:dyDescent="0.25">
      <c r="A136" s="73"/>
      <c r="B136" s="74"/>
      <c r="C136" s="8" t="str">
        <f>$C$15</f>
        <v>Revenue</v>
      </c>
      <c r="D136" s="13">
        <f ca="1">D15</f>
        <v>274515</v>
      </c>
      <c r="E136" s="13" cm="1">
        <f t="array" aca="1" ref="E136:R136" ca="1">IFERROR(_xlfn.LET(
  _xlpm.base, D136,
  _xlpm.growths,_xlfn.ANCHORARRAY( E137),
  _xlpm.result, _xlfn.SCAN(_xlpm.base, _xlpm.growths, _xlfn.LAMBDA(_xlpm.a,_xlpm.b, _xlpm.a * (1 + _xlpm.b))),
  _xlpm.result
),1)</f>
        <v>365817</v>
      </c>
      <c r="F136" s="13">
        <f ca="1"/>
        <v>394328</v>
      </c>
      <c r="G136" s="13">
        <f ca="1"/>
        <v>383285</v>
      </c>
      <c r="H136" s="13">
        <f ca="1"/>
        <v>391034.99999999994</v>
      </c>
      <c r="I136" s="13">
        <f ca="1"/>
        <v>414909.04999999987</v>
      </c>
      <c r="J136" s="13">
        <f ca="1"/>
        <v>435293.34999999986</v>
      </c>
      <c r="K136" s="13">
        <f ca="1"/>
        <v>463392.14999999991</v>
      </c>
      <c r="L136" s="13">
        <f ca="1"/>
        <v>489893.49999999983</v>
      </c>
      <c r="M136" s="13">
        <f ca="1"/>
        <v>533328.99999999988</v>
      </c>
      <c r="N136" s="13">
        <f ca="1"/>
        <v>569146.99999999988</v>
      </c>
      <c r="O136" s="13">
        <f ca="1"/>
        <v>596417.99999999988</v>
      </c>
      <c r="P136" s="13">
        <f ca="1"/>
        <v>624995.70536961441</v>
      </c>
      <c r="Q136" s="13">
        <f ca="1"/>
        <v>654942.72763474926</v>
      </c>
      <c r="R136" s="13">
        <f ca="1"/>
        <v>686324.67838794168</v>
      </c>
    </row>
    <row r="137" spans="1:18" s="19" customFormat="1" hidden="1" outlineLevel="1" x14ac:dyDescent="0.25">
      <c r="A137" s="76"/>
      <c r="B137" s="74"/>
      <c r="C137" s="16" t="str">
        <f>$C$16</f>
        <v>% growth</v>
      </c>
      <c r="D137" s="27"/>
      <c r="E137" s="19" cm="1">
        <f t="array" aca="1" ref="E137:R137" ca="1">IFERROR(IF(_xlfn.ANCHORARRAY(E16)="NA ",LOOKUP(2,1/(ISNUMBER(_xlfn.ANCHORARRAY(E16))),_xlfn.ANCHORARRAY(E16)),_xlfn.ANCHORARRAY(E16)),1)</f>
        <v>0.33259384733074704</v>
      </c>
      <c r="F137" s="19">
        <f ca="1"/>
        <v>7.7937876041846099E-2</v>
      </c>
      <c r="G137" s="19">
        <f ca="1"/>
        <v>-2.800460530319937E-2</v>
      </c>
      <c r="H137" s="19">
        <f ca="1"/>
        <v>2.021994077514111E-2</v>
      </c>
      <c r="I137" s="19">
        <f ca="1"/>
        <v>6.1053486260820522E-2</v>
      </c>
      <c r="J137" s="19">
        <f ca="1"/>
        <v>4.9129562249847325E-2</v>
      </c>
      <c r="K137" s="19">
        <f ca="1"/>
        <v>6.4551411134583292E-2</v>
      </c>
      <c r="L137" s="19">
        <f ca="1"/>
        <v>5.7189898447783216E-2</v>
      </c>
      <c r="M137" s="19">
        <f ca="1"/>
        <v>8.8663148214867205E-2</v>
      </c>
      <c r="N137" s="19">
        <f ca="1"/>
        <v>6.7159295669277252E-2</v>
      </c>
      <c r="O137" s="19">
        <f ca="1"/>
        <v>4.791556487164117E-2</v>
      </c>
      <c r="P137" s="19">
        <f ca="1"/>
        <v>4.791556487164117E-2</v>
      </c>
      <c r="Q137" s="19">
        <f ca="1"/>
        <v>4.791556487164117E-2</v>
      </c>
      <c r="R137" s="19">
        <f ca="1"/>
        <v>4.791556487164117E-2</v>
      </c>
    </row>
    <row r="138" spans="1:18" s="13" customFormat="1" hidden="1" outlineLevel="1" x14ac:dyDescent="0.25">
      <c r="A138" s="73"/>
      <c r="B138" s="74"/>
      <c r="C138" s="8"/>
    </row>
    <row r="139" spans="1:18" s="13" customFormat="1" hidden="1" outlineLevel="1" x14ac:dyDescent="0.25">
      <c r="A139" s="73"/>
      <c r="B139" s="74"/>
      <c r="C139" s="8" t="str">
        <f>$C$21</f>
        <v>EBIT</v>
      </c>
      <c r="D139" s="13" cm="1">
        <f t="array" aca="1" ref="D139:R139" ca="1">IFERROR(_xlfn.ANCHORARRAY(D140)*D$136:OFFSET(D$136,0,$F$6-$D$9),1)</f>
        <v>66288</v>
      </c>
      <c r="E139" s="13">
        <f ca="1"/>
        <v>108949</v>
      </c>
      <c r="F139" s="13">
        <f ca="1"/>
        <v>119437</v>
      </c>
      <c r="G139" s="13">
        <f ca="1"/>
        <v>114301</v>
      </c>
      <c r="H139" s="13">
        <f ca="1"/>
        <v>123215.99999999997</v>
      </c>
      <c r="I139" s="13">
        <f ca="1"/>
        <v>132012.79999999996</v>
      </c>
      <c r="J139" s="13">
        <f ca="1"/>
        <v>138295.30999999994</v>
      </c>
      <c r="K139" s="13">
        <f ca="1"/>
        <v>148068.09999999995</v>
      </c>
      <c r="L139" s="13">
        <f ca="1"/>
        <v>162985.49999999994</v>
      </c>
      <c r="M139" s="13">
        <f ca="1"/>
        <v>182518.49999999994</v>
      </c>
      <c r="N139" s="13">
        <f ca="1"/>
        <v>202401.99999999997</v>
      </c>
      <c r="O139" s="13">
        <f ca="1"/>
        <v>217276.99999999997</v>
      </c>
      <c r="P139" s="13">
        <f ca="1"/>
        <v>227687.95018861556</v>
      </c>
      <c r="Q139" s="13">
        <f ca="1"/>
        <v>238597.74693636916</v>
      </c>
      <c r="R139" s="13">
        <f ca="1"/>
        <v>250030.29275792619</v>
      </c>
    </row>
    <row r="140" spans="1:18" s="19" customFormat="1" hidden="1" outlineLevel="1" x14ac:dyDescent="0.25">
      <c r="A140" s="76"/>
      <c r="B140" s="74"/>
      <c r="C140" s="16" t="str">
        <f>$C$22</f>
        <v>% of Revenue</v>
      </c>
      <c r="D140" s="19" cm="1">
        <f t="array" aca="1" ref="D140:R140" ca="1">IFERROR(IF(_xlfn.ANCHORARRAY(D22)="NA ",LOOKUP(2,1/(ISNUMBER(_xlfn.ANCHORARRAY(D22))),_xlfn.ANCHORARRAY(D22)),_xlfn.ANCHORARRAY(D22)),1)</f>
        <v>0.24147314354406862</v>
      </c>
      <c r="E140" s="19">
        <f ca="1"/>
        <v>0.29782377527561593</v>
      </c>
      <c r="F140" s="19">
        <f ca="1"/>
        <v>0.30288744395528594</v>
      </c>
      <c r="G140" s="19">
        <f ca="1"/>
        <v>0.29821412265024722</v>
      </c>
      <c r="H140" s="19">
        <f ca="1"/>
        <v>0.31510222870075566</v>
      </c>
      <c r="I140" s="19">
        <f ca="1"/>
        <v>0.31817286222125063</v>
      </c>
      <c r="J140" s="19">
        <f ca="1"/>
        <v>0.31770600217072004</v>
      </c>
      <c r="K140" s="19">
        <f ca="1"/>
        <v>0.31953087681783127</v>
      </c>
      <c r="L140" s="19">
        <f ca="1"/>
        <v>0.33269577979703752</v>
      </c>
      <c r="M140" s="19">
        <f ca="1"/>
        <v>0.34222496807786562</v>
      </c>
      <c r="N140" s="19">
        <f ca="1"/>
        <v>0.35562341539180564</v>
      </c>
      <c r="O140" s="19">
        <f ca="1"/>
        <v>0.36430322357809458</v>
      </c>
      <c r="P140" s="19">
        <f ca="1"/>
        <v>0.36430322357809458</v>
      </c>
      <c r="Q140" s="19">
        <f ca="1"/>
        <v>0.36430322357809458</v>
      </c>
      <c r="R140" s="19">
        <f ca="1"/>
        <v>0.36430322357809458</v>
      </c>
    </row>
    <row r="141" spans="1:18" s="13" customFormat="1" hidden="1" outlineLevel="1" x14ac:dyDescent="0.25">
      <c r="A141" s="73"/>
      <c r="B141" s="74"/>
      <c r="C141" s="8"/>
    </row>
    <row r="142" spans="1:18" s="13" customFormat="1" hidden="1" outlineLevel="1" x14ac:dyDescent="0.25">
      <c r="A142" s="73"/>
      <c r="B142" s="74"/>
      <c r="C142" s="8" t="str">
        <f>$C$24</f>
        <v>Depreciation &amp; Amortization</v>
      </c>
      <c r="D142" s="13" cm="1">
        <f t="array" aca="1" ref="D142:R142" ca="1">IFERROR(_xlfn.ANCHORARRAY(D143)*D$136:OFFSET(D$136,0,$F$6-$D$9),1)</f>
        <v>11056</v>
      </c>
      <c r="E142" s="13">
        <f ca="1"/>
        <v>11284</v>
      </c>
      <c r="F142" s="13">
        <f ca="1"/>
        <v>11104</v>
      </c>
      <c r="G142" s="13">
        <f ca="1"/>
        <v>11519</v>
      </c>
      <c r="H142" s="13">
        <f ca="1"/>
        <v>11444.999999999998</v>
      </c>
      <c r="I142" s="13">
        <f ca="1"/>
        <v>11618.779999999997</v>
      </c>
      <c r="J142" s="13">
        <f ca="1"/>
        <v>12021.489999999996</v>
      </c>
      <c r="K142" s="13">
        <f ca="1"/>
        <v>12323.989999999998</v>
      </c>
      <c r="L142" s="13">
        <f ca="1"/>
        <v>11093.999999999996</v>
      </c>
      <c r="M142" s="13">
        <f ca="1"/>
        <v>11600.999999999998</v>
      </c>
      <c r="N142" s="13">
        <f ca="1"/>
        <v>15128.999999999998</v>
      </c>
      <c r="O142" s="13">
        <f ca="1"/>
        <v>16031.999999999996</v>
      </c>
      <c r="P142" s="13">
        <f ca="1"/>
        <v>16800.18233602215</v>
      </c>
      <c r="Q142" s="13">
        <f ca="1"/>
        <v>17605.172562599219</v>
      </c>
      <c r="R142" s="13">
        <f ca="1"/>
        <v>18448.734350598876</v>
      </c>
    </row>
    <row r="143" spans="1:18" s="19" customFormat="1" hidden="1" outlineLevel="1" x14ac:dyDescent="0.25">
      <c r="A143" s="76"/>
      <c r="B143" s="74"/>
      <c r="C143" s="16" t="str">
        <f>$C$25</f>
        <v>% of Revenue</v>
      </c>
      <c r="D143" s="19" cm="1">
        <f t="array" aca="1" ref="D143:R143" ca="1">IFERROR(IF(_xlfn.ANCHORARRAY(D25)="NA ",LOOKUP(2,1/(ISNUMBER(_xlfn.ANCHORARRAY(D25))),_xlfn.ANCHORARRAY(D25)),_xlfn.ANCHORARRAY(D25)),1)</f>
        <v>4.0274666229532081E-2</v>
      </c>
      <c r="E143" s="19">
        <f ca="1"/>
        <v>3.084602410494865E-2</v>
      </c>
      <c r="F143" s="19">
        <f ca="1"/>
        <v>2.8159298857803657E-2</v>
      </c>
      <c r="G143" s="19">
        <f ca="1"/>
        <v>3.0053354553400212E-2</v>
      </c>
      <c r="H143" s="19">
        <f ca="1"/>
        <v>2.9268479803598143E-2</v>
      </c>
      <c r="I143" s="19">
        <f ca="1"/>
        <v>2.8003197327221473E-2</v>
      </c>
      <c r="J143" s="19">
        <f ca="1"/>
        <v>2.7616985189413072E-2</v>
      </c>
      <c r="K143" s="19">
        <f ca="1"/>
        <v>2.6595163513236035E-2</v>
      </c>
      <c r="L143" s="19">
        <f ca="1"/>
        <v>2.2645738308428261E-2</v>
      </c>
      <c r="M143" s="19">
        <f ca="1"/>
        <v>2.1752051735420351E-2</v>
      </c>
      <c r="N143" s="19">
        <f ca="1"/>
        <v>2.6581884820617522E-2</v>
      </c>
      <c r="O143" s="19">
        <f ca="1"/>
        <v>2.6880476444372907E-2</v>
      </c>
      <c r="P143" s="19">
        <f ca="1"/>
        <v>2.6880476444372907E-2</v>
      </c>
      <c r="Q143" s="19">
        <f ca="1"/>
        <v>2.6880476444372907E-2</v>
      </c>
      <c r="R143" s="19">
        <f ca="1"/>
        <v>2.6880476444372907E-2</v>
      </c>
    </row>
    <row r="144" spans="1:18" s="13" customFormat="1" hidden="1" outlineLevel="1" x14ac:dyDescent="0.25">
      <c r="A144" s="73"/>
      <c r="B144" s="74"/>
      <c r="C144" s="8"/>
    </row>
    <row r="145" spans="1:18" s="13" customFormat="1" hidden="1" outlineLevel="1" x14ac:dyDescent="0.25">
      <c r="A145" s="73"/>
      <c r="B145" s="74"/>
      <c r="C145" s="8" t="str">
        <f>$C$27</f>
        <v>Capital Expenditures</v>
      </c>
      <c r="D145" s="13" cm="1">
        <f t="array" aca="1" ref="D145:R145" ca="1">IFERROR(-_xlfn.ANCHORARRAY(D146)*D$136:OFFSET(D$136,0,$F$6-$D$9),1)</f>
        <v>-7309</v>
      </c>
      <c r="E145" s="13">
        <f ca="1"/>
        <v>-11085</v>
      </c>
      <c r="F145" s="13">
        <f ca="1"/>
        <v>-10708</v>
      </c>
      <c r="G145" s="13">
        <f ca="1"/>
        <v>-10959</v>
      </c>
      <c r="H145" s="13">
        <f ca="1"/>
        <v>-9446.9999999999982</v>
      </c>
      <c r="I145" s="13">
        <f ca="1"/>
        <v>-11813.409999999996</v>
      </c>
      <c r="J145" s="13">
        <f ca="1"/>
        <v>-12949.409999999996</v>
      </c>
      <c r="K145" s="13">
        <f ca="1"/>
        <v>-12658.629999999996</v>
      </c>
      <c r="L145" s="13">
        <f ca="1"/>
        <v>-14597.999999999995</v>
      </c>
      <c r="M145" s="13">
        <f ca="1"/>
        <v>-15749.999999999996</v>
      </c>
      <c r="N145" s="13">
        <f ca="1"/>
        <v>-15128.999999999998</v>
      </c>
      <c r="O145" s="13">
        <f ca="1"/>
        <v>-16031.999999999996</v>
      </c>
      <c r="P145" s="13">
        <f ca="1"/>
        <v>-16800.18233602215</v>
      </c>
      <c r="Q145" s="13">
        <f ca="1"/>
        <v>-17605.172562599219</v>
      </c>
      <c r="R145" s="13">
        <f ca="1"/>
        <v>-18448.734350598876</v>
      </c>
    </row>
    <row r="146" spans="1:18" s="19" customFormat="1" hidden="1" outlineLevel="1" x14ac:dyDescent="0.25">
      <c r="A146" s="76"/>
      <c r="B146" s="74"/>
      <c r="C146" s="16" t="str">
        <f>$C$28</f>
        <v>% of Revenue</v>
      </c>
      <c r="D146" s="19" cm="1">
        <f t="array" aca="1" ref="D146:R146" ca="1">IFERROR(IF(_xlfn.ANCHORARRAY(D28)="NA ",LOOKUP(2,1/(ISNUMBER(_xlfn.ANCHORARRAY(D28))),_xlfn.ANCHORARRAY(D28)),_xlfn.ANCHORARRAY(D28)),1)</f>
        <v>2.6625138881299748E-2</v>
      </c>
      <c r="E146" s="19">
        <f ca="1"/>
        <v>3.0302036264033657E-2</v>
      </c>
      <c r="F146" s="19">
        <f ca="1"/>
        <v>2.7155058732831552E-2</v>
      </c>
      <c r="G146" s="19">
        <f ca="1"/>
        <v>2.859230076835775E-2</v>
      </c>
      <c r="H146" s="19">
        <f ca="1"/>
        <v>2.415896275269477E-2</v>
      </c>
      <c r="I146" s="19">
        <f ca="1"/>
        <v>2.8472288083376346E-2</v>
      </c>
      <c r="J146" s="19">
        <f ca="1"/>
        <v>2.9748697056823866E-2</v>
      </c>
      <c r="K146" s="19">
        <f ca="1"/>
        <v>2.7317316445692914E-2</v>
      </c>
      <c r="L146" s="19">
        <f ca="1"/>
        <v>2.9798313306871799E-2</v>
      </c>
      <c r="M146" s="19">
        <f ca="1"/>
        <v>2.953148994335579E-2</v>
      </c>
      <c r="N146" s="19">
        <f ca="1"/>
        <v>2.6581884820617522E-2</v>
      </c>
      <c r="O146" s="19">
        <f ca="1"/>
        <v>2.6880476444372907E-2</v>
      </c>
      <c r="P146" s="19">
        <f ca="1"/>
        <v>2.6880476444372907E-2</v>
      </c>
      <c r="Q146" s="19">
        <f ca="1"/>
        <v>2.6880476444372907E-2</v>
      </c>
      <c r="R146" s="19">
        <f ca="1"/>
        <v>2.6880476444372907E-2</v>
      </c>
    </row>
    <row r="147" spans="1:18" s="13" customFormat="1" hidden="1" outlineLevel="1" x14ac:dyDescent="0.25">
      <c r="A147" s="73"/>
      <c r="B147" s="74"/>
      <c r="C147" s="8"/>
    </row>
    <row r="148" spans="1:18" s="13" customFormat="1" hidden="1" outlineLevel="1" x14ac:dyDescent="0.25">
      <c r="A148" s="73"/>
      <c r="B148" s="74"/>
      <c r="C148" s="8" t="str">
        <f>$C$36</f>
        <v>Change in Working Capital &amp; Other Non-Cash Expenses</v>
      </c>
      <c r="D148" s="13" cm="1">
        <f t="array" aca="1" ref="D148:R148" ca="1">IFERROR(_xlfn.ANCHORARRAY(D149)*D$136:OFFSET(D$136,0,$F$6-$D$9),1)</f>
        <v>12207</v>
      </c>
      <c r="E148" s="13">
        <f ca="1"/>
        <v>-1926</v>
      </c>
      <c r="F148" s="13">
        <f ca="1"/>
        <v>11244</v>
      </c>
      <c r="G148" s="13">
        <f ca="1"/>
        <v>2028.9999999999998</v>
      </c>
      <c r="H148" s="13">
        <f ca="1"/>
        <v>13072.999999999998</v>
      </c>
      <c r="I148" s="13">
        <f ca="1"/>
        <v>1406.6999999999948</v>
      </c>
      <c r="J148" s="13">
        <f ca="1"/>
        <v>13902.929999999995</v>
      </c>
      <c r="K148" s="13">
        <f ca="1"/>
        <v>13156.390000000001</v>
      </c>
      <c r="L148" s="13">
        <f ca="1"/>
        <v>31119.499999999989</v>
      </c>
      <c r="M148" s="13">
        <f ca="1"/>
        <v>34790.499999999993</v>
      </c>
      <c r="N148" s="13">
        <f ca="1"/>
        <v>22317.999999999996</v>
      </c>
      <c r="O148" s="13">
        <f ca="1"/>
        <v>27239.999999999993</v>
      </c>
      <c r="P148" s="13">
        <f ca="1"/>
        <v>28545.219987103501</v>
      </c>
      <c r="Q148" s="13">
        <f ca="1"/>
        <v>29912.980327170822</v>
      </c>
      <c r="R148" s="13">
        <f ca="1"/>
        <v>31346.277676541504</v>
      </c>
    </row>
    <row r="149" spans="1:18" s="19" customFormat="1" hidden="1" outlineLevel="1" x14ac:dyDescent="0.25">
      <c r="A149" s="76"/>
      <c r="B149" s="74"/>
      <c r="C149" s="16" t="str">
        <f>$C$37</f>
        <v>% of Revenue</v>
      </c>
      <c r="D149" s="19" cm="1">
        <f t="array" aca="1" ref="D149:R149" ca="1">IFERROR(IF(_xlfn.ANCHORARRAY(D37)="NA ",LOOKUP(2,1/(ISNUMBER(_xlfn.ANCHORARRAY(D37))),_xlfn.ANCHORARRAY(D37)),_xlfn.ANCHORARRAY(D37)),1)</f>
        <v>4.4467515436314956E-2</v>
      </c>
      <c r="E149" s="19">
        <f ca="1"/>
        <v>-5.2649275457400833E-3</v>
      </c>
      <c r="F149" s="19">
        <f ca="1"/>
        <v>2.8514333245420055E-2</v>
      </c>
      <c r="G149" s="19">
        <f ca="1"/>
        <v>5.2937109461627767E-3</v>
      </c>
      <c r="H149" s="19">
        <f ca="1"/>
        <v>3.3431789993223111E-2</v>
      </c>
      <c r="I149" s="19">
        <f ca="1"/>
        <v>3.3903815788062356E-3</v>
      </c>
      <c r="J149" s="19">
        <f ca="1"/>
        <v>3.193921983875931E-2</v>
      </c>
      <c r="K149" s="19">
        <f ca="1"/>
        <v>2.8391482246732068E-2</v>
      </c>
      <c r="L149" s="19">
        <f ca="1"/>
        <v>6.3522990200931426E-2</v>
      </c>
      <c r="M149" s="19">
        <f ca="1"/>
        <v>6.5232717515829819E-2</v>
      </c>
      <c r="N149" s="19">
        <f ca="1"/>
        <v>3.9213067977165832E-2</v>
      </c>
      <c r="O149" s="19">
        <f ca="1"/>
        <v>4.5672665814915039E-2</v>
      </c>
      <c r="P149" s="19">
        <f ca="1"/>
        <v>4.5672665814915039E-2</v>
      </c>
      <c r="Q149" s="19">
        <f ca="1"/>
        <v>4.5672665814915039E-2</v>
      </c>
      <c r="R149" s="19">
        <f ca="1"/>
        <v>4.5672665814915039E-2</v>
      </c>
    </row>
    <row r="150" spans="1:18" s="19" customFormat="1" hidden="1" outlineLevel="1" x14ac:dyDescent="0.25">
      <c r="A150" s="76"/>
      <c r="B150" s="82"/>
      <c r="C150" s="16" t="str">
        <f>"% of Change in Revenue"</f>
        <v>% of Change in Revenue</v>
      </c>
      <c r="E150" s="19" cm="1">
        <f t="array" aca="1" ref="E150:R150" ca="1">IFERROR(E148:OFFSET(E148,,$F$6-$D$9-1)/($E$136:OFFSET($E$136,,$F$6-$D$9-1)-$D$136:OFFSET($D$136,,$F$6-$D$9-1)),"NA ")</f>
        <v>-2.1094828152723927E-2</v>
      </c>
      <c r="F150" s="19">
        <f ca="1"/>
        <v>0.39437410122408895</v>
      </c>
      <c r="G150" s="19">
        <f ca="1"/>
        <v>-0.1837363035407045</v>
      </c>
      <c r="H150" s="19">
        <f ca="1"/>
        <v>1.6868387096774318</v>
      </c>
      <c r="I150" s="19">
        <f ca="1"/>
        <v>5.8921716256772477E-2</v>
      </c>
      <c r="J150" s="19">
        <f ca="1"/>
        <v>0.68204108063558733</v>
      </c>
      <c r="K150" s="19">
        <f ca="1"/>
        <v>0.46821892749868249</v>
      </c>
      <c r="L150" s="19">
        <f ca="1"/>
        <v>1.1742609338769567</v>
      </c>
      <c r="M150" s="19">
        <f ca="1"/>
        <v>0.80096925326058055</v>
      </c>
      <c r="N150" s="19">
        <f ca="1"/>
        <v>0.62309453347478916</v>
      </c>
      <c r="O150" s="19">
        <f ca="1"/>
        <v>0.99886326133988457</v>
      </c>
      <c r="P150" s="19">
        <f ca="1"/>
        <v>0.99886326133988457</v>
      </c>
      <c r="Q150" s="19">
        <f ca="1"/>
        <v>0.99886326133988768</v>
      </c>
      <c r="R150" s="19">
        <f ca="1"/>
        <v>0.99886326133988712</v>
      </c>
    </row>
    <row r="151" spans="1:18" s="13" customFormat="1" hidden="1" outlineLevel="1" x14ac:dyDescent="0.25">
      <c r="A151" s="73"/>
      <c r="B151" s="74"/>
      <c r="C151" s="8"/>
    </row>
    <row r="152" spans="1:18" s="13" customFormat="1" hidden="1" outlineLevel="1" x14ac:dyDescent="0.25">
      <c r="A152" s="73"/>
      <c r="B152" s="74"/>
      <c r="C152" s="8" t="str">
        <f>$C$40</f>
        <v>Normalized Taxes</v>
      </c>
      <c r="D152" s="13" cm="1">
        <f t="array" aca="1" ref="D152:R152" ca="1">IFERROR(-_xlfn.ANCHORARRAY(D153)*D$139:OFFSET(D$139,0,$F$6-$D$9),1)</f>
        <v>-9565.3583999999992</v>
      </c>
      <c r="E152" s="13">
        <f ca="1"/>
        <v>-14490.217000000001</v>
      </c>
      <c r="F152" s="13">
        <f ca="1"/>
        <v>-19348.794000000002</v>
      </c>
      <c r="G152" s="13">
        <f ca="1"/>
        <v>-16825.107199999999</v>
      </c>
      <c r="H152" s="13">
        <f ca="1"/>
        <v>-29682.734399999994</v>
      </c>
      <c r="I152" s="13">
        <f ca="1"/>
        <v>-20831.619839999992</v>
      </c>
      <c r="J152" s="13">
        <f ca="1"/>
        <v>-22265.54490999999</v>
      </c>
      <c r="K152" s="13">
        <f ca="1"/>
        <v>-23483.600659999989</v>
      </c>
      <c r="L152" s="13">
        <f ca="1"/>
        <v>-25262.752499999991</v>
      </c>
      <c r="M152" s="13">
        <f ca="1"/>
        <v>-28290.367499999989</v>
      </c>
      <c r="N152" s="13">
        <f ca="1"/>
        <v>-30360.299999999996</v>
      </c>
      <c r="O152" s="13">
        <f ca="1"/>
        <v>-32591.549999999996</v>
      </c>
      <c r="P152" s="13">
        <f ca="1"/>
        <v>-34153.192528292333</v>
      </c>
      <c r="Q152" s="13">
        <f ca="1"/>
        <v>-35789.662040455376</v>
      </c>
      <c r="R152" s="13">
        <f ca="1"/>
        <v>-37504.543913688925</v>
      </c>
    </row>
    <row r="153" spans="1:18" s="19" customFormat="1" hidden="1" outlineLevel="1" x14ac:dyDescent="0.25">
      <c r="A153" s="76"/>
      <c r="B153" s="82"/>
      <c r="C153" s="16" t="str">
        <f>$C$41</f>
        <v>Effective Tax Rate (%)</v>
      </c>
      <c r="D153" s="19" cm="1">
        <f t="array" aca="1" ref="D153:R153" ca="1">IFERROR(IF(_xlfn.ANCHORARRAY(D41)="NA ",LOOKUP(2,1/(ISNUMBER(_xlfn.ANCHORARRAY(D41))),_xlfn.ANCHORARRAY(D41)),_xlfn.ANCHORARRAY(D41)),1)</f>
        <v>0.14429999999999998</v>
      </c>
      <c r="E153" s="19">
        <f ca="1"/>
        <v>0.13300000000000001</v>
      </c>
      <c r="F153" s="19">
        <f ca="1"/>
        <v>0.16200000000000001</v>
      </c>
      <c r="G153" s="19">
        <f ca="1"/>
        <v>0.1472</v>
      </c>
      <c r="H153" s="19">
        <f ca="1"/>
        <v>0.2409</v>
      </c>
      <c r="I153" s="19">
        <f ca="1"/>
        <v>0.1578</v>
      </c>
      <c r="J153" s="19">
        <f ca="1"/>
        <v>0.161</v>
      </c>
      <c r="K153" s="19">
        <f ca="1"/>
        <v>0.15859999999999999</v>
      </c>
      <c r="L153" s="19">
        <f ca="1"/>
        <v>0.155</v>
      </c>
      <c r="M153" s="19">
        <f ca="1"/>
        <v>0.155</v>
      </c>
      <c r="N153" s="19">
        <f ca="1"/>
        <v>0.15</v>
      </c>
      <c r="O153" s="19">
        <f ca="1"/>
        <v>0.15</v>
      </c>
      <c r="P153" s="19">
        <f ca="1"/>
        <v>0.15</v>
      </c>
      <c r="Q153" s="19">
        <f ca="1"/>
        <v>0.15</v>
      </c>
      <c r="R153" s="19">
        <f ca="1"/>
        <v>0.15</v>
      </c>
    </row>
    <row r="154" spans="1:18" s="13" customFormat="1" hidden="1" outlineLevel="1" x14ac:dyDescent="0.25">
      <c r="A154" s="73"/>
      <c r="B154" s="74"/>
      <c r="C154" s="8"/>
    </row>
    <row r="155" spans="1:18" s="13" customFormat="1" hidden="1" outlineLevel="1" x14ac:dyDescent="0.25">
      <c r="A155" s="73"/>
      <c r="B155" s="74"/>
      <c r="C155" s="8" t="str">
        <f>$C$43</f>
        <v>EBIAT/NOPAT</v>
      </c>
      <c r="D155" s="13" cm="1">
        <f t="array" aca="1" ref="D155:R155" ca="1">IFERROR(_xlfn.ANCHORARRAY(D139)+_xlfn.ANCHORARRAY(D152),1)</f>
        <v>56722.641600000003</v>
      </c>
      <c r="E155" s="13">
        <f ca="1"/>
        <v>94458.782999999996</v>
      </c>
      <c r="F155" s="13">
        <f ca="1"/>
        <v>100088.20600000001</v>
      </c>
      <c r="G155" s="13">
        <f ca="1"/>
        <v>97475.892800000001</v>
      </c>
      <c r="H155" s="13">
        <f ca="1"/>
        <v>93533.265599999984</v>
      </c>
      <c r="I155" s="13">
        <f ca="1"/>
        <v>111181.18015999996</v>
      </c>
      <c r="J155" s="13">
        <f ca="1"/>
        <v>116029.76508999994</v>
      </c>
      <c r="K155" s="13">
        <f ca="1"/>
        <v>124584.49933999995</v>
      </c>
      <c r="L155" s="13">
        <f ca="1"/>
        <v>137722.74749999994</v>
      </c>
      <c r="M155" s="13">
        <f ca="1"/>
        <v>154228.13249999995</v>
      </c>
      <c r="N155" s="13">
        <f ca="1"/>
        <v>172041.69999999998</v>
      </c>
      <c r="O155" s="13">
        <f ca="1"/>
        <v>184685.44999999998</v>
      </c>
      <c r="P155" s="13">
        <f ca="1"/>
        <v>193534.75766032323</v>
      </c>
      <c r="Q155" s="13">
        <f ca="1"/>
        <v>202808.08489591378</v>
      </c>
      <c r="R155" s="13">
        <f ca="1"/>
        <v>212525.74884423727</v>
      </c>
    </row>
    <row r="156" spans="1:18" s="19" customFormat="1" hidden="1" outlineLevel="1" x14ac:dyDescent="0.25">
      <c r="A156" s="76"/>
      <c r="B156" s="74"/>
      <c r="C156" s="16" t="str">
        <f>"% of Revenue"</f>
        <v>% of Revenue</v>
      </c>
      <c r="D156" s="19" cm="1">
        <f t="array" aca="1" ref="D156:R156" ca="1">IFERROR(D155:OFFSET(D155,0,$F$6-$D$9)/D$136:OFFSET(D$136,0,$F$6-$D$9),"NA ")</f>
        <v>0.20662856893065953</v>
      </c>
      <c r="E156" s="19">
        <f ca="1"/>
        <v>0.25821321316395901</v>
      </c>
      <c r="F156" s="19">
        <f ca="1"/>
        <v>0.25381967803452965</v>
      </c>
      <c r="G156" s="19">
        <f ca="1"/>
        <v>0.25431700379613081</v>
      </c>
      <c r="H156" s="19">
        <f ca="1"/>
        <v>0.23919410180674364</v>
      </c>
      <c r="I156" s="19">
        <f ca="1"/>
        <v>0.26796518456273727</v>
      </c>
      <c r="J156" s="19">
        <f ca="1"/>
        <v>0.26655533582123409</v>
      </c>
      <c r="K156" s="19">
        <f ca="1"/>
        <v>0.26885327975452322</v>
      </c>
      <c r="L156" s="19">
        <f ca="1"/>
        <v>0.28112793392849666</v>
      </c>
      <c r="M156" s="19">
        <f ca="1"/>
        <v>0.28918009802579642</v>
      </c>
      <c r="N156" s="19">
        <f ca="1"/>
        <v>0.30227990308303482</v>
      </c>
      <c r="O156" s="19">
        <f ca="1"/>
        <v>0.30965774004138041</v>
      </c>
      <c r="P156" s="19">
        <f ca="1"/>
        <v>0.30965774004138041</v>
      </c>
      <c r="Q156" s="19">
        <f ca="1"/>
        <v>0.30965774004138036</v>
      </c>
      <c r="R156" s="19">
        <f ca="1"/>
        <v>0.30965774004138041</v>
      </c>
    </row>
    <row r="157" spans="1:18" s="13" customFormat="1" hidden="1" outlineLevel="1" x14ac:dyDescent="0.25">
      <c r="A157" s="73"/>
      <c r="B157" s="74"/>
      <c r="C157" s="8"/>
    </row>
    <row r="158" spans="1:18" s="13" customFormat="1" hidden="1" outlineLevel="1" x14ac:dyDescent="0.25">
      <c r="A158" s="73"/>
      <c r="B158" s="74"/>
      <c r="C158" s="8" t="str">
        <f>$C$46</f>
        <v>Unlevered Free Cash Flow</v>
      </c>
      <c r="D158" s="13" cm="1">
        <f t="array" aca="1" ref="D158:R158" ca="1">IFERROR(_xlfn.ANCHORARRAY(D155)+_xlfn.ANCHORARRAY(D148)+_xlfn.ANCHORARRAY(D145)+_xlfn.ANCHORARRAY(D142),1)</f>
        <v>72676.641600000003</v>
      </c>
      <c r="E158" s="13">
        <f ca="1"/>
        <v>92731.782999999996</v>
      </c>
      <c r="F158" s="13">
        <f ca="1"/>
        <v>111728.20600000001</v>
      </c>
      <c r="G158" s="13">
        <f ca="1"/>
        <v>100064.8928</v>
      </c>
      <c r="H158" s="13">
        <f ca="1"/>
        <v>108604.26559999998</v>
      </c>
      <c r="I158" s="13">
        <f ca="1"/>
        <v>112393.25015999997</v>
      </c>
      <c r="J158" s="13">
        <f ca="1"/>
        <v>129004.77508999992</v>
      </c>
      <c r="K158" s="13">
        <f ca="1"/>
        <v>137406.24933999998</v>
      </c>
      <c r="L158" s="13">
        <f ca="1"/>
        <v>165338.24749999994</v>
      </c>
      <c r="M158" s="13">
        <f ca="1"/>
        <v>184869.63249999995</v>
      </c>
      <c r="N158" s="13">
        <f ca="1"/>
        <v>194359.69999999998</v>
      </c>
      <c r="O158" s="13">
        <f ca="1"/>
        <v>211925.44999999998</v>
      </c>
      <c r="P158" s="13">
        <f ca="1"/>
        <v>222079.97764742674</v>
      </c>
      <c r="Q158" s="13">
        <f ca="1"/>
        <v>232721.06522308459</v>
      </c>
      <c r="R158" s="13">
        <f ca="1"/>
        <v>243872.02652077877</v>
      </c>
    </row>
    <row r="159" spans="1:18" s="19" customFormat="1" hidden="1" outlineLevel="1" x14ac:dyDescent="0.25">
      <c r="A159" s="76"/>
      <c r="B159" s="74"/>
      <c r="C159" s="16" t="str">
        <f>"% of Revenue"</f>
        <v>% of Revenue</v>
      </c>
      <c r="D159" s="19" cm="1">
        <f t="array" aca="1" ref="D159:R159" ca="1">IFERROR(D158:OFFSET(D158,0,$F$6-$D$9)/D$136:OFFSET(D$136,0,$F$6-$D$9),"NA ")</f>
        <v>0.26474561171520683</v>
      </c>
      <c r="E159" s="19">
        <f ca="1"/>
        <v>0.25349227345913394</v>
      </c>
      <c r="F159" s="19">
        <f ca="1"/>
        <v>0.2833382514049218</v>
      </c>
      <c r="G159" s="19">
        <f ca="1"/>
        <v>0.26107176852733605</v>
      </c>
      <c r="H159" s="19">
        <f ca="1"/>
        <v>0.27773540885087011</v>
      </c>
      <c r="I159" s="19">
        <f ca="1"/>
        <v>0.27088647538538868</v>
      </c>
      <c r="J159" s="19">
        <f ca="1"/>
        <v>0.29636284379258254</v>
      </c>
      <c r="K159" s="19">
        <f ca="1"/>
        <v>0.29652260906879846</v>
      </c>
      <c r="L159" s="19">
        <f ca="1"/>
        <v>0.33749834913098459</v>
      </c>
      <c r="M159" s="19">
        <f ca="1"/>
        <v>0.34663337733369082</v>
      </c>
      <c r="N159" s="19">
        <f ca="1"/>
        <v>0.34149297106020066</v>
      </c>
      <c r="O159" s="19">
        <f ca="1"/>
        <v>0.35533040585629544</v>
      </c>
      <c r="P159" s="19">
        <f ca="1"/>
        <v>0.35533040585629544</v>
      </c>
      <c r="Q159" s="19">
        <f ca="1"/>
        <v>0.35533040585629538</v>
      </c>
      <c r="R159" s="19">
        <f ca="1"/>
        <v>0.35533040585629549</v>
      </c>
    </row>
    <row r="160" spans="1:18" hidden="1" outlineLevel="1" x14ac:dyDescent="0.25"/>
    <row r="161" spans="1:18" hidden="1" outlineLevel="1" x14ac:dyDescent="0.25">
      <c r="C161" s="9" t="str">
        <f>"Optimistic Case"</f>
        <v>Optimistic Case</v>
      </c>
    </row>
    <row r="162" spans="1:18" s="20" customFormat="1" hidden="1" outlineLevel="1" x14ac:dyDescent="0.25">
      <c r="A162" s="102" t="str">
        <f>""</f>
        <v/>
      </c>
      <c r="B162" s="106"/>
      <c r="C162" s="14"/>
      <c r="D162" s="20" t="str" cm="1">
        <f t="array" aca="1" ref="D162:R162" ca="1">IFERROR(IF($D$9:OFFSET($D$9,0,$F$6-$D$9)&lt;$D$6,TEXT($D$9:OFFSET($D$9,0,$F$6-$D$9),"0A"),TEXT($D$9:OFFSET($D$9,0,$F$6-$D$9),"0")&amp;"E"),1)</f>
        <v>2020A</v>
      </c>
      <c r="E162" s="20" t="str">
        <f ca="1"/>
        <v>2021A</v>
      </c>
      <c r="F162" s="20" t="str">
        <f ca="1"/>
        <v>2022A</v>
      </c>
      <c r="G162" s="20" t="str">
        <f ca="1"/>
        <v>2023A</v>
      </c>
      <c r="H162" s="20" t="str">
        <f ca="1"/>
        <v>2024A</v>
      </c>
      <c r="I162" s="20" t="str">
        <f ca="1"/>
        <v>2025E</v>
      </c>
      <c r="J162" s="20" t="str">
        <f ca="1"/>
        <v>2026E</v>
      </c>
      <c r="K162" s="20" t="str">
        <f ca="1"/>
        <v>2027E</v>
      </c>
      <c r="L162" s="20" t="str">
        <f ca="1"/>
        <v>2028E</v>
      </c>
      <c r="M162" s="20" t="str">
        <f ca="1"/>
        <v>2029E</v>
      </c>
      <c r="N162" s="20" t="str">
        <f ca="1"/>
        <v>2030E</v>
      </c>
      <c r="O162" s="20" t="str">
        <f ca="1"/>
        <v>2031E</v>
      </c>
      <c r="P162" s="20" t="str">
        <f ca="1"/>
        <v>2032E</v>
      </c>
      <c r="Q162" s="20" t="str">
        <f ca="1"/>
        <v>2033E</v>
      </c>
      <c r="R162" s="20" t="str">
        <f ca="1"/>
        <v>2034E</v>
      </c>
    </row>
    <row r="163" spans="1:18" s="15" customFormat="1" hidden="1" outlineLevel="1" x14ac:dyDescent="0.25">
      <c r="A163" s="103"/>
      <c r="B163" s="107"/>
      <c r="C163" s="10" t="str">
        <f>"Fiscal Year"</f>
        <v>Fiscal Year</v>
      </c>
      <c r="D163" s="15" cm="1">
        <f t="array" aca="1" ref="D163:R163" ca="1">IFERROR(DATE($D$9:OFFSET($D$9,0,$F$6-$D$9),_xlfn.XLOOKUP(_xlfn.TEXTAFTER(_xlfn.TEXTBEFORE($C$5,"-"),": "),$G$4:$R$4,_xlfn.ANCHORARRAY($G$3)),$G$6),1)</f>
        <v>44104</v>
      </c>
      <c r="E163" s="15">
        <f ca="1"/>
        <v>44469</v>
      </c>
      <c r="F163" s="15">
        <f ca="1"/>
        <v>44834</v>
      </c>
      <c r="G163" s="15">
        <f ca="1"/>
        <v>45199</v>
      </c>
      <c r="H163" s="15">
        <f ca="1"/>
        <v>45565</v>
      </c>
      <c r="I163" s="15">
        <f ca="1"/>
        <v>45930</v>
      </c>
      <c r="J163" s="15">
        <f ca="1"/>
        <v>46295</v>
      </c>
      <c r="K163" s="15">
        <f ca="1"/>
        <v>46660</v>
      </c>
      <c r="L163" s="15">
        <f ca="1"/>
        <v>47026</v>
      </c>
      <c r="M163" s="15">
        <f ca="1"/>
        <v>47391</v>
      </c>
      <c r="N163" s="15">
        <f ca="1"/>
        <v>47756</v>
      </c>
      <c r="O163" s="15">
        <f ca="1"/>
        <v>48121</v>
      </c>
      <c r="P163" s="15">
        <f ca="1"/>
        <v>48487</v>
      </c>
      <c r="Q163" s="15">
        <f ca="1"/>
        <v>48852</v>
      </c>
      <c r="R163" s="15">
        <f ca="1"/>
        <v>49217</v>
      </c>
    </row>
    <row r="164" spans="1:18" hidden="1" outlineLevel="1" x14ac:dyDescent="0.25"/>
    <row r="165" spans="1:18" s="75" customFormat="1" hidden="1" outlineLevel="1" x14ac:dyDescent="0.25">
      <c r="A165" s="73"/>
      <c r="B165" s="74"/>
      <c r="C165" s="73" t="str">
        <f>$C$15</f>
        <v>Revenue</v>
      </c>
      <c r="D165" s="75">
        <f ca="1">D136</f>
        <v>274515</v>
      </c>
      <c r="E165" s="75" cm="1">
        <f t="array" aca="1" ref="E165:R165" ca="1">IFERROR(_xlfn.LET(
  _xlpm.base, D165,
  _xlpm.growths,_xlfn.ANCHORARRAY( E166),
  _xlpm.result, _xlfn.SCAN(_xlpm.base, _xlpm.growths, _xlfn.LAMBDA(_xlpm.a,_xlpm.b, _xlpm.a * (1 + _xlpm.b))),
  _xlpm.result
),1)</f>
        <v>365817</v>
      </c>
      <c r="F165" s="75">
        <f ca="1"/>
        <v>394328</v>
      </c>
      <c r="G165" s="75">
        <f ca="1"/>
        <v>383285</v>
      </c>
      <c r="H165" s="75">
        <f ca="1"/>
        <v>391034.99999999994</v>
      </c>
      <c r="I165" s="75">
        <f ca="1"/>
        <v>421742.28011324123</v>
      </c>
      <c r="J165" s="75">
        <f ca="1"/>
        <v>449832.12518649932</v>
      </c>
      <c r="K165" s="75">
        <f ca="1"/>
        <v>486730.1175014234</v>
      </c>
      <c r="L165" s="75">
        <f ca="1"/>
        <v>523071.63971854735</v>
      </c>
      <c r="M165" s="75">
        <f ca="1"/>
        <v>578589.352465534</v>
      </c>
      <c r="N165" s="75">
        <f ca="1"/>
        <v>627557.69719459536</v>
      </c>
      <c r="O165" s="75">
        <f ca="1"/>
        <v>668593.87856689014</v>
      </c>
      <c r="P165" s="75">
        <f ca="1"/>
        <v>712313.42784168664</v>
      </c>
      <c r="Q165" s="75">
        <f ca="1"/>
        <v>758891.81123098091</v>
      </c>
      <c r="R165" s="75">
        <f ca="1"/>
        <v>808515.96873369289</v>
      </c>
    </row>
    <row r="166" spans="1:18" s="78" customFormat="1" hidden="1" outlineLevel="1" x14ac:dyDescent="0.25">
      <c r="A166" s="76"/>
      <c r="B166" s="74"/>
      <c r="C166" s="77" t="str">
        <f>$C$16</f>
        <v>% growth</v>
      </c>
      <c r="E166" s="78" cm="1">
        <f t="array" aca="1" ref="E166:R166" ca="1">IFERROR(_xlfn.ANCHORARRAY(E137)+E167:OFFSET(E167,,$F$6-$C$6-1),1)</f>
        <v>0.33259384733074704</v>
      </c>
      <c r="F166" s="78">
        <f ca="1"/>
        <v>7.7937876041846099E-2</v>
      </c>
      <c r="G166" s="78">
        <f ca="1"/>
        <v>-2.800460530319937E-2</v>
      </c>
      <c r="H166" s="78">
        <f ca="1"/>
        <v>2.021994077514111E-2</v>
      </c>
      <c r="I166" s="78">
        <f ca="1"/>
        <v>7.8528213876612796E-2</v>
      </c>
      <c r="J166" s="78">
        <f ca="1"/>
        <v>6.6604289865639599E-2</v>
      </c>
      <c r="K166" s="78">
        <f ca="1"/>
        <v>8.2026138750375566E-2</v>
      </c>
      <c r="L166" s="78">
        <f ca="1"/>
        <v>7.466462606357549E-2</v>
      </c>
      <c r="M166" s="78">
        <f ca="1"/>
        <v>0.10613787583065948</v>
      </c>
      <c r="N166" s="78">
        <f ca="1"/>
        <v>8.4634023285069526E-2</v>
      </c>
      <c r="O166" s="78">
        <f ca="1"/>
        <v>6.5390292487433443E-2</v>
      </c>
      <c r="P166" s="78">
        <f ca="1"/>
        <v>6.5390292487433443E-2</v>
      </c>
      <c r="Q166" s="78">
        <f ca="1"/>
        <v>6.5390292487433443E-2</v>
      </c>
      <c r="R166" s="78">
        <f ca="1"/>
        <v>6.5390292487433443E-2</v>
      </c>
    </row>
    <row r="167" spans="1:18" s="81" customFormat="1" hidden="1" outlineLevel="1" x14ac:dyDescent="0.25">
      <c r="A167" s="74"/>
      <c r="B167" s="74"/>
      <c r="C167" s="79" cm="1">
        <f t="array" aca="1" ref="C167" ca="1">_xlfn.STDEV.S(_xlfn._xlws.FILTER(_xlfn.ANCHORARRAY(E137), (_xlfn.ANCHORARRAY(E137) &gt;= _xlfn.QUARTILE.INC(_xlfn.ANCHORARRAY(E137),1) - 1.5*(_xlfn.QUARTILE.INC(_xlfn.ANCHORARRAY(E137),3) - _xlfn.QUARTILE.INC(_xlfn.ANCHORARRAY(E137),1))) * (_xlfn.ANCHORARRAY(E137) &lt;= _xlfn.QUARTILE.INC(_xlfn.ANCHORARRAY(E137),3) + 1.5*(_xlfn.QUARTILE.INC(_xlfn.ANCHORARRAY(E137),3) - _xlfn.QUARTILE.INC(_xlfn.ANCHORARRAY(E137),1)))))</f>
        <v>1.7474727615792277E-2</v>
      </c>
      <c r="D167" s="80" cm="1">
        <f t="array" aca="1" ref="D167:R167" ca="1">(1-_xlfn.ANCHORARRAY($D$10))*C167</f>
        <v>0</v>
      </c>
      <c r="E167" s="80">
        <f ca="1"/>
        <v>0</v>
      </c>
      <c r="F167" s="80">
        <f ca="1"/>
        <v>0</v>
      </c>
      <c r="G167" s="80">
        <f ca="1"/>
        <v>0</v>
      </c>
      <c r="H167" s="80">
        <f ca="1"/>
        <v>0</v>
      </c>
      <c r="I167" s="80">
        <f ca="1"/>
        <v>1.7474727615792277E-2</v>
      </c>
      <c r="J167" s="80">
        <f ca="1"/>
        <v>1.7474727615792277E-2</v>
      </c>
      <c r="K167" s="80">
        <f ca="1"/>
        <v>1.7474727615792277E-2</v>
      </c>
      <c r="L167" s="80">
        <f ca="1"/>
        <v>1.7474727615792277E-2</v>
      </c>
      <c r="M167" s="80">
        <f ca="1"/>
        <v>1.7474727615792277E-2</v>
      </c>
      <c r="N167" s="80">
        <f ca="1"/>
        <v>1.7474727615792277E-2</v>
      </c>
      <c r="O167" s="80">
        <f ca="1"/>
        <v>1.7474727615792277E-2</v>
      </c>
      <c r="P167" s="80">
        <f ca="1"/>
        <v>1.7474727615792277E-2</v>
      </c>
      <c r="Q167" s="80">
        <f ca="1"/>
        <v>1.7474727615792277E-2</v>
      </c>
      <c r="R167" s="80">
        <f ca="1"/>
        <v>1.7474727615792277E-2</v>
      </c>
    </row>
    <row r="168" spans="1:18" s="75" customFormat="1" hidden="1" outlineLevel="1" x14ac:dyDescent="0.25">
      <c r="A168" s="73"/>
      <c r="B168" s="74"/>
      <c r="C168" s="73" t="str">
        <f>$C$21</f>
        <v>EBIT</v>
      </c>
      <c r="D168" s="75" cm="1">
        <f t="array" aca="1" ref="D168:R168" ca="1">IFERROR(_xlfn.ANCHORARRAY(D169)*D$165:OFFSET(D$165,0,$F$6-$D$9),1)</f>
        <v>66288</v>
      </c>
      <c r="E168" s="75">
        <f ca="1"/>
        <v>108949</v>
      </c>
      <c r="F168" s="75">
        <f ca="1"/>
        <v>119437</v>
      </c>
      <c r="G168" s="75">
        <f ca="1"/>
        <v>114301</v>
      </c>
      <c r="H168" s="75">
        <f ca="1"/>
        <v>123215.99999999997</v>
      </c>
      <c r="I168" s="75">
        <f ca="1"/>
        <v>148702.64345717453</v>
      </c>
      <c r="J168" s="75">
        <f ca="1"/>
        <v>158396.86877708821</v>
      </c>
      <c r="K168" s="75">
        <f ca="1"/>
        <v>172277.77376443648</v>
      </c>
      <c r="L168" s="75">
        <f ca="1"/>
        <v>192027.01670969237</v>
      </c>
      <c r="M168" s="75">
        <f ca="1"/>
        <v>217921.84324228417</v>
      </c>
      <c r="N168" s="75">
        <f ca="1"/>
        <v>244773.74433989625</v>
      </c>
      <c r="O168" s="75">
        <f ca="1"/>
        <v>266582.83769601391</v>
      </c>
      <c r="P168" s="75">
        <f ca="1"/>
        <v>284014.76742508623</v>
      </c>
      <c r="Q168" s="75">
        <f ca="1"/>
        <v>302586.57613776304</v>
      </c>
      <c r="R168" s="75">
        <f ca="1"/>
        <v>322372.80085418245</v>
      </c>
    </row>
    <row r="169" spans="1:18" s="78" customFormat="1" hidden="1" outlineLevel="1" x14ac:dyDescent="0.25">
      <c r="A169" s="76"/>
      <c r="B169" s="74"/>
      <c r="C169" s="77" t="str">
        <f>$C$22</f>
        <v>% of Revenue</v>
      </c>
      <c r="D169" s="78" cm="1">
        <f t="array" aca="1" ref="D169:R169" ca="1">IFERROR(_xlfn.ANCHORARRAY(D140)+_xlfn.ANCHORARRAY(D170),1)</f>
        <v>0.24147314354406862</v>
      </c>
      <c r="E169" s="78">
        <f ca="1"/>
        <v>0.29782377527561593</v>
      </c>
      <c r="F169" s="78">
        <f ca="1"/>
        <v>0.30288744395528594</v>
      </c>
      <c r="G169" s="78">
        <f ca="1"/>
        <v>0.29821412265024722</v>
      </c>
      <c r="H169" s="78">
        <f ca="1"/>
        <v>0.31510222870075566</v>
      </c>
      <c r="I169" s="78">
        <f ca="1"/>
        <v>0.35259126359644727</v>
      </c>
      <c r="J169" s="78">
        <f ca="1"/>
        <v>0.35212440354591668</v>
      </c>
      <c r="K169" s="78">
        <f ca="1"/>
        <v>0.35394927819302791</v>
      </c>
      <c r="L169" s="78">
        <f ca="1"/>
        <v>0.36711418117223416</v>
      </c>
      <c r="M169" s="78">
        <f ca="1"/>
        <v>0.37664336945306226</v>
      </c>
      <c r="N169" s="78">
        <f ca="1"/>
        <v>0.39004181676700228</v>
      </c>
      <c r="O169" s="78">
        <f ca="1"/>
        <v>0.39872162495329122</v>
      </c>
      <c r="P169" s="78">
        <f ca="1"/>
        <v>0.39872162495329122</v>
      </c>
      <c r="Q169" s="78">
        <f ca="1"/>
        <v>0.39872162495329122</v>
      </c>
      <c r="R169" s="78">
        <f ca="1"/>
        <v>0.39872162495329122</v>
      </c>
    </row>
    <row r="170" spans="1:18" s="81" customFormat="1" hidden="1" outlineLevel="1" x14ac:dyDescent="0.25">
      <c r="A170" s="74"/>
      <c r="B170" s="74"/>
      <c r="C170" s="79" cm="1">
        <f t="array" aca="1" ref="C170" ca="1">_xlfn.STDEV.S(_xlfn._xlws.FILTER(_xlfn.ANCHORARRAY(D140), (_xlfn.ANCHORARRAY(D140) &gt;= _xlfn.QUARTILE.INC(_xlfn.ANCHORARRAY(D140),1) - 1.5*(_xlfn.QUARTILE.INC(_xlfn.ANCHORARRAY(D140),3) - _xlfn.QUARTILE.INC(_xlfn.ANCHORARRAY(D140),1))) * (_xlfn.ANCHORARRAY(D140) &lt;= _xlfn.QUARTILE.INC(_xlfn.ANCHORARRAY(D140),3) + 1.5*(_xlfn.QUARTILE.INC(_xlfn.ANCHORARRAY(D140),3) - _xlfn.QUARTILE.INC(_xlfn.ANCHORARRAY(D140),1)))))</f>
        <v>3.4418401375196646E-2</v>
      </c>
      <c r="D170" s="80" cm="1">
        <f t="array" aca="1" ref="D170:R170" ca="1">(1-_xlfn.ANCHORARRAY($D$10))*C170</f>
        <v>0</v>
      </c>
      <c r="E170" s="80">
        <f ca="1"/>
        <v>0</v>
      </c>
      <c r="F170" s="80">
        <f ca="1"/>
        <v>0</v>
      </c>
      <c r="G170" s="80">
        <f ca="1"/>
        <v>0</v>
      </c>
      <c r="H170" s="80">
        <f ca="1"/>
        <v>0</v>
      </c>
      <c r="I170" s="80">
        <f ca="1"/>
        <v>3.4418401375196646E-2</v>
      </c>
      <c r="J170" s="80">
        <f ca="1"/>
        <v>3.4418401375196646E-2</v>
      </c>
      <c r="K170" s="80">
        <f ca="1"/>
        <v>3.4418401375196646E-2</v>
      </c>
      <c r="L170" s="80">
        <f ca="1"/>
        <v>3.4418401375196646E-2</v>
      </c>
      <c r="M170" s="80">
        <f ca="1"/>
        <v>3.4418401375196646E-2</v>
      </c>
      <c r="N170" s="80">
        <f ca="1"/>
        <v>3.4418401375196646E-2</v>
      </c>
      <c r="O170" s="80">
        <f ca="1"/>
        <v>3.4418401375196646E-2</v>
      </c>
      <c r="P170" s="80">
        <f ca="1"/>
        <v>3.4418401375196646E-2</v>
      </c>
      <c r="Q170" s="80">
        <f ca="1"/>
        <v>3.4418401375196646E-2</v>
      </c>
      <c r="R170" s="80">
        <f ca="1"/>
        <v>3.4418401375196646E-2</v>
      </c>
    </row>
    <row r="171" spans="1:18" s="75" customFormat="1" hidden="1" outlineLevel="1" x14ac:dyDescent="0.25">
      <c r="A171" s="73"/>
      <c r="B171" s="74"/>
      <c r="C171" s="73" t="str">
        <f>$C$24</f>
        <v>Depreciation &amp; Amortization</v>
      </c>
      <c r="D171" s="75" cm="1">
        <f t="array" aca="1" ref="D171:R171" ca="1">IFERROR(_xlfn.ANCHORARRAY(D172)*D$165:OFFSET(D$165,0,$F$6-$D$9),1)</f>
        <v>11056</v>
      </c>
      <c r="E171" s="75">
        <f ca="1"/>
        <v>11284</v>
      </c>
      <c r="F171" s="75">
        <f ca="1"/>
        <v>11104</v>
      </c>
      <c r="G171" s="75">
        <f ca="1"/>
        <v>11519</v>
      </c>
      <c r="H171" s="75">
        <f ca="1"/>
        <v>11444.999999999998</v>
      </c>
      <c r="I171" s="75">
        <f ca="1"/>
        <v>12419.207633544569</v>
      </c>
      <c r="J171" s="75">
        <f ca="1"/>
        <v>13072.649511947562</v>
      </c>
      <c r="K171" s="75">
        <f ca="1"/>
        <v>13647.59709013845</v>
      </c>
      <c r="L171" s="75">
        <f ca="1"/>
        <v>12600.757505715417</v>
      </c>
      <c r="M171" s="75">
        <f ca="1"/>
        <v>13421.097605645502</v>
      </c>
      <c r="N171" s="75">
        <f ca="1"/>
        <v>17587.9780216935</v>
      </c>
      <c r="O171" s="75">
        <f ca="1"/>
        <v>18937.697580628788</v>
      </c>
      <c r="P171" s="75">
        <f ca="1"/>
        <v>20176.039164464662</v>
      </c>
      <c r="Q171" s="75">
        <f ca="1"/>
        <v>21495.356266666924</v>
      </c>
      <c r="R171" s="75">
        <f ca="1"/>
        <v>22900.943900065857</v>
      </c>
    </row>
    <row r="172" spans="1:18" s="78" customFormat="1" hidden="1" outlineLevel="1" x14ac:dyDescent="0.25">
      <c r="A172" s="76"/>
      <c r="B172" s="74"/>
      <c r="C172" s="77" t="str">
        <f>$C$25</f>
        <v>% of Revenue</v>
      </c>
      <c r="D172" s="78" cm="1">
        <f t="array" aca="1" ref="D172:R172" ca="1">IFERROR(_xlfn.ANCHORARRAY(D143)+_xlfn.ANCHORARRAY(D173),1)</f>
        <v>4.0274666229532081E-2</v>
      </c>
      <c r="E172" s="78">
        <f ca="1"/>
        <v>3.084602410494865E-2</v>
      </c>
      <c r="F172" s="78">
        <f ca="1"/>
        <v>2.8159298857803657E-2</v>
      </c>
      <c r="G172" s="78">
        <f ca="1"/>
        <v>3.0053354553400212E-2</v>
      </c>
      <c r="H172" s="78">
        <f ca="1"/>
        <v>2.9268479803598143E-2</v>
      </c>
      <c r="I172" s="78">
        <f ca="1"/>
        <v>2.9447385806824752E-2</v>
      </c>
      <c r="J172" s="78">
        <f ca="1"/>
        <v>2.9061173669016352E-2</v>
      </c>
      <c r="K172" s="78">
        <f ca="1"/>
        <v>2.8039351992839315E-2</v>
      </c>
      <c r="L172" s="78">
        <f ca="1"/>
        <v>2.408992678803154E-2</v>
      </c>
      <c r="M172" s="78">
        <f ca="1"/>
        <v>2.3196240215023631E-2</v>
      </c>
      <c r="N172" s="78">
        <f ca="1"/>
        <v>2.8026073300220802E-2</v>
      </c>
      <c r="O172" s="78">
        <f ca="1"/>
        <v>2.8324664923976187E-2</v>
      </c>
      <c r="P172" s="78">
        <f ca="1"/>
        <v>2.8324664923976187E-2</v>
      </c>
      <c r="Q172" s="78">
        <f ca="1"/>
        <v>2.8324664923976187E-2</v>
      </c>
      <c r="R172" s="78">
        <f ca="1"/>
        <v>2.8324664923976187E-2</v>
      </c>
    </row>
    <row r="173" spans="1:18" s="81" customFormat="1" hidden="1" outlineLevel="1" x14ac:dyDescent="0.25">
      <c r="A173" s="74"/>
      <c r="B173" s="74"/>
      <c r="C173" s="79" cm="1">
        <f t="array" aca="1" ref="C173" ca="1">_xlfn.STDEV.S(_xlfn._xlws.FILTER(_xlfn.ANCHORARRAY(D143), (_xlfn.ANCHORARRAY(D143) &gt;= _xlfn.QUARTILE.INC(_xlfn.ANCHORARRAY(D143),1) - 1.5*(_xlfn.QUARTILE.INC(_xlfn.ANCHORARRAY(D143),3) - _xlfn.QUARTILE.INC(_xlfn.ANCHORARRAY(D143),1))) * (_xlfn.ANCHORARRAY(D143) &lt;= _xlfn.QUARTILE.INC(_xlfn.ANCHORARRAY(D143),3) + 1.5*(_xlfn.QUARTILE.INC(_xlfn.ANCHORARRAY(D143),3) - _xlfn.QUARTILE.INC(_xlfn.ANCHORARRAY(D143),1)))))</f>
        <v>1.4441884796032789E-3</v>
      </c>
      <c r="D173" s="80" cm="1">
        <f t="array" aca="1" ref="D173:R173" ca="1">(1-_xlfn.ANCHORARRAY($D$10))*C173</f>
        <v>0</v>
      </c>
      <c r="E173" s="80">
        <f ca="1"/>
        <v>0</v>
      </c>
      <c r="F173" s="80">
        <f ca="1"/>
        <v>0</v>
      </c>
      <c r="G173" s="80">
        <f ca="1"/>
        <v>0</v>
      </c>
      <c r="H173" s="80">
        <f ca="1"/>
        <v>0</v>
      </c>
      <c r="I173" s="80">
        <f ca="1"/>
        <v>1.4441884796032789E-3</v>
      </c>
      <c r="J173" s="80">
        <f ca="1"/>
        <v>1.4441884796032789E-3</v>
      </c>
      <c r="K173" s="80">
        <f ca="1"/>
        <v>1.4441884796032789E-3</v>
      </c>
      <c r="L173" s="80">
        <f ca="1"/>
        <v>1.4441884796032789E-3</v>
      </c>
      <c r="M173" s="80">
        <f ca="1"/>
        <v>1.4441884796032789E-3</v>
      </c>
      <c r="N173" s="80">
        <f ca="1"/>
        <v>1.4441884796032789E-3</v>
      </c>
      <c r="O173" s="80">
        <f ca="1"/>
        <v>1.4441884796032789E-3</v>
      </c>
      <c r="P173" s="80">
        <f ca="1"/>
        <v>1.4441884796032789E-3</v>
      </c>
      <c r="Q173" s="80">
        <f ca="1"/>
        <v>1.4441884796032789E-3</v>
      </c>
      <c r="R173" s="80">
        <f ca="1"/>
        <v>1.4441884796032789E-3</v>
      </c>
    </row>
    <row r="174" spans="1:18" s="75" customFormat="1" hidden="1" outlineLevel="1" x14ac:dyDescent="0.25">
      <c r="A174" s="73"/>
      <c r="B174" s="74"/>
      <c r="C174" s="73" t="str">
        <f>$C$27</f>
        <v>Capital Expenditures</v>
      </c>
      <c r="D174" s="75" cm="1">
        <f t="array" aca="1" ref="D174:R174" ca="1">IFERROR(-_xlfn.ANCHORARRAY(D175)*D$165:OFFSET(D$165,0,$F$6-$D$9),1)</f>
        <v>-7309</v>
      </c>
      <c r="E174" s="75">
        <f ca="1"/>
        <v>-11085</v>
      </c>
      <c r="F174" s="75">
        <f ca="1"/>
        <v>-10708</v>
      </c>
      <c r="G174" s="75">
        <f ca="1"/>
        <v>-10959</v>
      </c>
      <c r="H174" s="75">
        <f ca="1"/>
        <v>-9446.9999999999982</v>
      </c>
      <c r="I174" s="75">
        <f ca="1"/>
        <v>-11311.447162256869</v>
      </c>
      <c r="J174" s="75">
        <f ca="1"/>
        <v>-12639.00782898471</v>
      </c>
      <c r="K174" s="75">
        <f ca="1"/>
        <v>-12492.31066828564</v>
      </c>
      <c r="L174" s="75">
        <f ca="1"/>
        <v>-14722.783469316611</v>
      </c>
      <c r="M174" s="75">
        <f ca="1"/>
        <v>-16131.04727594522</v>
      </c>
      <c r="N174" s="75">
        <f ca="1"/>
        <v>-15645.235308251118</v>
      </c>
      <c r="O174" s="75">
        <f ca="1"/>
        <v>-16867.918352926579</v>
      </c>
      <c r="P174" s="75">
        <f ca="1"/>
        <v>-17970.916467678595</v>
      </c>
      <c r="Q174" s="75">
        <f ca="1"/>
        <v>-19146.039951767332</v>
      </c>
      <c r="R174" s="75">
        <f ca="1"/>
        <v>-20398.005104189484</v>
      </c>
    </row>
    <row r="175" spans="1:18" s="78" customFormat="1" hidden="1" outlineLevel="1" x14ac:dyDescent="0.25">
      <c r="A175" s="76"/>
      <c r="B175" s="74"/>
      <c r="C175" s="77" t="str">
        <f>$C$28</f>
        <v>% of Revenue</v>
      </c>
      <c r="D175" s="78" cm="1">
        <f t="array" aca="1" ref="D175:R175" ca="1">IFERROR(_xlfn.ANCHORARRAY(D146)-_xlfn.ANCHORARRAY(D176),1)</f>
        <v>2.6625138881299748E-2</v>
      </c>
      <c r="E175" s="78">
        <f ca="1"/>
        <v>3.0302036264033657E-2</v>
      </c>
      <c r="F175" s="78">
        <f ca="1"/>
        <v>2.7155058732831552E-2</v>
      </c>
      <c r="G175" s="78">
        <f ca="1"/>
        <v>2.859230076835775E-2</v>
      </c>
      <c r="H175" s="78">
        <f ca="1"/>
        <v>2.415896275269477E-2</v>
      </c>
      <c r="I175" s="78">
        <f ca="1"/>
        <v>2.6820756883136437E-2</v>
      </c>
      <c r="J175" s="78">
        <f ca="1"/>
        <v>2.8097165856583957E-2</v>
      </c>
      <c r="K175" s="78">
        <f ca="1"/>
        <v>2.5665785245453005E-2</v>
      </c>
      <c r="L175" s="78">
        <f ca="1"/>
        <v>2.8146782106631889E-2</v>
      </c>
      <c r="M175" s="78">
        <f ca="1"/>
        <v>2.7879958743115881E-2</v>
      </c>
      <c r="N175" s="78">
        <f ca="1"/>
        <v>2.4930353620377613E-2</v>
      </c>
      <c r="O175" s="78">
        <f ca="1"/>
        <v>2.5228945244132998E-2</v>
      </c>
      <c r="P175" s="78">
        <f ca="1"/>
        <v>2.5228945244132998E-2</v>
      </c>
      <c r="Q175" s="78">
        <f ca="1"/>
        <v>2.5228945244132998E-2</v>
      </c>
      <c r="R175" s="78">
        <f ca="1"/>
        <v>2.5228945244132998E-2</v>
      </c>
    </row>
    <row r="176" spans="1:18" s="81" customFormat="1" hidden="1" outlineLevel="1" x14ac:dyDescent="0.25">
      <c r="A176" s="74"/>
      <c r="B176" s="74"/>
      <c r="C176" s="79" cm="1">
        <f t="array" aca="1" ref="C176" ca="1">_xlfn.STDEV.S(_xlfn._xlws.FILTER(_xlfn.ANCHORARRAY(D146), (_xlfn.ANCHORARRAY(D146) &gt;= _xlfn.QUARTILE.INC(_xlfn.ANCHORARRAY(D146),1) - 1.5*(_xlfn.QUARTILE.INC(_xlfn.ANCHORARRAY(D146),3) - _xlfn.QUARTILE.INC(_xlfn.ANCHORARRAY(D146),1))) * (_xlfn.ANCHORARRAY(D146) &lt;= _xlfn.QUARTILE.INC(_xlfn.ANCHORARRAY(D146),3) + 1.5*(_xlfn.QUARTILE.INC(_xlfn.ANCHORARRAY(D146),3) - _xlfn.QUARTILE.INC(_xlfn.ANCHORARRAY(D146),1)))))</f>
        <v>1.6515312002399086E-3</v>
      </c>
      <c r="D176" s="80" cm="1">
        <f t="array" aca="1" ref="D176:R176" ca="1">(1-_xlfn.ANCHORARRAY($D$10))*C176</f>
        <v>0</v>
      </c>
      <c r="E176" s="80">
        <f ca="1"/>
        <v>0</v>
      </c>
      <c r="F176" s="80">
        <f ca="1"/>
        <v>0</v>
      </c>
      <c r="G176" s="80">
        <f ca="1"/>
        <v>0</v>
      </c>
      <c r="H176" s="80">
        <f ca="1"/>
        <v>0</v>
      </c>
      <c r="I176" s="80">
        <f ca="1"/>
        <v>1.6515312002399086E-3</v>
      </c>
      <c r="J176" s="80">
        <f ca="1"/>
        <v>1.6515312002399086E-3</v>
      </c>
      <c r="K176" s="80">
        <f ca="1"/>
        <v>1.6515312002399086E-3</v>
      </c>
      <c r="L176" s="80">
        <f ca="1"/>
        <v>1.6515312002399086E-3</v>
      </c>
      <c r="M176" s="80">
        <f ca="1"/>
        <v>1.6515312002399086E-3</v>
      </c>
      <c r="N176" s="80">
        <f ca="1"/>
        <v>1.6515312002399086E-3</v>
      </c>
      <c r="O176" s="80">
        <f ca="1"/>
        <v>1.6515312002399086E-3</v>
      </c>
      <c r="P176" s="80">
        <f ca="1"/>
        <v>1.6515312002399086E-3</v>
      </c>
      <c r="Q176" s="80">
        <f ca="1"/>
        <v>1.6515312002399086E-3</v>
      </c>
      <c r="R176" s="80">
        <f ca="1"/>
        <v>1.6515312002399086E-3</v>
      </c>
    </row>
    <row r="177" spans="1:18" s="75" customFormat="1" hidden="1" outlineLevel="1" x14ac:dyDescent="0.25">
      <c r="A177" s="73"/>
      <c r="B177" s="74"/>
      <c r="C177" s="73" t="str">
        <f>$C$36</f>
        <v>Change in Working Capital &amp; Other Non-Cash Expenses</v>
      </c>
      <c r="D177" s="75" cm="1">
        <f t="array" aca="1" ref="D177:R177" ca="1">IFERROR(_xlfn.ANCHORARRAY(D178)*D$165:OFFSET(D$165,0,$F$6-$D$9),1)</f>
        <v>12207</v>
      </c>
      <c r="E177" s="75">
        <f ca="1"/>
        <v>-1926</v>
      </c>
      <c r="F177" s="75">
        <f ca="1"/>
        <v>11244</v>
      </c>
      <c r="G177" s="75">
        <f ca="1"/>
        <v>2028.9999999999998</v>
      </c>
      <c r="H177" s="75">
        <f ca="1"/>
        <v>13072.999999999998</v>
      </c>
      <c r="I177" s="75">
        <f ca="1"/>
        <v>8989.401940174741</v>
      </c>
      <c r="J177" s="75">
        <f ca="1"/>
        <v>22430.319258797215</v>
      </c>
      <c r="K177" s="75">
        <f ca="1"/>
        <v>22543.401003502899</v>
      </c>
      <c r="L177" s="75">
        <f ca="1"/>
        <v>42602.891081018919</v>
      </c>
      <c r="M177" s="75">
        <f ca="1"/>
        <v>48113.901464622926</v>
      </c>
      <c r="N177" s="75">
        <f ca="1"/>
        <v>35857.143175220976</v>
      </c>
      <c r="O177" s="75">
        <f ca="1"/>
        <v>42520.699827535485</v>
      </c>
      <c r="P177" s="75">
        <f ca="1"/>
        <v>45301.140826028393</v>
      </c>
      <c r="Q177" s="75">
        <f ca="1"/>
        <v>48263.395674656807</v>
      </c>
      <c r="R177" s="75">
        <f ca="1"/>
        <v>51419.353234259346</v>
      </c>
    </row>
    <row r="178" spans="1:18" s="78" customFormat="1" hidden="1" outlineLevel="1" x14ac:dyDescent="0.25">
      <c r="A178" s="76"/>
      <c r="B178" s="74"/>
      <c r="C178" s="77" t="str">
        <f>$C$37</f>
        <v>% of Revenue</v>
      </c>
      <c r="D178" s="78" cm="1">
        <f t="array" aca="1" ref="D178:R178" ca="1">IFERROR(_xlfn.ANCHORARRAY(D149)+_xlfn.ANCHORARRAY(D180),1)</f>
        <v>4.4467515436314956E-2</v>
      </c>
      <c r="E178" s="78">
        <f ca="1"/>
        <v>-5.2649275457400833E-3</v>
      </c>
      <c r="F178" s="78">
        <f ca="1"/>
        <v>2.8514333245420055E-2</v>
      </c>
      <c r="G178" s="78">
        <f ca="1"/>
        <v>5.2937109461627767E-3</v>
      </c>
      <c r="H178" s="78">
        <f ca="1"/>
        <v>3.3431789993223111E-2</v>
      </c>
      <c r="I178" s="78">
        <f ca="1"/>
        <v>2.1314917578956073E-2</v>
      </c>
      <c r="J178" s="78">
        <f ca="1"/>
        <v>4.9863755838909146E-2</v>
      </c>
      <c r="K178" s="78">
        <f ca="1"/>
        <v>4.6316018246881904E-2</v>
      </c>
      <c r="L178" s="78">
        <f ca="1"/>
        <v>8.1447526201081255E-2</v>
      </c>
      <c r="M178" s="78">
        <f ca="1"/>
        <v>8.3157253515979662E-2</v>
      </c>
      <c r="N178" s="78">
        <f ca="1"/>
        <v>5.7137603977315668E-2</v>
      </c>
      <c r="O178" s="78">
        <f ca="1"/>
        <v>6.3597201815064869E-2</v>
      </c>
      <c r="P178" s="78">
        <f ca="1"/>
        <v>6.3597201815064869E-2</v>
      </c>
      <c r="Q178" s="78">
        <f ca="1"/>
        <v>6.3597201815064869E-2</v>
      </c>
      <c r="R178" s="78">
        <f ca="1"/>
        <v>6.3597201815064869E-2</v>
      </c>
    </row>
    <row r="179" spans="1:18" s="78" customFormat="1" hidden="1" outlineLevel="1" x14ac:dyDescent="0.25">
      <c r="A179" s="76"/>
      <c r="B179" s="82"/>
      <c r="C179" s="77" t="str">
        <f>"% of Change in Revenue"</f>
        <v>% of Change in Revenue</v>
      </c>
      <c r="E179" s="78" cm="1">
        <f t="array" aca="1" ref="E179:R179" ca="1">IFERROR(E177:OFFSET(E177,,$F$6-$D$9-1)/($E$165:OFFSET($E$165,,$F$6-$D$9-1)-$D$165:OFFSET($D$165,,$F$6-$D$9-1)),"NA ")</f>
        <v>-2.1094828152723927E-2</v>
      </c>
      <c r="F179" s="78">
        <f ca="1"/>
        <v>0.39437410122408895</v>
      </c>
      <c r="G179" s="78">
        <f ca="1"/>
        <v>-0.1837363035407045</v>
      </c>
      <c r="H179" s="78">
        <f ca="1"/>
        <v>1.6868387096774318</v>
      </c>
      <c r="I179" s="78">
        <f ca="1"/>
        <v>0.29274497471035937</v>
      </c>
      <c r="J179" s="78">
        <f ca="1"/>
        <v>0.79852057568488244</v>
      </c>
      <c r="K179" s="78">
        <f ca="1"/>
        <v>0.6109655184242857</v>
      </c>
      <c r="L179" s="78">
        <f ca="1"/>
        <v>1.1722924215030446</v>
      </c>
      <c r="M179" s="78">
        <f ca="1"/>
        <v>0.86664055639133686</v>
      </c>
      <c r="N179" s="78">
        <f ca="1"/>
        <v>0.73225148559985442</v>
      </c>
      <c r="O179" s="78">
        <f ca="1"/>
        <v>1.0361758430145491</v>
      </c>
      <c r="P179" s="78">
        <f ca="1"/>
        <v>1.0361758430145493</v>
      </c>
      <c r="Q179" s="78">
        <f ca="1"/>
        <v>1.036175843014548</v>
      </c>
      <c r="R179" s="78">
        <f ca="1"/>
        <v>1.0361758430145489</v>
      </c>
    </row>
    <row r="180" spans="1:18" s="81" customFormat="1" hidden="1" outlineLevel="1" x14ac:dyDescent="0.25">
      <c r="A180" s="74"/>
      <c r="B180" s="74"/>
      <c r="C180" s="79" cm="1">
        <f t="array" aca="1" ref="C180" ca="1">_xlfn.STDEV.S(_xlfn._xlws.FILTER(_xlfn.ANCHORARRAY(D149), (_xlfn.ANCHORARRAY(D149) &gt;= _xlfn.QUARTILE.INC(_xlfn.ANCHORARRAY(D149),1) - 1.5*(_xlfn.QUARTILE.INC(_xlfn.ANCHORARRAY(D149),3) - _xlfn.QUARTILE.INC(_xlfn.ANCHORARRAY(D149),1))) * (_xlfn.ANCHORARRAY(D149) &lt;= _xlfn.QUARTILE.INC(_xlfn.ANCHORARRAY(D149),3) + 1.5*(_xlfn.QUARTILE.INC(_xlfn.ANCHORARRAY(D149),3) - _xlfn.QUARTILE.INC(_xlfn.ANCHORARRAY(D149),1)))))</f>
        <v>1.7924536000149836E-2</v>
      </c>
      <c r="D180" s="80" cm="1">
        <f t="array" aca="1" ref="D180:R180" ca="1">(1-_xlfn.ANCHORARRAY($D$10))*C180</f>
        <v>0</v>
      </c>
      <c r="E180" s="80">
        <f ca="1"/>
        <v>0</v>
      </c>
      <c r="F180" s="80">
        <f ca="1"/>
        <v>0</v>
      </c>
      <c r="G180" s="80">
        <f ca="1"/>
        <v>0</v>
      </c>
      <c r="H180" s="80">
        <f ca="1"/>
        <v>0</v>
      </c>
      <c r="I180" s="80">
        <f ca="1"/>
        <v>1.7924536000149836E-2</v>
      </c>
      <c r="J180" s="80">
        <f ca="1"/>
        <v>1.7924536000149836E-2</v>
      </c>
      <c r="K180" s="80">
        <f ca="1"/>
        <v>1.7924536000149836E-2</v>
      </c>
      <c r="L180" s="80">
        <f ca="1"/>
        <v>1.7924536000149836E-2</v>
      </c>
      <c r="M180" s="80">
        <f ca="1"/>
        <v>1.7924536000149836E-2</v>
      </c>
      <c r="N180" s="80">
        <f ca="1"/>
        <v>1.7924536000149836E-2</v>
      </c>
      <c r="O180" s="80">
        <f ca="1"/>
        <v>1.7924536000149836E-2</v>
      </c>
      <c r="P180" s="80">
        <f ca="1"/>
        <v>1.7924536000149836E-2</v>
      </c>
      <c r="Q180" s="80">
        <f ca="1"/>
        <v>1.7924536000149836E-2</v>
      </c>
      <c r="R180" s="80">
        <f ca="1"/>
        <v>1.7924536000149836E-2</v>
      </c>
    </row>
    <row r="181" spans="1:18" s="75" customFormat="1" hidden="1" outlineLevel="1" x14ac:dyDescent="0.25">
      <c r="A181" s="73"/>
      <c r="B181" s="74"/>
      <c r="C181" s="73" t="str">
        <f>$C$40</f>
        <v>Normalized Taxes</v>
      </c>
      <c r="D181" s="75" cm="1">
        <f t="array" aca="1" ref="D181:R181" ca="1">IFERROR(-_xlfn.ANCHORARRAY(D182)*D$168:OFFSET(D$168,0,$F$6-$D$9),1)</f>
        <v>-9565.3583999999992</v>
      </c>
      <c r="E181" s="75">
        <f ca="1"/>
        <v>-14490.217000000001</v>
      </c>
      <c r="F181" s="75">
        <f ca="1"/>
        <v>-19348.794000000002</v>
      </c>
      <c r="G181" s="75">
        <f ca="1"/>
        <v>-16825.107199999999</v>
      </c>
      <c r="H181" s="75">
        <f ca="1"/>
        <v>-29682.734399999994</v>
      </c>
      <c r="I181" s="75">
        <f ca="1"/>
        <v>-22649.157990764033</v>
      </c>
      <c r="J181" s="75">
        <f ca="1"/>
        <v>-24632.572272714613</v>
      </c>
      <c r="K181" s="75">
        <f ca="1"/>
        <v>-26377.749267864328</v>
      </c>
      <c r="L181" s="75">
        <f ca="1"/>
        <v>-28710.292908697655</v>
      </c>
      <c r="M181" s="75">
        <f ca="1"/>
        <v>-32581.873414968686</v>
      </c>
      <c r="N181" s="75">
        <f ca="1"/>
        <v>-35372.679080641028</v>
      </c>
      <c r="O181" s="75">
        <f ca="1"/>
        <v>-38524.349054093938</v>
      </c>
      <c r="P181" s="75">
        <f ca="1"/>
        <v>-41043.467506629117</v>
      </c>
      <c r="Q181" s="75">
        <f ca="1"/>
        <v>-43727.31185158607</v>
      </c>
      <c r="R181" s="75">
        <f ca="1"/>
        <v>-46586.653563250504</v>
      </c>
    </row>
    <row r="182" spans="1:18" s="78" customFormat="1" hidden="1" outlineLevel="1" x14ac:dyDescent="0.25">
      <c r="A182" s="76"/>
      <c r="B182" s="82"/>
      <c r="C182" s="77" t="str">
        <f>$C$41</f>
        <v>Effective Tax Rate (%)</v>
      </c>
      <c r="D182" s="78" cm="1">
        <f t="array" aca="1" ref="D182:R182" ca="1">IFERROR(-_xlfn.ANCHORARRAY(D183)+_xlfn.ANCHORARRAY(D153),1)</f>
        <v>0.14429999999999998</v>
      </c>
      <c r="E182" s="78">
        <f ca="1"/>
        <v>0.13300000000000001</v>
      </c>
      <c r="F182" s="78">
        <f ca="1"/>
        <v>0.16200000000000001</v>
      </c>
      <c r="G182" s="78">
        <f ca="1"/>
        <v>0.1472</v>
      </c>
      <c r="H182" s="78">
        <f ca="1"/>
        <v>0.2409</v>
      </c>
      <c r="I182" s="78">
        <f ca="1"/>
        <v>0.15231173746609861</v>
      </c>
      <c r="J182" s="78">
        <f ca="1"/>
        <v>0.15551173746609862</v>
      </c>
      <c r="K182" s="78">
        <f ca="1"/>
        <v>0.1531117374660986</v>
      </c>
      <c r="L182" s="78">
        <f ca="1"/>
        <v>0.14951173746609861</v>
      </c>
      <c r="M182" s="78">
        <f ca="1"/>
        <v>0.14951173746609861</v>
      </c>
      <c r="N182" s="78">
        <f ca="1"/>
        <v>0.14451173746609861</v>
      </c>
      <c r="O182" s="78">
        <f ca="1"/>
        <v>0.14451173746609861</v>
      </c>
      <c r="P182" s="78">
        <f ca="1"/>
        <v>0.14451173746609861</v>
      </c>
      <c r="Q182" s="78">
        <f ca="1"/>
        <v>0.14451173746609861</v>
      </c>
      <c r="R182" s="78">
        <f ca="1"/>
        <v>0.14451173746609861</v>
      </c>
    </row>
    <row r="183" spans="1:18" s="81" customFormat="1" hidden="1" outlineLevel="1" x14ac:dyDescent="0.25">
      <c r="A183" s="74"/>
      <c r="B183" s="74"/>
      <c r="C183" s="79" cm="1">
        <f t="array" aca="1" ref="C183" ca="1">_xlfn.STDEV.S(_xlfn._xlws.FILTER(_xlfn.ANCHORARRAY(D153), (_xlfn.ANCHORARRAY(D153) &gt;= _xlfn.QUARTILE.INC(_xlfn.ANCHORARRAY(D153),1) - 1.5*(_xlfn.QUARTILE.INC(_xlfn.ANCHORARRAY(D153),3) - _xlfn.QUARTILE.INC(_xlfn.ANCHORARRAY(D153),1))) * (_xlfn.ANCHORARRAY(D153) &lt;= _xlfn.QUARTILE.INC(_xlfn.ANCHORARRAY(D153),3) + 1.5*(_xlfn.QUARTILE.INC(_xlfn.ANCHORARRAY(D153),3) - _xlfn.QUARTILE.INC(_xlfn.ANCHORARRAY(D153),1)))))</f>
        <v>5.4882625339013882E-3</v>
      </c>
      <c r="D183" s="80" cm="1">
        <f t="array" aca="1" ref="D183:R183" ca="1">(1-_xlfn.ANCHORARRAY($D$10))*C183</f>
        <v>0</v>
      </c>
      <c r="E183" s="80">
        <f ca="1"/>
        <v>0</v>
      </c>
      <c r="F183" s="80">
        <f ca="1"/>
        <v>0</v>
      </c>
      <c r="G183" s="80">
        <f ca="1"/>
        <v>0</v>
      </c>
      <c r="H183" s="80">
        <f ca="1"/>
        <v>0</v>
      </c>
      <c r="I183" s="80">
        <f ca="1"/>
        <v>5.4882625339013882E-3</v>
      </c>
      <c r="J183" s="80">
        <f ca="1"/>
        <v>5.4882625339013882E-3</v>
      </c>
      <c r="K183" s="80">
        <f ca="1"/>
        <v>5.4882625339013882E-3</v>
      </c>
      <c r="L183" s="80">
        <f ca="1"/>
        <v>5.4882625339013882E-3</v>
      </c>
      <c r="M183" s="80">
        <f ca="1"/>
        <v>5.4882625339013882E-3</v>
      </c>
      <c r="N183" s="80">
        <f ca="1"/>
        <v>5.4882625339013882E-3</v>
      </c>
      <c r="O183" s="80">
        <f ca="1"/>
        <v>5.4882625339013882E-3</v>
      </c>
      <c r="P183" s="80">
        <f ca="1"/>
        <v>5.4882625339013882E-3</v>
      </c>
      <c r="Q183" s="80">
        <f ca="1"/>
        <v>5.4882625339013882E-3</v>
      </c>
      <c r="R183" s="80">
        <f ca="1"/>
        <v>5.4882625339013882E-3</v>
      </c>
    </row>
    <row r="184" spans="1:18" s="75" customFormat="1" hidden="1" outlineLevel="1" x14ac:dyDescent="0.25">
      <c r="A184" s="73"/>
      <c r="B184" s="74"/>
      <c r="C184" s="73" t="str">
        <f>$C$43</f>
        <v>EBIAT/NOPAT</v>
      </c>
      <c r="D184" s="75" cm="1">
        <f t="array" aca="1" ref="D184:R184" ca="1">IFERROR(_xlfn.ANCHORARRAY(D168)+_xlfn.ANCHORARRAY(D181),1)</f>
        <v>56722.641600000003</v>
      </c>
      <c r="E184" s="75">
        <f ca="1"/>
        <v>94458.782999999996</v>
      </c>
      <c r="F184" s="75">
        <f ca="1"/>
        <v>100088.20600000001</v>
      </c>
      <c r="G184" s="75">
        <f ca="1"/>
        <v>97475.892800000001</v>
      </c>
      <c r="H184" s="75">
        <f ca="1"/>
        <v>93533.265599999984</v>
      </c>
      <c r="I184" s="75">
        <f ca="1"/>
        <v>126053.48546641049</v>
      </c>
      <c r="J184" s="75">
        <f ca="1"/>
        <v>133764.2965043736</v>
      </c>
      <c r="K184" s="75">
        <f ca="1"/>
        <v>145900.02449657215</v>
      </c>
      <c r="L184" s="75">
        <f ca="1"/>
        <v>163316.72380099472</v>
      </c>
      <c r="M184" s="75">
        <f ca="1"/>
        <v>185339.96982731548</v>
      </c>
      <c r="N184" s="75">
        <f ca="1"/>
        <v>209401.06525925524</v>
      </c>
      <c r="O184" s="75">
        <f ca="1"/>
        <v>228058.48864191998</v>
      </c>
      <c r="P184" s="75">
        <f ca="1"/>
        <v>242971.29991845711</v>
      </c>
      <c r="Q184" s="75">
        <f ca="1"/>
        <v>258859.26428617697</v>
      </c>
      <c r="R184" s="75">
        <f ca="1"/>
        <v>275786.14729093196</v>
      </c>
    </row>
    <row r="185" spans="1:18" s="78" customFormat="1" hidden="1" outlineLevel="1" x14ac:dyDescent="0.25">
      <c r="A185" s="76"/>
      <c r="B185" s="74"/>
      <c r="C185" s="77" t="str">
        <f>"% of Revenue"</f>
        <v>% of Revenue</v>
      </c>
      <c r="D185" s="78" cm="1">
        <f t="array" aca="1" ref="D185:R185" ca="1">IFERROR(D184:OFFSET(D184,0,$F$6-$D$9)/D$165:OFFSET(D$165,0,$F$6-$D$9),"NA ")</f>
        <v>0.20662856893065953</v>
      </c>
      <c r="E185" s="78">
        <f ca="1"/>
        <v>0.25821321316395901</v>
      </c>
      <c r="F185" s="78">
        <f ca="1"/>
        <v>0.25381967803452965</v>
      </c>
      <c r="G185" s="78">
        <f ca="1"/>
        <v>0.25431700379613081</v>
      </c>
      <c r="H185" s="78">
        <f ca="1"/>
        <v>0.23919410180674364</v>
      </c>
      <c r="I185" s="78">
        <f ca="1"/>
        <v>0.29888747562270518</v>
      </c>
      <c r="J185" s="78">
        <f ca="1"/>
        <v>0.29736492574627754</v>
      </c>
      <c r="K185" s="78">
        <f ca="1"/>
        <v>0.29975548923402195</v>
      </c>
      <c r="L185" s="78">
        <f ca="1"/>
        <v>0.3122263020967293</v>
      </c>
      <c r="M185" s="78">
        <f ca="1"/>
        <v>0.32033076488104922</v>
      </c>
      <c r="N185" s="78">
        <f ca="1"/>
        <v>0.33367619614156913</v>
      </c>
      <c r="O185" s="78">
        <f ca="1"/>
        <v>0.34110167016598497</v>
      </c>
      <c r="P185" s="78">
        <f ca="1"/>
        <v>0.34110167016598492</v>
      </c>
      <c r="Q185" s="78">
        <f ca="1"/>
        <v>0.34110167016598497</v>
      </c>
      <c r="R185" s="78">
        <f ca="1"/>
        <v>0.34110167016598503</v>
      </c>
    </row>
    <row r="186" spans="1:18" s="84" customFormat="1" hidden="1" outlineLevel="1" x14ac:dyDescent="0.25">
      <c r="A186" s="83"/>
      <c r="B186" s="74"/>
      <c r="C186" s="83"/>
    </row>
    <row r="187" spans="1:18" s="75" customFormat="1" hidden="1" outlineLevel="1" x14ac:dyDescent="0.25">
      <c r="A187" s="73"/>
      <c r="B187" s="74"/>
      <c r="C187" s="73" t="str">
        <f>$C$46</f>
        <v>Unlevered Free Cash Flow</v>
      </c>
      <c r="D187" s="75" cm="1">
        <f t="array" aca="1" ref="D187:R187" ca="1">IFERROR(_xlfn.ANCHORARRAY(D184)+_xlfn.ANCHORARRAY(D177)+_xlfn.ANCHORARRAY(D174)+_xlfn.ANCHORARRAY(D171),1)</f>
        <v>72676.641600000003</v>
      </c>
      <c r="E187" s="75">
        <f ca="1"/>
        <v>92731.782999999996</v>
      </c>
      <c r="F187" s="75">
        <f ca="1"/>
        <v>111728.20600000001</v>
      </c>
      <c r="G187" s="75">
        <f ca="1"/>
        <v>100064.8928</v>
      </c>
      <c r="H187" s="75">
        <f ca="1"/>
        <v>108604.26559999998</v>
      </c>
      <c r="I187" s="75">
        <f ca="1"/>
        <v>136150.64787787295</v>
      </c>
      <c r="J187" s="75">
        <f ca="1"/>
        <v>156628.25744613368</v>
      </c>
      <c r="K187" s="75">
        <f ca="1"/>
        <v>169598.71192192784</v>
      </c>
      <c r="L187" s="75">
        <f ca="1"/>
        <v>203797.58891841245</v>
      </c>
      <c r="M187" s="75">
        <f ca="1"/>
        <v>230743.9216216387</v>
      </c>
      <c r="N187" s="75">
        <f ca="1"/>
        <v>247200.95114791862</v>
      </c>
      <c r="O187" s="75">
        <f ca="1"/>
        <v>272648.96769715764</v>
      </c>
      <c r="P187" s="75">
        <f ca="1"/>
        <v>290477.56344127154</v>
      </c>
      <c r="Q187" s="75">
        <f ca="1"/>
        <v>309471.97627573338</v>
      </c>
      <c r="R187" s="75">
        <f ca="1"/>
        <v>329708.43932106765</v>
      </c>
    </row>
    <row r="188" spans="1:18" s="78" customFormat="1" hidden="1" outlineLevel="1" x14ac:dyDescent="0.25">
      <c r="A188" s="76"/>
      <c r="B188" s="74"/>
      <c r="C188" s="77" t="str">
        <f>"% of Revenue"</f>
        <v>% of Revenue</v>
      </c>
      <c r="D188" s="78" cm="1">
        <f t="array" aca="1" ref="D188:R188" ca="1">IFERROR(D187:OFFSET(D187,0,$F$6-$D$9)/D$165:OFFSET(D$165,0,$F$6-$D$9),"NA ")</f>
        <v>0.26474561171520683</v>
      </c>
      <c r="E188" s="78">
        <f ca="1"/>
        <v>0.25349227345913394</v>
      </c>
      <c r="F188" s="78">
        <f ca="1"/>
        <v>0.2833382514049218</v>
      </c>
      <c r="G188" s="78">
        <f ca="1"/>
        <v>0.26107176852733605</v>
      </c>
      <c r="H188" s="78">
        <f ca="1"/>
        <v>0.27773540885087011</v>
      </c>
      <c r="I188" s="78">
        <f ca="1"/>
        <v>0.32282902212534964</v>
      </c>
      <c r="J188" s="78">
        <f ca="1"/>
        <v>0.3481926893976191</v>
      </c>
      <c r="K188" s="78">
        <f ca="1"/>
        <v>0.34844507422829007</v>
      </c>
      <c r="L188" s="78">
        <f ca="1"/>
        <v>0.38961697297921022</v>
      </c>
      <c r="M188" s="78">
        <f ca="1"/>
        <v>0.39880429986893662</v>
      </c>
      <c r="N188" s="78">
        <f ca="1"/>
        <v>0.39390951979872801</v>
      </c>
      <c r="O188" s="78">
        <f ca="1"/>
        <v>0.40779459166089299</v>
      </c>
      <c r="P188" s="78">
        <f ca="1"/>
        <v>0.40779459166089294</v>
      </c>
      <c r="Q188" s="78">
        <f ca="1"/>
        <v>0.40779459166089305</v>
      </c>
      <c r="R188" s="78">
        <f ca="1"/>
        <v>0.40779459166089305</v>
      </c>
    </row>
    <row r="189" spans="1:18" hidden="1" outlineLevel="1" x14ac:dyDescent="0.25"/>
    <row r="190" spans="1:18" hidden="1" outlineLevel="1" x14ac:dyDescent="0.25">
      <c r="C190" s="9" t="str">
        <f>"Conservative Case"</f>
        <v>Conservative Case</v>
      </c>
    </row>
    <row r="191" spans="1:18" s="20" customFormat="1" hidden="1" outlineLevel="1" x14ac:dyDescent="0.25">
      <c r="A191" s="102" t="str">
        <f>""</f>
        <v/>
      </c>
      <c r="B191" s="106"/>
      <c r="C191" s="14"/>
      <c r="D191" s="20" t="str" cm="1">
        <f t="array" aca="1" ref="D191:R191" ca="1">IFERROR(IF($D$9:OFFSET($D$9,0,$F$6-$D$9)&lt;$D$6,TEXT($D$9:OFFSET($D$9,0,$F$6-$D$9),"0A"),TEXT($D$9:OFFSET($D$9,0,$F$6-$D$9),"0")&amp;"E"),1)</f>
        <v>2020A</v>
      </c>
      <c r="E191" s="20" t="str">
        <f ca="1"/>
        <v>2021A</v>
      </c>
      <c r="F191" s="20" t="str">
        <f ca="1"/>
        <v>2022A</v>
      </c>
      <c r="G191" s="20" t="str">
        <f ca="1"/>
        <v>2023A</v>
      </c>
      <c r="H191" s="20" t="str">
        <f ca="1"/>
        <v>2024A</v>
      </c>
      <c r="I191" s="20" t="str">
        <f ca="1"/>
        <v>2025E</v>
      </c>
      <c r="J191" s="20" t="str">
        <f ca="1"/>
        <v>2026E</v>
      </c>
      <c r="K191" s="20" t="str">
        <f ca="1"/>
        <v>2027E</v>
      </c>
      <c r="L191" s="20" t="str">
        <f ca="1"/>
        <v>2028E</v>
      </c>
      <c r="M191" s="20" t="str">
        <f ca="1"/>
        <v>2029E</v>
      </c>
      <c r="N191" s="20" t="str">
        <f ca="1"/>
        <v>2030E</v>
      </c>
      <c r="O191" s="20" t="str">
        <f ca="1"/>
        <v>2031E</v>
      </c>
      <c r="P191" s="20" t="str">
        <f ca="1"/>
        <v>2032E</v>
      </c>
      <c r="Q191" s="20" t="str">
        <f ca="1"/>
        <v>2033E</v>
      </c>
      <c r="R191" s="20" t="str">
        <f ca="1"/>
        <v>2034E</v>
      </c>
    </row>
    <row r="192" spans="1:18" s="15" customFormat="1" hidden="1" outlineLevel="1" x14ac:dyDescent="0.25">
      <c r="A192" s="103"/>
      <c r="B192" s="107"/>
      <c r="C192" s="10" t="str">
        <f>"Fiscal Year"</f>
        <v>Fiscal Year</v>
      </c>
      <c r="D192" s="15" cm="1">
        <f t="array" aca="1" ref="D192:R192" ca="1">IFERROR(DATE($D$9:OFFSET($D$9,0,$F$6-$D$9),_xlfn.XLOOKUP(_xlfn.TEXTAFTER(_xlfn.TEXTBEFORE($C$5,"-"),": "),$G$4:$R$4,_xlfn.ANCHORARRAY($G$3)),$G$6),1)</f>
        <v>44104</v>
      </c>
      <c r="E192" s="15">
        <f ca="1"/>
        <v>44469</v>
      </c>
      <c r="F192" s="15">
        <f ca="1"/>
        <v>44834</v>
      </c>
      <c r="G192" s="15">
        <f ca="1"/>
        <v>45199</v>
      </c>
      <c r="H192" s="15">
        <f ca="1"/>
        <v>45565</v>
      </c>
      <c r="I192" s="15">
        <f ca="1"/>
        <v>45930</v>
      </c>
      <c r="J192" s="15">
        <f ca="1"/>
        <v>46295</v>
      </c>
      <c r="K192" s="15">
        <f ca="1"/>
        <v>46660</v>
      </c>
      <c r="L192" s="15">
        <f ca="1"/>
        <v>47026</v>
      </c>
      <c r="M192" s="15">
        <f ca="1"/>
        <v>47391</v>
      </c>
      <c r="N192" s="15">
        <f ca="1"/>
        <v>47756</v>
      </c>
      <c r="O192" s="15">
        <f ca="1"/>
        <v>48121</v>
      </c>
      <c r="P192" s="15">
        <f ca="1"/>
        <v>48487</v>
      </c>
      <c r="Q192" s="15">
        <f ca="1"/>
        <v>48852</v>
      </c>
      <c r="R192" s="15">
        <f ca="1"/>
        <v>49217</v>
      </c>
    </row>
    <row r="193" spans="1:18" hidden="1" outlineLevel="1" x14ac:dyDescent="0.25"/>
    <row r="194" spans="1:18" s="13" customFormat="1" hidden="1" outlineLevel="1" x14ac:dyDescent="0.25">
      <c r="A194" s="73"/>
      <c r="B194" s="74"/>
      <c r="C194" s="8" t="str">
        <f>$C$15</f>
        <v>Revenue</v>
      </c>
      <c r="D194" s="13">
        <f ca="1">D136</f>
        <v>274515</v>
      </c>
      <c r="E194" s="13" cm="1">
        <f t="array" aca="1" ref="E194:R194" ca="1">IFERROR(_xlfn.LET(
  _xlpm.base, D194,
  _xlpm.growths,_xlfn.ANCHORARRAY( E195),
  _xlpm.result, _xlfn.SCAN(_xlpm.base, _xlpm.growths, _xlfn.LAMBDA(_xlpm.a,_xlpm.b, _xlpm.a * (1 + _xlpm.b))),
  _xlpm.result
),1)</f>
        <v>365817</v>
      </c>
      <c r="F194" s="13">
        <f ca="1"/>
        <v>394328</v>
      </c>
      <c r="G194" s="13">
        <f ca="1"/>
        <v>383285</v>
      </c>
      <c r="H194" s="13">
        <f ca="1"/>
        <v>391034.99999999994</v>
      </c>
      <c r="I194" s="13">
        <f ca="1"/>
        <v>408075.81988675857</v>
      </c>
      <c r="J194" s="13">
        <f ca="1"/>
        <v>420993.39248343033</v>
      </c>
      <c r="K194" s="13">
        <f ca="1"/>
        <v>440812.36518487497</v>
      </c>
      <c r="L194" s="13">
        <f ca="1"/>
        <v>458319.30357304629</v>
      </c>
      <c r="M194" s="13">
        <f ca="1"/>
        <v>490946.33092447941</v>
      </c>
      <c r="N194" s="13">
        <f ca="1"/>
        <v>515338.78731390549</v>
      </c>
      <c r="O194" s="13">
        <f ca="1"/>
        <v>531026.13147015462</v>
      </c>
      <c r="P194" s="13">
        <f ca="1"/>
        <v>547191.01151684066</v>
      </c>
      <c r="Q194" s="13">
        <f ca="1"/>
        <v>563847.96404628817</v>
      </c>
      <c r="R194" s="13">
        <f ca="1"/>
        <v>581011.968156863</v>
      </c>
    </row>
    <row r="195" spans="1:18" s="19" customFormat="1" hidden="1" outlineLevel="1" x14ac:dyDescent="0.25">
      <c r="A195" s="76"/>
      <c r="B195" s="74"/>
      <c r="C195" s="16" t="str">
        <f>$C$16</f>
        <v>% growth</v>
      </c>
      <c r="D195" s="27"/>
      <c r="E195" s="19" cm="1">
        <f t="array" aca="1" ref="E195:R195" ca="1">IFERROR(_xlfn.ANCHORARRAY(E137)+E196:OFFSET(E196,,F6-C6-1),1)</f>
        <v>0.33259384733074704</v>
      </c>
      <c r="F195" s="19">
        <f ca="1"/>
        <v>7.7937876041846099E-2</v>
      </c>
      <c r="G195" s="19">
        <f ca="1"/>
        <v>-2.800460530319937E-2</v>
      </c>
      <c r="H195" s="19">
        <f ca="1"/>
        <v>2.021994077514111E-2</v>
      </c>
      <c r="I195" s="19">
        <f ca="1"/>
        <v>4.3578758645028248E-2</v>
      </c>
      <c r="J195" s="19">
        <f ca="1"/>
        <v>3.1654834634055051E-2</v>
      </c>
      <c r="K195" s="19">
        <f ca="1"/>
        <v>4.7076683518791018E-2</v>
      </c>
      <c r="L195" s="19">
        <f ca="1"/>
        <v>3.9715170831990942E-2</v>
      </c>
      <c r="M195" s="19">
        <f ca="1"/>
        <v>7.1188420599074931E-2</v>
      </c>
      <c r="N195" s="19">
        <f ca="1"/>
        <v>4.9684568053484979E-2</v>
      </c>
      <c r="O195" s="19">
        <f ca="1"/>
        <v>3.0440837255848893E-2</v>
      </c>
      <c r="P195" s="19">
        <f ca="1"/>
        <v>3.0440837255848893E-2</v>
      </c>
      <c r="Q195" s="19">
        <f ca="1"/>
        <v>3.0440837255848893E-2</v>
      </c>
      <c r="R195" s="19">
        <f ca="1"/>
        <v>3.0440837255848893E-2</v>
      </c>
    </row>
    <row r="196" spans="1:18" s="27" customFormat="1" hidden="1" outlineLevel="1" x14ac:dyDescent="0.25">
      <c r="A196" s="82"/>
      <c r="B196" s="82"/>
      <c r="C196" s="21"/>
      <c r="D196" s="27" cm="1">
        <f t="array" aca="1" ref="D196:R196" ca="1">-_xlfn.ANCHORARRAY(D167)</f>
        <v>0</v>
      </c>
      <c r="E196" s="27">
        <f ca="1"/>
        <v>0</v>
      </c>
      <c r="F196" s="27">
        <f ca="1"/>
        <v>0</v>
      </c>
      <c r="G196" s="27">
        <f ca="1"/>
        <v>0</v>
      </c>
      <c r="H196" s="27">
        <f ca="1"/>
        <v>0</v>
      </c>
      <c r="I196" s="27">
        <f ca="1"/>
        <v>-1.7474727615792277E-2</v>
      </c>
      <c r="J196" s="27">
        <f ca="1"/>
        <v>-1.7474727615792277E-2</v>
      </c>
      <c r="K196" s="27">
        <f ca="1"/>
        <v>-1.7474727615792277E-2</v>
      </c>
      <c r="L196" s="27">
        <f ca="1"/>
        <v>-1.7474727615792277E-2</v>
      </c>
      <c r="M196" s="27">
        <f ca="1"/>
        <v>-1.7474727615792277E-2</v>
      </c>
      <c r="N196" s="27">
        <f ca="1"/>
        <v>-1.7474727615792277E-2</v>
      </c>
      <c r="O196" s="27">
        <f ca="1"/>
        <v>-1.7474727615792277E-2</v>
      </c>
      <c r="P196" s="27">
        <f ca="1"/>
        <v>-1.7474727615792277E-2</v>
      </c>
      <c r="Q196" s="27">
        <f ca="1"/>
        <v>-1.7474727615792277E-2</v>
      </c>
      <c r="R196" s="27">
        <f ca="1"/>
        <v>-1.7474727615792277E-2</v>
      </c>
    </row>
    <row r="197" spans="1:18" s="13" customFormat="1" hidden="1" outlineLevel="1" x14ac:dyDescent="0.25">
      <c r="A197" s="73"/>
      <c r="B197" s="74"/>
      <c r="C197" s="8" t="str">
        <f>$C$21</f>
        <v>EBIT</v>
      </c>
      <c r="D197" s="13" cm="1">
        <f t="array" aca="1" ref="D197:R197" ca="1">IFERROR(_xlfn.ANCHORARRAY(D198)*D$194:OFFSET(D$194,0,$F$6-$D$9),1)</f>
        <v>66288</v>
      </c>
      <c r="E197" s="13">
        <f ca="1"/>
        <v>108949</v>
      </c>
      <c r="F197" s="13">
        <f ca="1"/>
        <v>119437</v>
      </c>
      <c r="G197" s="13">
        <f ca="1"/>
        <v>114301</v>
      </c>
      <c r="H197" s="13">
        <f ca="1"/>
        <v>123215.99999999997</v>
      </c>
      <c r="I197" s="13">
        <f ca="1"/>
        <v>115793.33425627861</v>
      </c>
      <c r="J197" s="13">
        <f ca="1"/>
        <v>119262.20810739911</v>
      </c>
      <c r="K197" s="13">
        <f ca="1"/>
        <v>125681.10464358235</v>
      </c>
      <c r="L197" s="13">
        <f ca="1"/>
        <v>136706.2803498921</v>
      </c>
      <c r="M197" s="13">
        <f ca="1"/>
        <v>151116.50455713636</v>
      </c>
      <c r="N197" s="13">
        <f ca="1"/>
        <v>165529.40240246529</v>
      </c>
      <c r="O197" s="13">
        <f ca="1"/>
        <v>175177.46096512466</v>
      </c>
      <c r="P197" s="13">
        <f ca="1"/>
        <v>180510.00954525685</v>
      </c>
      <c r="Q197" s="13">
        <f ca="1"/>
        <v>186004.88536887575</v>
      </c>
      <c r="R197" s="13">
        <f ca="1"/>
        <v>191667.02981318254</v>
      </c>
    </row>
    <row r="198" spans="1:18" s="19" customFormat="1" hidden="1" outlineLevel="1" x14ac:dyDescent="0.25">
      <c r="A198" s="76"/>
      <c r="B198" s="74"/>
      <c r="C198" s="16" t="str">
        <f>$C$22</f>
        <v>% of Revenue</v>
      </c>
      <c r="D198" s="19" cm="1">
        <f t="array" aca="1" ref="D198:R198" ca="1">IFERROR(_xlfn.ANCHORARRAY(D140)+_xlfn.ANCHORARRAY(D199),1)</f>
        <v>0.24147314354406862</v>
      </c>
      <c r="E198" s="19">
        <f ca="1"/>
        <v>0.29782377527561593</v>
      </c>
      <c r="F198" s="19">
        <f ca="1"/>
        <v>0.30288744395528594</v>
      </c>
      <c r="G198" s="19">
        <f ca="1"/>
        <v>0.29821412265024722</v>
      </c>
      <c r="H198" s="19">
        <f ca="1"/>
        <v>0.31510222870075566</v>
      </c>
      <c r="I198" s="19">
        <f ca="1"/>
        <v>0.28375446084605399</v>
      </c>
      <c r="J198" s="19">
        <f ca="1"/>
        <v>0.2832876007955234</v>
      </c>
      <c r="K198" s="19">
        <f ca="1"/>
        <v>0.28511247544263463</v>
      </c>
      <c r="L198" s="19">
        <f ca="1"/>
        <v>0.29827737842184088</v>
      </c>
      <c r="M198" s="19">
        <f ca="1"/>
        <v>0.30780656670266898</v>
      </c>
      <c r="N198" s="19">
        <f ca="1"/>
        <v>0.321205014016609</v>
      </c>
      <c r="O198" s="19">
        <f ca="1"/>
        <v>0.32988482220289794</v>
      </c>
      <c r="P198" s="19">
        <f ca="1"/>
        <v>0.32988482220289794</v>
      </c>
      <c r="Q198" s="19">
        <f ca="1"/>
        <v>0.32988482220289794</v>
      </c>
      <c r="R198" s="19">
        <f ca="1"/>
        <v>0.32988482220289794</v>
      </c>
    </row>
    <row r="199" spans="1:18" s="27" customFormat="1" hidden="1" outlineLevel="1" x14ac:dyDescent="0.25">
      <c r="A199" s="82"/>
      <c r="B199" s="82"/>
      <c r="C199" s="21"/>
      <c r="D199" s="27" cm="1">
        <f t="array" aca="1" ref="D199:R199" ca="1">-_xlfn.ANCHORARRAY(D170)</f>
        <v>0</v>
      </c>
      <c r="E199" s="27">
        <f ca="1"/>
        <v>0</v>
      </c>
      <c r="F199" s="27">
        <f ca="1"/>
        <v>0</v>
      </c>
      <c r="G199" s="27">
        <f ca="1"/>
        <v>0</v>
      </c>
      <c r="H199" s="27">
        <f ca="1"/>
        <v>0</v>
      </c>
      <c r="I199" s="27">
        <f ca="1"/>
        <v>-3.4418401375196646E-2</v>
      </c>
      <c r="J199" s="27">
        <f ca="1"/>
        <v>-3.4418401375196646E-2</v>
      </c>
      <c r="K199" s="27">
        <f ca="1"/>
        <v>-3.4418401375196646E-2</v>
      </c>
      <c r="L199" s="27">
        <f ca="1"/>
        <v>-3.4418401375196646E-2</v>
      </c>
      <c r="M199" s="27">
        <f ca="1"/>
        <v>-3.4418401375196646E-2</v>
      </c>
      <c r="N199" s="27">
        <f ca="1"/>
        <v>-3.4418401375196646E-2</v>
      </c>
      <c r="O199" s="27">
        <f ca="1"/>
        <v>-3.4418401375196646E-2</v>
      </c>
      <c r="P199" s="27">
        <f ca="1"/>
        <v>-3.4418401375196646E-2</v>
      </c>
      <c r="Q199" s="27">
        <f ca="1"/>
        <v>-3.4418401375196646E-2</v>
      </c>
      <c r="R199" s="27">
        <f ca="1"/>
        <v>-3.4418401375196646E-2</v>
      </c>
    </row>
    <row r="200" spans="1:18" s="13" customFormat="1" hidden="1" outlineLevel="1" x14ac:dyDescent="0.25">
      <c r="A200" s="73"/>
      <c r="B200" s="74"/>
      <c r="C200" s="8" t="str">
        <f>$C$24</f>
        <v>Depreciation &amp; Amortization</v>
      </c>
      <c r="D200" s="13" cm="1">
        <f t="array" aca="1" ref="D200:R200" ca="1">IFERROR(_xlfn.ANCHORARRAY(D201)*D$194:OFFSET(D$194,0,$F$6-$D$9),1)</f>
        <v>11056</v>
      </c>
      <c r="E200" s="13">
        <f ca="1"/>
        <v>11284</v>
      </c>
      <c r="F200" s="13">
        <f ca="1"/>
        <v>11104</v>
      </c>
      <c r="G200" s="13">
        <f ca="1"/>
        <v>11519</v>
      </c>
      <c r="H200" s="13">
        <f ca="1"/>
        <v>11444.999999999998</v>
      </c>
      <c r="I200" s="13">
        <f ca="1"/>
        <v>10838.08931087147</v>
      </c>
      <c r="J200" s="13">
        <f ca="1"/>
        <v>11018.574477641989</v>
      </c>
      <c r="K200" s="13">
        <f ca="1"/>
        <v>11086.860791281395</v>
      </c>
      <c r="L200" s="13">
        <f ca="1"/>
        <v>9717.0795522163044</v>
      </c>
      <c r="M200" s="13">
        <f ca="1"/>
        <v>9970.0709543594439</v>
      </c>
      <c r="N200" s="13">
        <f ca="1"/>
        <v>12954.429948243478</v>
      </c>
      <c r="O200" s="13">
        <f ca="1"/>
        <v>13507.333596892468</v>
      </c>
      <c r="P200" s="13">
        <f ca="1"/>
        <v>13918.508140675933</v>
      </c>
      <c r="Q200" s="13">
        <f ca="1"/>
        <v>14342.199181830458</v>
      </c>
      <c r="R200" s="13">
        <f ca="1"/>
        <v>14778.787733015528</v>
      </c>
    </row>
    <row r="201" spans="1:18" s="19" customFormat="1" hidden="1" outlineLevel="1" x14ac:dyDescent="0.25">
      <c r="A201" s="76"/>
      <c r="B201" s="74"/>
      <c r="C201" s="16" t="str">
        <f>$C$25</f>
        <v>% of Revenue</v>
      </c>
      <c r="D201" s="19" cm="1">
        <f t="array" aca="1" ref="D201:R201" ca="1">IFERROR(_xlfn.ANCHORARRAY(D143)+_xlfn.ANCHORARRAY(D202),1)</f>
        <v>4.0274666229532081E-2</v>
      </c>
      <c r="E201" s="19">
        <f ca="1"/>
        <v>3.084602410494865E-2</v>
      </c>
      <c r="F201" s="19">
        <f ca="1"/>
        <v>2.8159298857803657E-2</v>
      </c>
      <c r="G201" s="19">
        <f ca="1"/>
        <v>3.0053354553400212E-2</v>
      </c>
      <c r="H201" s="19">
        <f ca="1"/>
        <v>2.9268479803598143E-2</v>
      </c>
      <c r="I201" s="19">
        <f ca="1"/>
        <v>2.6559008847618193E-2</v>
      </c>
      <c r="J201" s="19">
        <f ca="1"/>
        <v>2.6172796709809792E-2</v>
      </c>
      <c r="K201" s="19">
        <f ca="1"/>
        <v>2.5150975033632755E-2</v>
      </c>
      <c r="L201" s="19">
        <f ca="1"/>
        <v>2.1201549828824981E-2</v>
      </c>
      <c r="M201" s="19">
        <f ca="1"/>
        <v>2.0307863255817071E-2</v>
      </c>
      <c r="N201" s="19">
        <f ca="1"/>
        <v>2.5137696341014242E-2</v>
      </c>
      <c r="O201" s="19">
        <f ca="1"/>
        <v>2.5436287964769627E-2</v>
      </c>
      <c r="P201" s="19">
        <f ca="1"/>
        <v>2.5436287964769627E-2</v>
      </c>
      <c r="Q201" s="19">
        <f ca="1"/>
        <v>2.5436287964769627E-2</v>
      </c>
      <c r="R201" s="19">
        <f ca="1"/>
        <v>2.5436287964769627E-2</v>
      </c>
    </row>
    <row r="202" spans="1:18" s="27" customFormat="1" hidden="1" outlineLevel="1" x14ac:dyDescent="0.25">
      <c r="A202" s="82"/>
      <c r="B202" s="82"/>
      <c r="C202" s="21"/>
      <c r="D202" s="27" cm="1">
        <f t="array" aca="1" ref="D202:R202" ca="1">-_xlfn.ANCHORARRAY(D173)</f>
        <v>0</v>
      </c>
      <c r="E202" s="27">
        <f ca="1"/>
        <v>0</v>
      </c>
      <c r="F202" s="27">
        <f ca="1"/>
        <v>0</v>
      </c>
      <c r="G202" s="27">
        <f ca="1"/>
        <v>0</v>
      </c>
      <c r="H202" s="27">
        <f ca="1"/>
        <v>0</v>
      </c>
      <c r="I202" s="27">
        <f ca="1"/>
        <v>-1.4441884796032789E-3</v>
      </c>
      <c r="J202" s="27">
        <f ca="1"/>
        <v>-1.4441884796032789E-3</v>
      </c>
      <c r="K202" s="27">
        <f ca="1"/>
        <v>-1.4441884796032789E-3</v>
      </c>
      <c r="L202" s="27">
        <f ca="1"/>
        <v>-1.4441884796032789E-3</v>
      </c>
      <c r="M202" s="27">
        <f ca="1"/>
        <v>-1.4441884796032789E-3</v>
      </c>
      <c r="N202" s="27">
        <f ca="1"/>
        <v>-1.4441884796032789E-3</v>
      </c>
      <c r="O202" s="27">
        <f ca="1"/>
        <v>-1.4441884796032789E-3</v>
      </c>
      <c r="P202" s="27">
        <f ca="1"/>
        <v>-1.4441884796032789E-3</v>
      </c>
      <c r="Q202" s="27">
        <f ca="1"/>
        <v>-1.4441884796032789E-3</v>
      </c>
      <c r="R202" s="27">
        <f ca="1"/>
        <v>-1.4441884796032789E-3</v>
      </c>
    </row>
    <row r="203" spans="1:18" s="13" customFormat="1" hidden="1" outlineLevel="1" x14ac:dyDescent="0.25">
      <c r="A203" s="73"/>
      <c r="B203" s="74"/>
      <c r="C203" s="8" t="str">
        <f>$C$27</f>
        <v>Capital Expenditures</v>
      </c>
      <c r="D203" s="13" cm="1">
        <f t="array" aca="1" ref="D203:R203" ca="1">IFERROR(-_xlfn.ANCHORARRAY(D204)*D$194:OFFSET(D$194,0,$F$6-$D$9),1)</f>
        <v>-7309</v>
      </c>
      <c r="E203" s="13">
        <f ca="1"/>
        <v>-11085</v>
      </c>
      <c r="F203" s="13">
        <f ca="1"/>
        <v>-10708</v>
      </c>
      <c r="G203" s="13">
        <f ca="1"/>
        <v>-10959</v>
      </c>
      <c r="H203" s="13">
        <f ca="1"/>
        <v>-9446.9999999999982</v>
      </c>
      <c r="I203" s="13">
        <f ca="1"/>
        <v>-12292.802252282252</v>
      </c>
      <c r="J203" s="13">
        <f ca="1"/>
        <v>-13219.288618695349</v>
      </c>
      <c r="K203" s="13">
        <f ca="1"/>
        <v>-12769.826247483945</v>
      </c>
      <c r="L203" s="13">
        <f ca="1"/>
        <v>-14414.070831980032</v>
      </c>
      <c r="M203" s="13">
        <f ca="1"/>
        <v>-15309.189817588773</v>
      </c>
      <c r="N203" s="13">
        <f ca="1"/>
        <v>-14549.77437391766</v>
      </c>
      <c r="O203" s="13">
        <f ca="1"/>
        <v>-15151.241642595622</v>
      </c>
      <c r="P203" s="13">
        <f ca="1"/>
        <v>-15612.458123661918</v>
      </c>
      <c r="Q203" s="13">
        <f ca="1"/>
        <v>-16087.714420568067</v>
      </c>
      <c r="R203" s="13">
        <f ca="1"/>
        <v>-16577.437917063155</v>
      </c>
    </row>
    <row r="204" spans="1:18" s="19" customFormat="1" hidden="1" outlineLevel="1" x14ac:dyDescent="0.25">
      <c r="A204" s="76"/>
      <c r="B204" s="74"/>
      <c r="C204" s="16" t="str">
        <f>$C$28</f>
        <v>% of Revenue</v>
      </c>
      <c r="D204" s="19" cm="1">
        <f t="array" aca="1" ref="D204:R204" ca="1">IFERROR(_xlfn.ANCHORARRAY(D146)-_xlfn.ANCHORARRAY(D205),1)</f>
        <v>2.6625138881299748E-2</v>
      </c>
      <c r="E204" s="19">
        <f ca="1"/>
        <v>3.0302036264033657E-2</v>
      </c>
      <c r="F204" s="19">
        <f ca="1"/>
        <v>2.7155058732831552E-2</v>
      </c>
      <c r="G204" s="19">
        <f ca="1"/>
        <v>2.859230076835775E-2</v>
      </c>
      <c r="H204" s="19">
        <f ca="1"/>
        <v>2.415896275269477E-2</v>
      </c>
      <c r="I204" s="19">
        <f ca="1"/>
        <v>3.0123819283616255E-2</v>
      </c>
      <c r="J204" s="19">
        <f ca="1"/>
        <v>3.1400228257063775E-2</v>
      </c>
      <c r="K204" s="19">
        <f ca="1"/>
        <v>2.8968847645932824E-2</v>
      </c>
      <c r="L204" s="19">
        <f ca="1"/>
        <v>3.1449844507111704E-2</v>
      </c>
      <c r="M204" s="19">
        <f ca="1"/>
        <v>3.11830211435957E-2</v>
      </c>
      <c r="N204" s="19">
        <f ca="1"/>
        <v>2.8233416020857431E-2</v>
      </c>
      <c r="O204" s="19">
        <f ca="1"/>
        <v>2.8532007644612816E-2</v>
      </c>
      <c r="P204" s="19">
        <f ca="1"/>
        <v>2.8532007644612816E-2</v>
      </c>
      <c r="Q204" s="19">
        <f ca="1"/>
        <v>2.8532007644612816E-2</v>
      </c>
      <c r="R204" s="19">
        <f ca="1"/>
        <v>2.8532007644612816E-2</v>
      </c>
    </row>
    <row r="205" spans="1:18" s="27" customFormat="1" hidden="1" outlineLevel="1" x14ac:dyDescent="0.25">
      <c r="A205" s="82"/>
      <c r="B205" s="82"/>
      <c r="C205" s="21"/>
      <c r="D205" s="27" cm="1">
        <f t="array" aca="1" ref="D205:R205" ca="1">-_xlfn.ANCHORARRAY(D176)</f>
        <v>0</v>
      </c>
      <c r="E205" s="27">
        <f ca="1"/>
        <v>0</v>
      </c>
      <c r="F205" s="27">
        <f ca="1"/>
        <v>0</v>
      </c>
      <c r="G205" s="27">
        <f ca="1"/>
        <v>0</v>
      </c>
      <c r="H205" s="27">
        <f ca="1"/>
        <v>0</v>
      </c>
      <c r="I205" s="27">
        <f ca="1"/>
        <v>-1.6515312002399086E-3</v>
      </c>
      <c r="J205" s="27">
        <f ca="1"/>
        <v>-1.6515312002399086E-3</v>
      </c>
      <c r="K205" s="27">
        <f ca="1"/>
        <v>-1.6515312002399086E-3</v>
      </c>
      <c r="L205" s="27">
        <f ca="1"/>
        <v>-1.6515312002399086E-3</v>
      </c>
      <c r="M205" s="27">
        <f ca="1"/>
        <v>-1.6515312002399086E-3</v>
      </c>
      <c r="N205" s="27">
        <f ca="1"/>
        <v>-1.6515312002399086E-3</v>
      </c>
      <c r="O205" s="27">
        <f ca="1"/>
        <v>-1.6515312002399086E-3</v>
      </c>
      <c r="P205" s="27">
        <f ca="1"/>
        <v>-1.6515312002399086E-3</v>
      </c>
      <c r="Q205" s="27">
        <f ca="1"/>
        <v>-1.6515312002399086E-3</v>
      </c>
      <c r="R205" s="27">
        <f ca="1"/>
        <v>-1.6515312002399086E-3</v>
      </c>
    </row>
    <row r="206" spans="1:18" s="13" customFormat="1" hidden="1" outlineLevel="1" x14ac:dyDescent="0.25">
      <c r="A206" s="73"/>
      <c r="B206" s="74"/>
      <c r="C206" s="8" t="str">
        <f>$C$36</f>
        <v>Change in Working Capital &amp; Other Non-Cash Expenses</v>
      </c>
      <c r="D206" s="13" cm="1">
        <f t="array" aca="1" ref="D206:R206" ca="1">IFERROR(_xlfn.ANCHORARRAY(D207)*D$194:OFFSET(D$194,0,$F$6-$D$9),1)</f>
        <v>12207</v>
      </c>
      <c r="E206" s="13">
        <f ca="1"/>
        <v>-1926</v>
      </c>
      <c r="F206" s="13">
        <f ca="1"/>
        <v>11244</v>
      </c>
      <c r="G206" s="13">
        <f ca="1"/>
        <v>2028.9999999999998</v>
      </c>
      <c r="H206" s="13">
        <f ca="1"/>
        <v>13072.999999999998</v>
      </c>
      <c r="I206" s="13">
        <f ca="1"/>
        <v>-5931.0369818505469</v>
      </c>
      <c r="J206" s="13">
        <f ca="1"/>
        <v>5900.0892937989065</v>
      </c>
      <c r="K206" s="13">
        <f ca="1"/>
        <v>4613.9593312188626</v>
      </c>
      <c r="L206" s="13">
        <f ca="1"/>
        <v>20898.651773309666</v>
      </c>
      <c r="M206" s="13">
        <f ca="1"/>
        <v>23225.778137832363</v>
      </c>
      <c r="N206" s="13">
        <f ca="1"/>
        <v>10970.806252728722</v>
      </c>
      <c r="O206" s="13">
        <f ca="1"/>
        <v>14734.982031066424</v>
      </c>
      <c r="P206" s="13">
        <f ca="1"/>
        <v>15183.527221041975</v>
      </c>
      <c r="Q206" s="13">
        <f ca="1"/>
        <v>15645.726502147467</v>
      </c>
      <c r="R206" s="13">
        <f ca="1"/>
        <v>16121.995516348861</v>
      </c>
    </row>
    <row r="207" spans="1:18" s="19" customFormat="1" hidden="1" outlineLevel="1" x14ac:dyDescent="0.25">
      <c r="A207" s="76"/>
      <c r="B207" s="74"/>
      <c r="C207" s="16" t="str">
        <f>$C$37</f>
        <v>% of Revenue</v>
      </c>
      <c r="D207" s="19" cm="1">
        <f t="array" aca="1" ref="D207:R207" ca="1">IFERROR(_xlfn.ANCHORARRAY(D149)+_xlfn.ANCHORARRAY(D209),1)</f>
        <v>4.4467515436314956E-2</v>
      </c>
      <c r="E207" s="19">
        <f ca="1"/>
        <v>-5.2649275457400833E-3</v>
      </c>
      <c r="F207" s="19">
        <f ca="1"/>
        <v>2.8514333245420055E-2</v>
      </c>
      <c r="G207" s="19">
        <f ca="1"/>
        <v>5.2937109461627767E-3</v>
      </c>
      <c r="H207" s="19">
        <f ca="1"/>
        <v>3.3431789993223111E-2</v>
      </c>
      <c r="I207" s="19">
        <f ca="1"/>
        <v>-1.4534154421343601E-2</v>
      </c>
      <c r="J207" s="19">
        <f ca="1"/>
        <v>1.4014683838609474E-2</v>
      </c>
      <c r="K207" s="19">
        <f ca="1"/>
        <v>1.0466946246582232E-2</v>
      </c>
      <c r="L207" s="19">
        <f ca="1"/>
        <v>4.5598454200781589E-2</v>
      </c>
      <c r="M207" s="19">
        <f ca="1"/>
        <v>4.7308181515679983E-2</v>
      </c>
      <c r="N207" s="19">
        <f ca="1"/>
        <v>2.1288531977015995E-2</v>
      </c>
      <c r="O207" s="19">
        <f ca="1"/>
        <v>2.7748129814765203E-2</v>
      </c>
      <c r="P207" s="19">
        <f ca="1"/>
        <v>2.7748129814765203E-2</v>
      </c>
      <c r="Q207" s="19">
        <f ca="1"/>
        <v>2.7748129814765203E-2</v>
      </c>
      <c r="R207" s="19">
        <f ca="1"/>
        <v>2.7748129814765203E-2</v>
      </c>
    </row>
    <row r="208" spans="1:18" s="19" customFormat="1" hidden="1" outlineLevel="1" x14ac:dyDescent="0.25">
      <c r="A208" s="76"/>
      <c r="B208" s="82"/>
      <c r="C208" s="16" t="str">
        <f>$C$38</f>
        <v>% of Change in Revenue</v>
      </c>
      <c r="E208" s="19" cm="1">
        <f t="array" aca="1" ref="E208:R208" ca="1">IFERROR(E206:OFFSET(E206,,$F$6-$D$9-1)/($E$194:OFFSET($E$194,,$F$6-$D$9-1)-$D$194:OFFSET($D$194,,$F$6-$D$9-1)),"NA ")</f>
        <v>-2.1094828152723927E-2</v>
      </c>
      <c r="F208" s="19">
        <f ca="1"/>
        <v>0.39437410122408895</v>
      </c>
      <c r="G208" s="19">
        <f ca="1"/>
        <v>-0.1837363035407045</v>
      </c>
      <c r="H208" s="19">
        <f ca="1"/>
        <v>1.6868387096774318</v>
      </c>
      <c r="I208" s="19">
        <f ca="1"/>
        <v>-0.34804880406365829</v>
      </c>
      <c r="J208" s="19">
        <f ca="1"/>
        <v>0.45674907182786634</v>
      </c>
      <c r="K208" s="19">
        <f ca="1"/>
        <v>0.23280517112183838</v>
      </c>
      <c r="L208" s="19">
        <f ca="1"/>
        <v>1.1937353813634248</v>
      </c>
      <c r="M208" s="19">
        <f ca="1"/>
        <v>0.71185701006905211</v>
      </c>
      <c r="N208" s="19">
        <f ca="1"/>
        <v>0.44976225754305221</v>
      </c>
      <c r="O208" s="19">
        <f ca="1"/>
        <v>0.93929105426023729</v>
      </c>
      <c r="P208" s="19">
        <f ca="1"/>
        <v>0.9392910542602354</v>
      </c>
      <c r="Q208" s="19">
        <f ca="1"/>
        <v>0.93929105426023707</v>
      </c>
      <c r="R208" s="19">
        <f ca="1"/>
        <v>0.93929105426023585</v>
      </c>
    </row>
    <row r="209" spans="1:18" s="27" customFormat="1" hidden="1" outlineLevel="1" x14ac:dyDescent="0.25">
      <c r="A209" s="82"/>
      <c r="B209" s="82"/>
      <c r="C209" s="21"/>
      <c r="D209" s="27" cm="1">
        <f t="array" aca="1" ref="D209:R209" ca="1">-_xlfn.ANCHORARRAY(D180)</f>
        <v>0</v>
      </c>
      <c r="E209" s="27">
        <f ca="1"/>
        <v>0</v>
      </c>
      <c r="F209" s="27">
        <f ca="1"/>
        <v>0</v>
      </c>
      <c r="G209" s="27">
        <f ca="1"/>
        <v>0</v>
      </c>
      <c r="H209" s="27">
        <f ca="1"/>
        <v>0</v>
      </c>
      <c r="I209" s="27">
        <f ca="1"/>
        <v>-1.7924536000149836E-2</v>
      </c>
      <c r="J209" s="27">
        <f ca="1"/>
        <v>-1.7924536000149836E-2</v>
      </c>
      <c r="K209" s="27">
        <f ca="1"/>
        <v>-1.7924536000149836E-2</v>
      </c>
      <c r="L209" s="27">
        <f ca="1"/>
        <v>-1.7924536000149836E-2</v>
      </c>
      <c r="M209" s="27">
        <f ca="1"/>
        <v>-1.7924536000149836E-2</v>
      </c>
      <c r="N209" s="27">
        <f ca="1"/>
        <v>-1.7924536000149836E-2</v>
      </c>
      <c r="O209" s="27">
        <f ca="1"/>
        <v>-1.7924536000149836E-2</v>
      </c>
      <c r="P209" s="27">
        <f ca="1"/>
        <v>-1.7924536000149836E-2</v>
      </c>
      <c r="Q209" s="27">
        <f ca="1"/>
        <v>-1.7924536000149836E-2</v>
      </c>
      <c r="R209" s="27">
        <f ca="1"/>
        <v>-1.7924536000149836E-2</v>
      </c>
    </row>
    <row r="210" spans="1:18" s="13" customFormat="1" hidden="1" outlineLevel="1" x14ac:dyDescent="0.25">
      <c r="A210" s="73"/>
      <c r="B210" s="74"/>
      <c r="C210" s="8" t="str">
        <f>$C$40</f>
        <v>Normalized Taxes</v>
      </c>
      <c r="D210" s="13" cm="1">
        <f t="array" aca="1" ref="D210:R210" ca="1">IFERROR(-_xlfn.ANCHORARRAY(D211)*D$197:OFFSET(D$197,0,$F$6-$D$9),1)</f>
        <v>-9565.3583999999992</v>
      </c>
      <c r="E210" s="13">
        <f ca="1"/>
        <v>-14490.217000000001</v>
      </c>
      <c r="F210" s="13">
        <f ca="1"/>
        <v>-19348.794000000002</v>
      </c>
      <c r="G210" s="13">
        <f ca="1"/>
        <v>-16825.107199999999</v>
      </c>
      <c r="H210" s="13">
        <f ca="1"/>
        <v>-29682.734399999994</v>
      </c>
      <c r="I210" s="13">
        <f ca="1"/>
        <v>-18907.692363715018</v>
      </c>
      <c r="J210" s="13">
        <f ca="1"/>
        <v>-19855.757813757446</v>
      </c>
      <c r="K210" s="13">
        <f ca="1"/>
        <v>-20622.794094306872</v>
      </c>
      <c r="L210" s="13">
        <f ca="1"/>
        <v>-21939.753410826608</v>
      </c>
      <c r="M210" s="13">
        <f ca="1"/>
        <v>-24252.425256571205</v>
      </c>
      <c r="N210" s="13">
        <f ca="1"/>
        <v>-25737.879177834329</v>
      </c>
      <c r="O210" s="13">
        <f ca="1"/>
        <v>-27238.039040567564</v>
      </c>
      <c r="P210" s="13">
        <f ca="1"/>
        <v>-28067.187754169943</v>
      </c>
      <c r="Q210" s="13">
        <f ca="1"/>
        <v>-28921.576448823984</v>
      </c>
      <c r="R210" s="13">
        <f ca="1"/>
        <v>-29801.973450685229</v>
      </c>
    </row>
    <row r="211" spans="1:18" s="19" customFormat="1" hidden="1" outlineLevel="1" x14ac:dyDescent="0.25">
      <c r="A211" s="76"/>
      <c r="B211" s="82"/>
      <c r="C211" s="16" t="str">
        <f>$C$41</f>
        <v>Effective Tax Rate (%)</v>
      </c>
      <c r="D211" s="19" cm="1">
        <f t="array" aca="1" ref="D211:R211" ca="1">IFERROR(-_xlfn.ANCHORARRAY(D212)+_xlfn.ANCHORARRAY(D153),1)</f>
        <v>0.14429999999999998</v>
      </c>
      <c r="E211" s="19">
        <f ca="1"/>
        <v>0.13300000000000001</v>
      </c>
      <c r="F211" s="19">
        <f ca="1"/>
        <v>0.16200000000000001</v>
      </c>
      <c r="G211" s="19">
        <f ca="1"/>
        <v>0.1472</v>
      </c>
      <c r="H211" s="19">
        <f ca="1"/>
        <v>0.2409</v>
      </c>
      <c r="I211" s="19">
        <f ca="1"/>
        <v>0.16328826253390138</v>
      </c>
      <c r="J211" s="19">
        <f ca="1"/>
        <v>0.16648826253390139</v>
      </c>
      <c r="K211" s="19">
        <f ca="1"/>
        <v>0.16408826253390138</v>
      </c>
      <c r="L211" s="19">
        <f ca="1"/>
        <v>0.16048826253390139</v>
      </c>
      <c r="M211" s="19">
        <f ca="1"/>
        <v>0.16048826253390139</v>
      </c>
      <c r="N211" s="19">
        <f ca="1"/>
        <v>0.15548826253390138</v>
      </c>
      <c r="O211" s="19">
        <f ca="1"/>
        <v>0.15548826253390138</v>
      </c>
      <c r="P211" s="19">
        <f ca="1"/>
        <v>0.15548826253390138</v>
      </c>
      <c r="Q211" s="19">
        <f ca="1"/>
        <v>0.15548826253390138</v>
      </c>
      <c r="R211" s="19">
        <f ca="1"/>
        <v>0.15548826253390138</v>
      </c>
    </row>
    <row r="212" spans="1:18" s="27" customFormat="1" hidden="1" outlineLevel="1" x14ac:dyDescent="0.25">
      <c r="A212" s="82"/>
      <c r="B212" s="82"/>
      <c r="C212" s="21"/>
      <c r="D212" s="27" cm="1">
        <f t="array" aca="1" ref="D212:R212" ca="1">-_xlfn.ANCHORARRAY(D183)</f>
        <v>0</v>
      </c>
      <c r="E212" s="27">
        <f ca="1"/>
        <v>0</v>
      </c>
      <c r="F212" s="27">
        <f ca="1"/>
        <v>0</v>
      </c>
      <c r="G212" s="27">
        <f ca="1"/>
        <v>0</v>
      </c>
      <c r="H212" s="27">
        <f ca="1"/>
        <v>0</v>
      </c>
      <c r="I212" s="27">
        <f ca="1"/>
        <v>-5.4882625339013882E-3</v>
      </c>
      <c r="J212" s="27">
        <f ca="1"/>
        <v>-5.4882625339013882E-3</v>
      </c>
      <c r="K212" s="27">
        <f ca="1"/>
        <v>-5.4882625339013882E-3</v>
      </c>
      <c r="L212" s="27">
        <f ca="1"/>
        <v>-5.4882625339013882E-3</v>
      </c>
      <c r="M212" s="27">
        <f ca="1"/>
        <v>-5.4882625339013882E-3</v>
      </c>
      <c r="N212" s="27">
        <f ca="1"/>
        <v>-5.4882625339013882E-3</v>
      </c>
      <c r="O212" s="27">
        <f ca="1"/>
        <v>-5.4882625339013882E-3</v>
      </c>
      <c r="P212" s="27">
        <f ca="1"/>
        <v>-5.4882625339013882E-3</v>
      </c>
      <c r="Q212" s="27">
        <f ca="1"/>
        <v>-5.4882625339013882E-3</v>
      </c>
      <c r="R212" s="27">
        <f ca="1"/>
        <v>-5.4882625339013882E-3</v>
      </c>
    </row>
    <row r="213" spans="1:18" s="13" customFormat="1" hidden="1" outlineLevel="1" x14ac:dyDescent="0.25">
      <c r="A213" s="73"/>
      <c r="B213" s="74"/>
      <c r="C213" s="8" t="str">
        <f>$C$43</f>
        <v>EBIAT/NOPAT</v>
      </c>
      <c r="D213" s="13" cm="1">
        <f t="array" aca="1" ref="D213:R213" ca="1">IFERROR(_xlfn.ANCHORARRAY(D197)+_xlfn.ANCHORARRAY(D210),1)</f>
        <v>56722.641600000003</v>
      </c>
      <c r="E213" s="13">
        <f ca="1"/>
        <v>94458.782999999996</v>
      </c>
      <c r="F213" s="13">
        <f ca="1"/>
        <v>100088.20600000001</v>
      </c>
      <c r="G213" s="13">
        <f ca="1"/>
        <v>97475.892800000001</v>
      </c>
      <c r="H213" s="13">
        <f ca="1"/>
        <v>93533.265599999984</v>
      </c>
      <c r="I213" s="13">
        <f ca="1"/>
        <v>96885.641892563595</v>
      </c>
      <c r="J213" s="13">
        <f ca="1"/>
        <v>99406.450293641668</v>
      </c>
      <c r="K213" s="13">
        <f ca="1"/>
        <v>105058.31054927548</v>
      </c>
      <c r="L213" s="13">
        <f ca="1"/>
        <v>114766.52693906549</v>
      </c>
      <c r="M213" s="13">
        <f ca="1"/>
        <v>126864.07930056515</v>
      </c>
      <c r="N213" s="13">
        <f ca="1"/>
        <v>139791.52322463098</v>
      </c>
      <c r="O213" s="13">
        <f ca="1"/>
        <v>147939.4219245571</v>
      </c>
      <c r="P213" s="13">
        <f ca="1"/>
        <v>152442.8217910869</v>
      </c>
      <c r="Q213" s="13">
        <f ca="1"/>
        <v>157083.30892005176</v>
      </c>
      <c r="R213" s="13">
        <f ca="1"/>
        <v>161865.0563624973</v>
      </c>
    </row>
    <row r="214" spans="1:18" s="19" customFormat="1" hidden="1" outlineLevel="1" x14ac:dyDescent="0.25">
      <c r="A214" s="76"/>
      <c r="B214" s="74"/>
      <c r="C214" s="16" t="str">
        <f>"% of Revenue"</f>
        <v>% of Revenue</v>
      </c>
      <c r="D214" s="19" cm="1">
        <f t="array" aca="1" ref="D214:R214" ca="1">IFERROR(D213:OFFSET(D213,0,$F$6-$D$9)/D$165:OFFSET(D$165,0,$F$6-$D$9),"NA ")</f>
        <v>0.20662856893065953</v>
      </c>
      <c r="E214" s="19">
        <f ca="1"/>
        <v>0.25821321316395901</v>
      </c>
      <c r="F214" s="19">
        <f ca="1"/>
        <v>0.25381967803452965</v>
      </c>
      <c r="G214" s="19">
        <f ca="1"/>
        <v>0.25431700379613081</v>
      </c>
      <c r="H214" s="19">
        <f ca="1"/>
        <v>0.23919410180674364</v>
      </c>
      <c r="I214" s="19">
        <f ca="1"/>
        <v>0.22972712592759023</v>
      </c>
      <c r="J214" s="19">
        <f ca="1"/>
        <v>0.22098566271234629</v>
      </c>
      <c r="K214" s="19">
        <f ca="1"/>
        <v>0.21584509931002627</v>
      </c>
      <c r="L214" s="19">
        <f ca="1"/>
        <v>0.21940881176585808</v>
      </c>
      <c r="M214" s="19">
        <f ca="1"/>
        <v>0.21926445545525713</v>
      </c>
      <c r="N214" s="19">
        <f ca="1"/>
        <v>0.22275485401509451</v>
      </c>
      <c r="O214" s="19">
        <f ca="1"/>
        <v>0.22126948311531147</v>
      </c>
      <c r="P214" s="19">
        <f ca="1"/>
        <v>0.21401087756128567</v>
      </c>
      <c r="Q214" s="19">
        <f ca="1"/>
        <v>0.20699038597511094</v>
      </c>
      <c r="R214" s="19">
        <f ca="1"/>
        <v>0.20020019717855694</v>
      </c>
    </row>
    <row r="215" spans="1:18" s="19" customFormat="1" hidden="1" outlineLevel="1" x14ac:dyDescent="0.25">
      <c r="A215" s="76"/>
      <c r="B215" s="82"/>
      <c r="C215" s="12"/>
    </row>
    <row r="216" spans="1:18" s="13" customFormat="1" hidden="1" outlineLevel="1" x14ac:dyDescent="0.25">
      <c r="A216" s="73"/>
      <c r="B216" s="74"/>
      <c r="C216" s="8" t="str">
        <f>$C$46</f>
        <v>Unlevered Free Cash Flow</v>
      </c>
      <c r="D216" s="13" cm="1">
        <f t="array" aca="1" ref="D216:R216" ca="1">IFERROR(_xlfn.ANCHORARRAY(D213)+_xlfn.ANCHORARRAY(D206)+_xlfn.ANCHORARRAY(D203)+_xlfn.ANCHORARRAY(D200),1)</f>
        <v>72676.641600000003</v>
      </c>
      <c r="E216" s="13">
        <f ca="1"/>
        <v>92731.782999999996</v>
      </c>
      <c r="F216" s="13">
        <f ca="1"/>
        <v>111728.20600000001</v>
      </c>
      <c r="G216" s="13">
        <f ca="1"/>
        <v>100064.8928</v>
      </c>
      <c r="H216" s="13">
        <f ca="1"/>
        <v>108604.26559999998</v>
      </c>
      <c r="I216" s="13">
        <f ca="1"/>
        <v>89499.891969302262</v>
      </c>
      <c r="J216" s="13">
        <f ca="1"/>
        <v>103105.82544638721</v>
      </c>
      <c r="K216" s="13">
        <f ca="1"/>
        <v>107989.3044242918</v>
      </c>
      <c r="L216" s="13">
        <f ca="1"/>
        <v>130968.18743261142</v>
      </c>
      <c r="M216" s="13">
        <f ca="1"/>
        <v>144750.73857516819</v>
      </c>
      <c r="N216" s="13">
        <f ca="1"/>
        <v>149166.98505168551</v>
      </c>
      <c r="O216" s="13">
        <f ca="1"/>
        <v>161030.4959099204</v>
      </c>
      <c r="P216" s="13">
        <f ca="1"/>
        <v>165932.39902914286</v>
      </c>
      <c r="Q216" s="13">
        <f ca="1"/>
        <v>170983.5201834616</v>
      </c>
      <c r="R216" s="13">
        <f ca="1"/>
        <v>176188.40169479852</v>
      </c>
    </row>
    <row r="217" spans="1:18" s="19" customFormat="1" hidden="1" outlineLevel="1" x14ac:dyDescent="0.25">
      <c r="A217" s="76"/>
      <c r="B217" s="74"/>
      <c r="C217" s="16" t="str">
        <f>"% of Revenue"</f>
        <v>% of Revenue</v>
      </c>
      <c r="D217" s="19" cm="1">
        <f t="array" aca="1" ref="D217:R217" ca="1">IFERROR(D216:OFFSET(D216,0,$F$6-$D$9)/D$165:OFFSET(D$165,0,$F$6-$D$9),"NA ")</f>
        <v>0.26474561171520683</v>
      </c>
      <c r="E217" s="19">
        <f ca="1"/>
        <v>0.25349227345913394</v>
      </c>
      <c r="F217" s="19">
        <f ca="1"/>
        <v>0.2833382514049218</v>
      </c>
      <c r="G217" s="19">
        <f ca="1"/>
        <v>0.26107176852733605</v>
      </c>
      <c r="H217" s="19">
        <f ca="1"/>
        <v>0.27773540885087011</v>
      </c>
      <c r="I217" s="19">
        <f ca="1"/>
        <v>0.21221465380533061</v>
      </c>
      <c r="J217" s="19">
        <f ca="1"/>
        <v>0.22920956435390155</v>
      </c>
      <c r="K217" s="19">
        <f ca="1"/>
        <v>0.22186690435069695</v>
      </c>
      <c r="L217" s="19">
        <f ca="1"/>
        <v>0.2503828873289371</v>
      </c>
      <c r="M217" s="19">
        <f ca="1"/>
        <v>0.25017871130594449</v>
      </c>
      <c r="N217" s="19">
        <f ca="1"/>
        <v>0.23769445537599912</v>
      </c>
      <c r="O217" s="19">
        <f ca="1"/>
        <v>0.24084949185458321</v>
      </c>
      <c r="P217" s="19">
        <f ca="1"/>
        <v>0.23294857648818848</v>
      </c>
      <c r="Q217" s="19">
        <f ca="1"/>
        <v>0.22530684565710779</v>
      </c>
      <c r="R217" s="19">
        <f ca="1"/>
        <v>0.21791579697646152</v>
      </c>
    </row>
    <row r="218" spans="1:18" hidden="1" outlineLevel="1" x14ac:dyDescent="0.25"/>
    <row r="219" spans="1:18" collapsed="1" x14ac:dyDescent="0.25">
      <c r="C219" s="9" t="str">
        <f>"Present Value of Free Cash Flow Calculations"</f>
        <v>Present Value of Free Cash Flow Calculations</v>
      </c>
    </row>
    <row r="220" spans="1:18" s="20" customFormat="1" x14ac:dyDescent="0.25">
      <c r="A220" s="102" t="str">
        <f>""</f>
        <v/>
      </c>
      <c r="B220" s="106"/>
      <c r="C220" s="17"/>
      <c r="D220" s="20" t="str" cm="1">
        <f t="array" aca="1" ref="D220:R220" ca="1">IFERROR(IF($D$9:OFFSET($D$9,0,$F$6-$D$9)&lt;$D$6,TEXT($D$9:OFFSET($D$9,0,$F$6-$D$9),"0A"),TEXT($D$9:OFFSET($D$9,0,$F$6-$D$9),"0")&amp;"E"),1)</f>
        <v>2020A</v>
      </c>
      <c r="E220" s="20" t="str">
        <f ca="1"/>
        <v>2021A</v>
      </c>
      <c r="F220" s="20" t="str">
        <f ca="1"/>
        <v>2022A</v>
      </c>
      <c r="G220" s="20" t="str">
        <f ca="1"/>
        <v>2023A</v>
      </c>
      <c r="H220" s="20" t="str">
        <f ca="1"/>
        <v>2024A</v>
      </c>
      <c r="I220" s="20" t="str">
        <f ca="1"/>
        <v>2025E</v>
      </c>
      <c r="J220" s="20" t="str">
        <f ca="1"/>
        <v>2026E</v>
      </c>
      <c r="K220" s="20" t="str">
        <f ca="1"/>
        <v>2027E</v>
      </c>
      <c r="L220" s="20" t="str">
        <f ca="1"/>
        <v>2028E</v>
      </c>
      <c r="M220" s="20" t="str">
        <f ca="1"/>
        <v>2029E</v>
      </c>
      <c r="N220" s="20" t="str">
        <f ca="1"/>
        <v>2030E</v>
      </c>
      <c r="O220" s="20" t="str">
        <f ca="1"/>
        <v>2031E</v>
      </c>
      <c r="P220" s="20" t="str">
        <f ca="1"/>
        <v>2032E</v>
      </c>
      <c r="Q220" s="20" t="str">
        <f ca="1"/>
        <v>2033E</v>
      </c>
      <c r="R220" s="20" t="str">
        <f ca="1"/>
        <v>2034E</v>
      </c>
    </row>
    <row r="221" spans="1:18" s="15" customFormat="1" x14ac:dyDescent="0.25">
      <c r="A221" s="103"/>
      <c r="B221" s="107"/>
      <c r="C221" s="10" t="str">
        <f>"Fiscal Year"</f>
        <v>Fiscal Year</v>
      </c>
      <c r="D221" s="15" cm="1">
        <f t="array" aca="1" ref="D221:R221" ca="1">IFERROR(DATE($D$9:OFFSET($D$9,0,$F$6-$D$9),_xlfn.XLOOKUP(_xlfn.TEXTAFTER(_xlfn.TEXTBEFORE($C$5,"-"),": "),$G$4:$R$4,_xlfn.ANCHORARRAY($G$3)),$G$6),1)</f>
        <v>44104</v>
      </c>
      <c r="E221" s="15">
        <f ca="1"/>
        <v>44469</v>
      </c>
      <c r="F221" s="15">
        <f ca="1"/>
        <v>44834</v>
      </c>
      <c r="G221" s="15">
        <f ca="1"/>
        <v>45199</v>
      </c>
      <c r="H221" s="15">
        <f ca="1"/>
        <v>45565</v>
      </c>
      <c r="I221" s="15">
        <f ca="1"/>
        <v>45930</v>
      </c>
      <c r="J221" s="15">
        <f ca="1"/>
        <v>46295</v>
      </c>
      <c r="K221" s="15">
        <f ca="1"/>
        <v>46660</v>
      </c>
      <c r="L221" s="15">
        <f ca="1"/>
        <v>47026</v>
      </c>
      <c r="M221" s="15">
        <f ca="1"/>
        <v>47391</v>
      </c>
      <c r="N221" s="15">
        <f ca="1"/>
        <v>47756</v>
      </c>
      <c r="O221" s="15">
        <f ca="1"/>
        <v>48121</v>
      </c>
      <c r="P221" s="15">
        <f ca="1"/>
        <v>48487</v>
      </c>
      <c r="Q221" s="15">
        <f ca="1"/>
        <v>48852</v>
      </c>
      <c r="R221" s="15">
        <f ca="1"/>
        <v>49217</v>
      </c>
    </row>
    <row r="222" spans="1:18" s="15" customFormat="1" x14ac:dyDescent="0.25">
      <c r="A222" s="103"/>
      <c r="B222" s="107"/>
      <c r="C222" s="10" t="str">
        <f>"Date of Free Cash Flow"</f>
        <v>Date of Free Cash Flow</v>
      </c>
      <c r="D222" s="15" t="str" cm="1">
        <f t="array" aca="1" ref="D222:R222" ca="1">IFERROR(_xlfn.LET(_xlpm.x,_xlfn.LET(
  _xlpm.dates,_xlfn.ANCHORARRAY( D221),
  _xlpm.cutoff, D7,
  _xlpm.priorDate, OFFSET(_xlpm.dates, , -1),
  _xlpm.shortForward, _xlfn.MAP(_xlpm.dates, _xlfn.LAMBDA(_xlpm.x, --(AND(YEARFRAC(_xlpm.x, _xlpm.cutoff) &lt; 1, _xlpm.x &gt; _xlpm.cutoff)))),
  _xlpm.shortBackward, _xlfn.MAP(_xlpm.dates, _xlfn.LAMBDA(_xlpm.x, --(AND(YEARFRAC(_xlpm.x, _xlpm.cutoff) &lt; 1, _xlpm.x &lt; _xlpm.cutoff)))),
  _xlpm.longForward, --(_xlpm.dates &gt; EOMONTH(_xlpm.cutoff, 12)),
  _xlpm.midpoint1, AVERAGE(_xlpm.cutoff, DATE(D6, MONTH(D12), DAY(D12))),
  _xlpm.midpoint2, (_xlpm.dates + _xlpm.priorDate) / 2,
  _xlpm.result,
    _xlpm.shortForward * _xlpm.midpoint1 +
    _xlpm.shortBackward * _xlpm.cutoff +
    IFERROR(_xlpm.longForward * _xlpm.midpoint2, 0),
  _xlpm.result
),IF(_xlpm.x=0,"",_xlpm.x)),1)</f>
        <v/>
      </c>
      <c r="E222" s="15" t="str">
        <f ca="1"/>
        <v/>
      </c>
      <c r="F222" s="15" t="str">
        <f ca="1"/>
        <v/>
      </c>
      <c r="G222" s="15" t="str">
        <f ca="1"/>
        <v/>
      </c>
      <c r="H222" s="15">
        <f ca="1"/>
        <v>45875</v>
      </c>
      <c r="I222" s="15">
        <f ca="1"/>
        <v>45902.5</v>
      </c>
      <c r="J222" s="15">
        <f ca="1"/>
        <v>46112.5</v>
      </c>
      <c r="K222" s="15">
        <f ca="1"/>
        <v>46477.5</v>
      </c>
      <c r="L222" s="15">
        <f ca="1"/>
        <v>46843</v>
      </c>
      <c r="M222" s="15">
        <f ca="1"/>
        <v>47208.5</v>
      </c>
      <c r="N222" s="15">
        <f ca="1"/>
        <v>47573.5</v>
      </c>
      <c r="O222" s="15">
        <f ca="1"/>
        <v>47938.5</v>
      </c>
      <c r="P222" s="15">
        <f ca="1"/>
        <v>48304</v>
      </c>
      <c r="Q222" s="15">
        <f ca="1"/>
        <v>48669.5</v>
      </c>
      <c r="R222" s="15">
        <f ca="1"/>
        <v>49034.5</v>
      </c>
    </row>
    <row r="224" spans="1:18" x14ac:dyDescent="0.25">
      <c r="C224" s="8" t="str">
        <f>C100</f>
        <v>Unlevered Free Cash Flow</v>
      </c>
      <c r="D224" s="8" t="str" cm="1">
        <f t="array" aca="1" ref="D224:R224" ca="1">IFERROR(_xlfn.LET(_xlpm.x,_xlfn.ANCHORARRAY(D100)*(1-_xlfn.ANCHORARRAY(D10)),IF(_xlfn.ANCHORARRAY(D222)="","",_xlpm.x)),1)</f>
        <v/>
      </c>
      <c r="E224" s="8" t="str">
        <f ca="1"/>
        <v/>
      </c>
      <c r="F224" s="8" t="str">
        <f ca="1"/>
        <v/>
      </c>
      <c r="G224" s="8" t="str">
        <f ca="1"/>
        <v/>
      </c>
      <c r="H224" s="8">
        <f ca="1"/>
        <v>0</v>
      </c>
      <c r="I224" s="8">
        <f ca="1"/>
        <v>112393.25015999997</v>
      </c>
      <c r="J224" s="8">
        <f ca="1"/>
        <v>129004.77508999992</v>
      </c>
      <c r="K224" s="8">
        <f ca="1"/>
        <v>137406.24933999998</v>
      </c>
      <c r="L224" s="8">
        <f ca="1"/>
        <v>165338.24749999994</v>
      </c>
      <c r="M224" s="8">
        <f ca="1"/>
        <v>184869.63249999995</v>
      </c>
      <c r="N224" s="8">
        <f ca="1"/>
        <v>194359.69999999998</v>
      </c>
      <c r="O224" s="8">
        <f ca="1"/>
        <v>211925.44999999998</v>
      </c>
      <c r="P224" s="8">
        <f ca="1"/>
        <v>222079.97764742674</v>
      </c>
      <c r="Q224" s="8">
        <f ca="1"/>
        <v>232721.06522308459</v>
      </c>
      <c r="R224" s="8">
        <f ca="1"/>
        <v>243872.02652077877</v>
      </c>
    </row>
    <row r="225" spans="1:19" s="35" customFormat="1" x14ac:dyDescent="0.25">
      <c r="A225" s="105"/>
      <c r="B225" s="108"/>
      <c r="C225" s="36" t="str">
        <f>"Stub-Adjustment"</f>
        <v>Stub-Adjustment</v>
      </c>
      <c r="D225" s="35" t="str" cm="1">
        <f t="array" aca="1" ref="D225:R225" ca="1">IFERROR(_xlfn.LET(_xlpm.x,_xlfn.LET(
  _xlpm.arr, 1-_xlfn.ANCHORARRAY(D10),
  _xlpm.firstOnePos, _xlfn.XMATCH(1, _xlpm.arr),
  IF(_xlfn.SEQUENCE(1, COLUMNS(_xlpm.arr)) = _xlpm.firstOnePos,F4, _xlpm.arr)
),IF(_xlfn.ANCHORARRAY(D222)="","",_xlpm.x)),1)</f>
        <v/>
      </c>
      <c r="E225" s="35" t="str">
        <f ca="1"/>
        <v/>
      </c>
      <c r="F225" s="35" t="str">
        <f ca="1"/>
        <v/>
      </c>
      <c r="G225" s="35" t="str">
        <f ca="1"/>
        <v/>
      </c>
      <c r="H225" s="35">
        <f ca="1"/>
        <v>0</v>
      </c>
      <c r="I225" s="35">
        <f ca="1"/>
        <v>0.15068493150684931</v>
      </c>
      <c r="J225" s="35">
        <f ca="1"/>
        <v>1</v>
      </c>
      <c r="K225" s="35">
        <f ca="1"/>
        <v>1</v>
      </c>
      <c r="L225" s="35">
        <f ca="1"/>
        <v>1</v>
      </c>
      <c r="M225" s="35">
        <f ca="1"/>
        <v>1</v>
      </c>
      <c r="N225" s="35">
        <f ca="1"/>
        <v>1</v>
      </c>
      <c r="O225" s="35">
        <f ca="1"/>
        <v>1</v>
      </c>
      <c r="P225" s="35">
        <f ca="1"/>
        <v>1</v>
      </c>
      <c r="Q225" s="35">
        <f ca="1"/>
        <v>1</v>
      </c>
      <c r="R225" s="35">
        <f ca="1"/>
        <v>1</v>
      </c>
    </row>
    <row r="227" spans="1:19" x14ac:dyDescent="0.25">
      <c r="C227" s="8" t="str">
        <f>"Stub-Adjusted Free Cash Flow"</f>
        <v>Stub-Adjusted Free Cash Flow</v>
      </c>
      <c r="D227" s="8" t="str" cm="1">
        <f t="array" aca="1" ref="D227:R227" ca="1">IFERROR(_xlfn.ANCHORARRAY(D224)*_xlfn.ANCHORARRAY(D225),"")</f>
        <v/>
      </c>
      <c r="E227" s="8" t="str">
        <f ca="1"/>
        <v/>
      </c>
      <c r="F227" s="8" t="str">
        <f ca="1"/>
        <v/>
      </c>
      <c r="G227" s="8" t="str">
        <f ca="1"/>
        <v/>
      </c>
      <c r="H227" s="8">
        <f ca="1"/>
        <v>0</v>
      </c>
      <c r="I227" s="8">
        <f ca="1"/>
        <v>16935.969202191776</v>
      </c>
      <c r="J227" s="8">
        <f ca="1"/>
        <v>129004.77508999992</v>
      </c>
      <c r="K227" s="8">
        <f ca="1"/>
        <v>137406.24933999998</v>
      </c>
      <c r="L227" s="8">
        <f ca="1"/>
        <v>165338.24749999994</v>
      </c>
      <c r="M227" s="8">
        <f ca="1"/>
        <v>184869.63249999995</v>
      </c>
      <c r="N227" s="8">
        <f ca="1"/>
        <v>194359.69999999998</v>
      </c>
      <c r="O227" s="8">
        <f ca="1"/>
        <v>211925.44999999998</v>
      </c>
      <c r="P227" s="8">
        <f ca="1"/>
        <v>222079.97764742674</v>
      </c>
      <c r="Q227" s="8">
        <f ca="1"/>
        <v>232721.06522308459</v>
      </c>
      <c r="R227" s="8">
        <f ca="1"/>
        <v>243872.02652077877</v>
      </c>
    </row>
    <row r="229" spans="1:19" collapsed="1" x14ac:dyDescent="0.25">
      <c r="C229" s="9" t="str">
        <f>"Terminal Value (Exit Multiple)"</f>
        <v>Terminal Value (Exit Multiple)</v>
      </c>
      <c r="F229" s="9" t="str">
        <f>"Sensitivity Analysis (Exit Multiple)"</f>
        <v>Sensitivity Analysis (Exit Multiple)</v>
      </c>
    </row>
    <row r="230" spans="1:19" s="20" customFormat="1" x14ac:dyDescent="0.25">
      <c r="A230" s="102" t="str">
        <f>""</f>
        <v/>
      </c>
      <c r="B230" s="106"/>
      <c r="C230" s="17"/>
      <c r="D230" s="17"/>
      <c r="F230" s="17"/>
      <c r="G230" s="17"/>
      <c r="H230" s="17"/>
      <c r="I230" s="17"/>
      <c r="J230" s="17"/>
      <c r="K230" s="17"/>
      <c r="L230" s="17"/>
      <c r="M230" s="17"/>
      <c r="N230" s="8"/>
      <c r="O230" s="8"/>
      <c r="P230" s="8"/>
      <c r="Q230" s="8"/>
      <c r="R230" s="8"/>
      <c r="S230" s="8"/>
    </row>
    <row r="231" spans="1:19" s="15" customFormat="1" x14ac:dyDescent="0.25">
      <c r="A231" s="103"/>
      <c r="B231" s="107"/>
      <c r="C231" s="10"/>
      <c r="N231" s="8"/>
      <c r="O231" s="8"/>
      <c r="P231" s="8"/>
      <c r="Q231" s="8"/>
      <c r="R231" s="8"/>
      <c r="S231" s="8"/>
    </row>
    <row r="232" spans="1:19" x14ac:dyDescent="0.25">
      <c r="C232" s="8" t="str">
        <f>P5</f>
        <v>Exit Multiple (EBITDA)</v>
      </c>
      <c r="D232" s="37">
        <f ca="1">R5</f>
        <v>13.891018684950494</v>
      </c>
      <c r="K232" s="9" t="str">
        <f>C232</f>
        <v>Exit Multiple (EBITDA)</v>
      </c>
    </row>
    <row r="233" spans="1:19" x14ac:dyDescent="0.25">
      <c r="C233" s="8" t="str">
        <f ca="1">"FY"&amp;F6&amp;" EBITDA"</f>
        <v>FY2034 EBITDA</v>
      </c>
      <c r="D233" s="8" cm="1">
        <f t="array" aca="1" ref="D233" ca="1">IFERROR(INDEX(_xlfn.ANCHORARRAY(D81),,COUNTA(_xlfn.ANCHORARRAY(D81)))+INDEX(_xlfn.ANCHORARRAY(D84),,COUNTA(_xlfn.ANCHORARRAY(D84))),1)</f>
        <v>268479.02710852504</v>
      </c>
      <c r="H233" s="42">
        <f ca="1">D243</f>
        <v>190.85393341847774</v>
      </c>
      <c r="I233" s="90">
        <f>J233-2</f>
        <v>6</v>
      </c>
      <c r="J233" s="90">
        <f>K233-2</f>
        <v>8</v>
      </c>
      <c r="K233" s="91">
        <f>10</f>
        <v>10</v>
      </c>
      <c r="L233" s="90">
        <f>K233+2</f>
        <v>12</v>
      </c>
      <c r="M233" s="90">
        <f>L233+2</f>
        <v>14</v>
      </c>
    </row>
    <row r="234" spans="1:19" x14ac:dyDescent="0.25">
      <c r="C234" s="8" t="str">
        <f>"Terminal Value"</f>
        <v>Terminal Value</v>
      </c>
      <c r="D234" s="8">
        <f ca="1">IFERROR(D232*D233,1)</f>
        <v>3729447.1820818516</v>
      </c>
      <c r="H234" s="88">
        <f>H235+0.25%</f>
        <v>0.11250000000000002</v>
      </c>
      <c r="I234" s="39">
        <f t="dataTable" ref="I234:M245" dt2D="1" dtr="1" r1="D232" r2="D8" ca="1"/>
        <v>116.16672798479972</v>
      </c>
      <c r="J234" s="40">
        <v>130.51463389368561</v>
      </c>
      <c r="K234" s="40">
        <v>144.86253980257146</v>
      </c>
      <c r="L234" s="40">
        <v>159.2104457114574</v>
      </c>
      <c r="M234" s="40">
        <v>173.55835162034327</v>
      </c>
    </row>
    <row r="235" spans="1:19" x14ac:dyDescent="0.25">
      <c r="C235" s="8" t="str">
        <f>"Present Value of Terminal Value"</f>
        <v>Present Value of Terminal Value</v>
      </c>
      <c r="D235" s="8">
        <f ca="1">IFERROR(D234/((1+$D$8)^YEARFRAC($D$7,INDEX(_xlfn.ANCHORARRAY($D$222),,COUNTA(_xlfn.ANCHORARRAY($D$222))),3)),1)</f>
        <v>1681040.8759511739</v>
      </c>
      <c r="H235" s="88">
        <f>H236+0.25%</f>
        <v>0.11000000000000001</v>
      </c>
      <c r="I235" s="41">
        <v>117.71606896461397</v>
      </c>
      <c r="J235" s="38">
        <v>132.34607845739768</v>
      </c>
      <c r="K235" s="38">
        <v>146.97608795018138</v>
      </c>
      <c r="L235" s="38">
        <v>161.60609744296505</v>
      </c>
      <c r="M235" s="38">
        <v>176.23610693574875</v>
      </c>
    </row>
    <row r="236" spans="1:19" x14ac:dyDescent="0.25">
      <c r="C236" s="8" t="str">
        <f>"Sum of Present Value of Free Cash Flows"</f>
        <v>Sum of Present Value of Free Cash Flows</v>
      </c>
      <c r="D236" s="8" cm="1">
        <f t="array" aca="1" ref="D236" ca="1">IFERROR(XNPV($D$8, _xlfn._xlws.FILTER(_xlfn.ANCHORARRAY(D227), ISNUMBER(_xlfn.ANCHORARRAY(D227))), _xlfn._xlws.FILTER(_xlfn.ANCHORARRAY(D222), ISNUMBER(_xlfn.ANCHORARRAY(D227)))),1)</f>
        <v>1115857.7207759509</v>
      </c>
      <c r="H236" s="88">
        <f>H237+0.25%</f>
        <v>0.10750000000000001</v>
      </c>
      <c r="I236" s="41">
        <v>119.29506495381698</v>
      </c>
      <c r="J236" s="38">
        <v>134.21337959495548</v>
      </c>
      <c r="K236" s="38">
        <v>149.13169423609398</v>
      </c>
      <c r="L236" s="38">
        <v>164.05000887723253</v>
      </c>
      <c r="M236" s="38">
        <v>178.96832351837105</v>
      </c>
    </row>
    <row r="237" spans="1:19" x14ac:dyDescent="0.25">
      <c r="G237" s="13"/>
      <c r="H237" s="88">
        <f>H238+0.25%</f>
        <v>0.10500000000000001</v>
      </c>
      <c r="I237" s="41">
        <v>120.90438471575787</v>
      </c>
      <c r="J237" s="38">
        <v>136.11735686386265</v>
      </c>
      <c r="K237" s="38">
        <v>151.33032901196745</v>
      </c>
      <c r="L237" s="38">
        <v>166.54330116007225</v>
      </c>
      <c r="M237" s="38">
        <v>181.75627330817704</v>
      </c>
    </row>
    <row r="238" spans="1:19" x14ac:dyDescent="0.25">
      <c r="C238" s="8" t="str">
        <f>"Enterprise Value"</f>
        <v>Enterprise Value</v>
      </c>
      <c r="D238" s="8">
        <f ca="1">IFERROR(SUM(D235:D236),1)</f>
        <v>2796898.5967271249</v>
      </c>
      <c r="H238" s="88">
        <f>H239+0.25%</f>
        <v>0.10250000000000001</v>
      </c>
      <c r="I238" s="41">
        <v>122.54471401793303</v>
      </c>
      <c r="J238" s="38">
        <v>138.05885084569641</v>
      </c>
      <c r="K238" s="38">
        <v>153.57298767345978</v>
      </c>
      <c r="L238" s="38">
        <v>169.08712450122312</v>
      </c>
      <c r="M238" s="38">
        <v>184.60126132898651</v>
      </c>
    </row>
    <row r="239" spans="1:19" x14ac:dyDescent="0.25">
      <c r="C239" s="8" t="str">
        <f>$C$55</f>
        <v>Net Debt</v>
      </c>
      <c r="D239" s="8" cm="1">
        <f t="array" aca="1" ref="D239" ca="1">IFERROR(_xlfn.XLOOKUP(D7,_xlfn.ANCHORARRAY($D$13),_xlfn.ANCHORARRAY(D58)),1)</f>
        <v>-41907.960273972611</v>
      </c>
      <c r="G239" s="20" t="str">
        <f>$C$8</f>
        <v>Weighted-Average Cost of Capital</v>
      </c>
      <c r="H239" s="89">
        <f>10%</f>
        <v>0.1</v>
      </c>
      <c r="I239" s="41">
        <v>124.21675610956436</v>
      </c>
      <c r="J239" s="38">
        <v>140.03872374031158</v>
      </c>
      <c r="K239" s="38">
        <v>155.86069137105883</v>
      </c>
      <c r="L239" s="38">
        <v>171.68265900180609</v>
      </c>
      <c r="M239" s="38">
        <v>187.50462663255331</v>
      </c>
    </row>
    <row r="240" spans="1:19" x14ac:dyDescent="0.25">
      <c r="C240" s="8" t="str">
        <f>"Equity Value"</f>
        <v>Equity Value</v>
      </c>
      <c r="D240" s="8">
        <f ca="1">IFERROR(D238-D239,1)</f>
        <v>2838806.5570010976</v>
      </c>
      <c r="H240" s="88">
        <f t="shared" ref="H240:H245" si="0">H239-0.25%</f>
        <v>9.7500000000000003E-2</v>
      </c>
      <c r="I240" s="41">
        <v>125.92123221381327</v>
      </c>
      <c r="J240" s="38">
        <v>142.05785997834019</v>
      </c>
      <c r="K240" s="38">
        <v>158.19448774286712</v>
      </c>
      <c r="L240" s="38">
        <v>174.33111550739406</v>
      </c>
      <c r="M240" s="38">
        <v>190.46774327192102</v>
      </c>
    </row>
    <row r="241" spans="1:19" x14ac:dyDescent="0.25">
      <c r="H241" s="88">
        <f t="shared" si="0"/>
        <v>9.5000000000000001E-2</v>
      </c>
      <c r="I241" s="41">
        <v>127.65888203511479</v>
      </c>
      <c r="J241" s="38">
        <v>144.11716685259324</v>
      </c>
      <c r="K241" s="38">
        <v>160.57545167007169</v>
      </c>
      <c r="L241" s="38">
        <v>177.03373648755013</v>
      </c>
      <c r="M241" s="38">
        <v>193.4920213050286</v>
      </c>
    </row>
    <row r="242" spans="1:19" x14ac:dyDescent="0.25">
      <c r="C242" s="8" t="str">
        <f>_xlfn.TEXTBEFORE($C$53," as")</f>
        <v>Diluted Shares Outstanding</v>
      </c>
      <c r="D242" s="8" cm="1">
        <f t="array" aca="1" ref="D242" ca="1">IFERROR(_xlfn.XLOOKUP(D7,_xlfn.ANCHORARRAY($D$13),_xlfn.ANCHORARRAY(D53)),1)</f>
        <v>14874.236575342467</v>
      </c>
      <c r="H242" s="88">
        <f t="shared" si="0"/>
        <v>9.2499999999999999E-2</v>
      </c>
      <c r="I242" s="41">
        <v>129.43046428213574</v>
      </c>
      <c r="J242" s="38">
        <v>146.21757516899797</v>
      </c>
      <c r="K242" s="38">
        <v>163.00468605586013</v>
      </c>
      <c r="L242" s="38">
        <v>179.79179694272233</v>
      </c>
      <c r="M242" s="38">
        <v>196.57890782958449</v>
      </c>
    </row>
    <row r="243" spans="1:19" x14ac:dyDescent="0.25">
      <c r="C243" s="8" t="str">
        <f>"Implied Share Price"</f>
        <v>Implied Share Price</v>
      </c>
      <c r="D243" s="38">
        <f ca="1">IFERROR(D240/D242,1)</f>
        <v>190.85393341847774</v>
      </c>
      <c r="H243" s="88">
        <f t="shared" si="0"/>
        <v>0.09</v>
      </c>
      <c r="I243" s="41">
        <v>131.23675720687496</v>
      </c>
      <c r="J243" s="38">
        <v>148.36003991772009</v>
      </c>
      <c r="K243" s="38">
        <v>165.48332262856519</v>
      </c>
      <c r="L243" s="38">
        <v>182.60660533941035</v>
      </c>
      <c r="M243" s="38">
        <v>199.72988805025545</v>
      </c>
    </row>
    <row r="244" spans="1:19" x14ac:dyDescent="0.25">
      <c r="C244" s="8" t="str">
        <f>"Current Share Price"</f>
        <v>Current Share Price</v>
      </c>
      <c r="D244" s="38">
        <f ca="1">$N$5</f>
        <v>203.02250000000001</v>
      </c>
      <c r="H244" s="88">
        <f t="shared" si="0"/>
        <v>8.7499999999999994E-2</v>
      </c>
      <c r="I244" s="41">
        <v>133.0785591604469</v>
      </c>
      <c r="J244" s="38">
        <v>150.54554096515074</v>
      </c>
      <c r="K244" s="38">
        <v>168.0125227698546</v>
      </c>
      <c r="L244" s="38">
        <v>185.47950457455846</v>
      </c>
      <c r="M244" s="38">
        <v>202.94648637926235</v>
      </c>
    </row>
    <row r="245" spans="1:19" x14ac:dyDescent="0.25">
      <c r="C245" s="34" t="str">
        <f>"Upside / Downside"</f>
        <v>Upside / Downside</v>
      </c>
      <c r="D245" s="12">
        <f ca="1">IFERROR(D243/D244-1,1)</f>
        <v>-5.9937034474121242E-2</v>
      </c>
      <c r="H245" s="88">
        <f t="shared" si="0"/>
        <v>8.4999999999999992E-2</v>
      </c>
      <c r="I245" s="41">
        <v>134.95668916610515</v>
      </c>
      <c r="J245" s="38">
        <v>152.77508376745584</v>
      </c>
      <c r="K245" s="38">
        <v>170.5934783688065</v>
      </c>
      <c r="L245" s="38">
        <v>188.41187297015722</v>
      </c>
      <c r="M245" s="38">
        <v>206.23026757150788</v>
      </c>
    </row>
    <row r="247" spans="1:19" collapsed="1" x14ac:dyDescent="0.25">
      <c r="C247" s="9" t="str">
        <f>"Terminal Value (Perpetuity)"</f>
        <v>Terminal Value (Perpetuity)</v>
      </c>
      <c r="F247" s="9" t="str">
        <f>"Sensitivity Analysis (Perpetuity)"</f>
        <v>Sensitivity Analysis (Perpetuity)</v>
      </c>
    </row>
    <row r="248" spans="1:19" s="20" customFormat="1" x14ac:dyDescent="0.25">
      <c r="A248" s="102" t="str">
        <f>""</f>
        <v/>
      </c>
      <c r="B248" s="106"/>
      <c r="C248" s="17"/>
      <c r="D248" s="17"/>
      <c r="F248" s="17"/>
      <c r="G248" s="17"/>
      <c r="H248" s="17"/>
      <c r="I248" s="17"/>
      <c r="J248" s="17"/>
      <c r="K248" s="17"/>
      <c r="L248" s="17"/>
      <c r="M248" s="17"/>
      <c r="N248" s="8"/>
      <c r="O248" s="8"/>
      <c r="P248" s="8"/>
      <c r="Q248" s="8"/>
      <c r="R248" s="8"/>
      <c r="S248" s="8"/>
    </row>
    <row r="249" spans="1:19" s="15" customFormat="1" x14ac:dyDescent="0.25">
      <c r="A249" s="103"/>
      <c r="B249" s="107"/>
      <c r="C249" s="10"/>
    </row>
    <row r="250" spans="1:19" x14ac:dyDescent="0.25">
      <c r="C250" s="8" t="str">
        <f>P6</f>
        <v>Terminal Growth Rate</v>
      </c>
      <c r="D250" s="29">
        <f>R6</f>
        <v>2.5000000000000001E-2</v>
      </c>
      <c r="K250" s="9" t="str">
        <f>C250</f>
        <v>Terminal Growth Rate</v>
      </c>
    </row>
    <row r="251" spans="1:19" x14ac:dyDescent="0.25">
      <c r="C251" s="8" t="str">
        <f ca="1">"FY"&amp;F6+1&amp;" "&amp;C224</f>
        <v>FY2035 Unlevered Free Cash Flow</v>
      </c>
      <c r="D251" s="8" cm="1">
        <f t="array" aca="1" ref="D251" ca="1">IFERROR(INDEX(_xlfn.ANCHORARRAY(D224),,COUNTA(_xlfn.ANCHORARRAY(D224)))*(1+D250),1)</f>
        <v>249968.82718379822</v>
      </c>
      <c r="H251" s="42">
        <f ca="1">D261</f>
        <v>183.86827457437761</v>
      </c>
      <c r="I251" s="92">
        <f>J251-0.5%</f>
        <v>1.4999999999999999E-2</v>
      </c>
      <c r="J251" s="92">
        <f>K251-0.5%</f>
        <v>0.02</v>
      </c>
      <c r="K251" s="93">
        <f>2.5%</f>
        <v>2.5000000000000001E-2</v>
      </c>
      <c r="L251" s="92">
        <f>K251+0.5%</f>
        <v>3.0000000000000002E-2</v>
      </c>
      <c r="M251" s="92">
        <f>L251+0.5%</f>
        <v>3.5000000000000003E-2</v>
      </c>
    </row>
    <row r="252" spans="1:19" x14ac:dyDescent="0.25">
      <c r="C252" s="8" t="str">
        <f>"Terminal Value"</f>
        <v>Terminal Value</v>
      </c>
      <c r="D252" s="8">
        <f ca="1">IFERROR(D251/(D8-D250),1)</f>
        <v>3498927.376783276</v>
      </c>
      <c r="H252" s="94">
        <f>H253+0.25%</f>
        <v>0.11250000000000002</v>
      </c>
      <c r="I252" s="39">
        <f t="dataTable" ref="I252:M263" dt2D="1" dtr="1" r1="D250" r2="D8" ca="1"/>
        <v>140.96078174755948</v>
      </c>
      <c r="J252" s="40">
        <v>144.97992810793636</v>
      </c>
      <c r="K252" s="40">
        <v>149.45840548092772</v>
      </c>
      <c r="L252" s="40">
        <v>154.47972859609987</v>
      </c>
      <c r="M252" s="40">
        <v>160.14896437129423</v>
      </c>
    </row>
    <row r="253" spans="1:19" x14ac:dyDescent="0.25">
      <c r="C253" s="8" t="str">
        <f>"Present Value of Terminal Value"</f>
        <v>Present Value of Terminal Value</v>
      </c>
      <c r="D253" s="8">
        <f ca="1">IFERROR(D252/((1+$D$8)^YEARFRAC($D$7,INDEX(_xlfn.ANCHORARRAY($D$222),,COUNTA(_xlfn.ANCHORARRAY($D$222))),3)),1)</f>
        <v>1577134.5336693954</v>
      </c>
      <c r="H253" s="94">
        <f>H254+0.25%</f>
        <v>0.11000000000000001</v>
      </c>
      <c r="I253" s="41">
        <v>144.81791946134231</v>
      </c>
      <c r="J253" s="38">
        <v>149.13105496557537</v>
      </c>
      <c r="K253" s="38">
        <v>153.95161817618879</v>
      </c>
      <c r="L253" s="38">
        <v>159.37475178812895</v>
      </c>
      <c r="M253" s="38">
        <v>165.52096988166105</v>
      </c>
    </row>
    <row r="254" spans="1:19" x14ac:dyDescent="0.25">
      <c r="C254" s="8" t="str">
        <f>"Sum of Present Value of Free Cash Flows"</f>
        <v>Sum of Present Value of Free Cash Flows</v>
      </c>
      <c r="D254" s="8" cm="1">
        <f t="array" aca="1" ref="D254" ca="1">IFERROR(XNPV($D$8, _xlfn._xlws.FILTER(_xlfn.ANCHORARRAY(D227), ISNUMBER(_xlfn.ANCHORARRAY(D227))), _xlfn._xlws.FILTER(_xlfn.ANCHORARRAY(D222), ISNUMBER(_xlfn.ANCHORARRAY(D227)))),1)</f>
        <v>1115857.7207759509</v>
      </c>
      <c r="H254" s="94">
        <f>H255+0.25%</f>
        <v>0.10750000000000001</v>
      </c>
      <c r="I254" s="41">
        <v>148.88750610059753</v>
      </c>
      <c r="J254" s="38">
        <v>153.5230995680285</v>
      </c>
      <c r="K254" s="38">
        <v>158.72058315272378</v>
      </c>
      <c r="L254" s="38">
        <v>164.5887097806056</v>
      </c>
      <c r="M254" s="38">
        <v>171.26623318474694</v>
      </c>
    </row>
    <row r="255" spans="1:19" x14ac:dyDescent="0.25">
      <c r="G255" s="13"/>
      <c r="H255" s="94">
        <f>H256+0.25%</f>
        <v>0.10500000000000001</v>
      </c>
      <c r="I255" s="41">
        <v>153.18731364125691</v>
      </c>
      <c r="J255" s="38">
        <v>158.17738255656516</v>
      </c>
      <c r="K255" s="38">
        <v>163.79121008628695</v>
      </c>
      <c r="L255" s="38">
        <v>170.15354795330498</v>
      </c>
      <c r="M255" s="38">
        <v>177.42479122989698</v>
      </c>
    </row>
    <row r="256" spans="1:19" x14ac:dyDescent="0.25">
      <c r="C256" s="8" t="str">
        <f>"Enterprise Value"</f>
        <v>Enterprise Value</v>
      </c>
      <c r="D256" s="8">
        <f ca="1">IFERROR(SUM(D253:D254),1)</f>
        <v>2692992.2544453461</v>
      </c>
      <c r="H256" s="94">
        <f>H257+0.25%</f>
        <v>0.10250000000000001</v>
      </c>
      <c r="I256" s="41">
        <v>157.73714653596255</v>
      </c>
      <c r="J256" s="38">
        <v>163.11781018181742</v>
      </c>
      <c r="K256" s="38">
        <v>169.19275300778264</v>
      </c>
      <c r="L256" s="38">
        <v>176.10561898215687</v>
      </c>
      <c r="M256" s="38">
        <v>184.04261324903095</v>
      </c>
    </row>
    <row r="257" spans="1:13" x14ac:dyDescent="0.25">
      <c r="C257" s="8" t="str">
        <f>$C$55</f>
        <v>Net Debt</v>
      </c>
      <c r="D257" s="8" cm="1">
        <f t="array" aca="1" ref="D257" ca="1">IFERROR(_xlfn.XLOOKUP(D7,_xlfn.ANCHORARRAY($D$13),_xlfn.ANCHORARRAY(D58)),1)</f>
        <v>-41907.960273972611</v>
      </c>
      <c r="G257" s="20" t="str">
        <f>$C$8</f>
        <v>Weighted-Average Cost of Capital</v>
      </c>
      <c r="H257" s="89">
        <f>10%</f>
        <v>0.1</v>
      </c>
      <c r="I257" s="41">
        <v>162.559140640793</v>
      </c>
      <c r="J257" s="38">
        <v>168.37127833573248</v>
      </c>
      <c r="K257" s="38">
        <v>174.95836772333058</v>
      </c>
      <c r="L257" s="38">
        <v>182.48646988058556</v>
      </c>
      <c r="M257" s="38">
        <v>191.1727416004951</v>
      </c>
    </row>
    <row r="258" spans="1:13" x14ac:dyDescent="0.25">
      <c r="C258" s="8" t="str">
        <f>"Equity Value"</f>
        <v>Equity Value</v>
      </c>
      <c r="D258" s="8">
        <f ca="1">IFERROR(D256-D257,1)</f>
        <v>2734900.2147193188</v>
      </c>
      <c r="H258" s="94">
        <f t="shared" ref="H258:H263" si="1">H257-0.25%</f>
        <v>9.7500000000000003E-2</v>
      </c>
      <c r="I258" s="41">
        <v>167.67811649319006</v>
      </c>
      <c r="J258" s="38">
        <v>173.96815478407339</v>
      </c>
      <c r="K258" s="38">
        <v>181.1257845633543</v>
      </c>
      <c r="L258" s="38">
        <v>189.34380393956582</v>
      </c>
      <c r="M258" s="38">
        <v>198.87670641597109</v>
      </c>
    </row>
    <row r="259" spans="1:13" x14ac:dyDescent="0.25">
      <c r="H259" s="94">
        <f t="shared" si="1"/>
        <v>9.5000000000000001E-2</v>
      </c>
      <c r="I259" s="41">
        <v>173.12199883043652</v>
      </c>
      <c r="J259" s="38">
        <v>179.94285784628508</v>
      </c>
      <c r="K259" s="38">
        <v>187.73812529296907</v>
      </c>
      <c r="L259" s="38">
        <v>196.73266465452764</v>
      </c>
      <c r="M259" s="38">
        <v>207.22629390967921</v>
      </c>
    </row>
    <row r="260" spans="1:13" x14ac:dyDescent="0.25">
      <c r="C260" s="8" t="str">
        <f>_xlfn.TEXTBEFORE($C$53," as")</f>
        <v>Diluted Shares Outstanding</v>
      </c>
      <c r="D260" s="8" cm="1">
        <f t="array" aca="1" ref="D260" ca="1">IFERROR(_xlfn.XLOOKUP(D7,_xlfn.ANCHORARRAY($D$13),_xlfn.ANCHORARRAY(D53)),1)</f>
        <v>14874.236575342467</v>
      </c>
      <c r="H260" s="94">
        <f t="shared" si="1"/>
        <v>9.2499999999999999E-2</v>
      </c>
      <c r="I260" s="41">
        <v>178.92231730625838</v>
      </c>
      <c r="J260" s="38">
        <v>186.33455480315288</v>
      </c>
      <c r="K260" s="38">
        <v>194.84490155884654</v>
      </c>
      <c r="L260" s="38">
        <v>204.71690379545123</v>
      </c>
      <c r="M260" s="38">
        <v>216.30577598624802</v>
      </c>
    </row>
    <row r="261" spans="1:13" x14ac:dyDescent="0.25">
      <c r="C261" s="8" t="str">
        <f>"Implied Share Price"</f>
        <v>Implied Share Price</v>
      </c>
      <c r="D261" s="38">
        <f ca="1">IFERROR(D258/D260,1)</f>
        <v>183.86827457437761</v>
      </c>
      <c r="H261" s="94">
        <f t="shared" si="1"/>
        <v>0.09</v>
      </c>
      <c r="I261" s="41">
        <v>185.11480735180766</v>
      </c>
      <c r="J261" s="38">
        <v>193.18800996422431</v>
      </c>
      <c r="K261" s="38">
        <v>202.50324374778194</v>
      </c>
      <c r="L261" s="38">
        <v>213.37101649526582</v>
      </c>
      <c r="M261" s="38">
        <v>226.21474792411044</v>
      </c>
    </row>
    <row r="262" spans="1:13" x14ac:dyDescent="0.25">
      <c r="C262" s="8" t="str">
        <f>"Current Share Price"</f>
        <v>Current Share Price</v>
      </c>
      <c r="D262" s="38">
        <f ca="1">$N$5</f>
        <v>203.02250000000001</v>
      </c>
      <c r="H262" s="94">
        <f t="shared" si="1"/>
        <v>8.7499999999999994E-2</v>
      </c>
      <c r="I262" s="41">
        <v>191.74013535384185</v>
      </c>
      <c r="J262" s="38">
        <v>200.55462119570748</v>
      </c>
      <c r="K262" s="38">
        <v>210.77942477227154</v>
      </c>
      <c r="L262" s="38">
        <v>222.78245505780333</v>
      </c>
      <c r="M262" s="38">
        <v>237.0717768262935</v>
      </c>
    </row>
    <row r="263" spans="1:13" x14ac:dyDescent="0.25">
      <c r="C263" s="34" t="str">
        <f>"Upside / Downside"</f>
        <v>Upside / Downside</v>
      </c>
      <c r="D263" s="12">
        <f ca="1">IFERROR(D261/D262-1,1)</f>
        <v>-9.4345333278934129E-2</v>
      </c>
      <c r="H263" s="94">
        <f t="shared" si="1"/>
        <v>8.4999999999999992E-2</v>
      </c>
      <c r="I263" s="41">
        <v>198.84477922943029</v>
      </c>
      <c r="J263" s="38">
        <v>208.4936956482332</v>
      </c>
      <c r="K263" s="38">
        <v>219.75076480350324</v>
      </c>
      <c r="L263" s="38">
        <v>233.05457380518607</v>
      </c>
      <c r="M263" s="38">
        <v>249.01914460720536</v>
      </c>
    </row>
    <row r="265" spans="1:13" outlineLevel="1" x14ac:dyDescent="0.25">
      <c r="C265" s="9" t="str">
        <f>C8</f>
        <v>Weighted-Average Cost of Capital</v>
      </c>
    </row>
    <row r="266" spans="1:13" outlineLevel="1" x14ac:dyDescent="0.25">
      <c r="A266" s="102" t="str">
        <f>""</f>
        <v/>
      </c>
      <c r="C266" s="17"/>
      <c r="D266" s="17"/>
    </row>
    <row r="267" spans="1:13" outlineLevel="1" x14ac:dyDescent="0.25"/>
    <row r="268" spans="1:13" outlineLevel="1" x14ac:dyDescent="0.25">
      <c r="C268" s="8" t="str">
        <f>"Beta 3Y"</f>
        <v>Beta 3Y</v>
      </c>
      <c r="D268" s="85" cm="1">
        <f t="array" aca="1" ref="D268" ca="1">IFERROR(IFERROR(INDIRECT("'Public Company'!C"&amp;B269),SLOPE(_xlfn.LET(
  _xlpm.p, _xlfn.STOCKHISTORY(D3,EDATE(D7,-12*3),D7,0,0,1),
  _xlpm.n, ROWS(_xlpm.p),
  LN(INDEX(_xlpm.p, _xlfn.SEQUENCE(_xlpm.n-1)+1) / INDEX(_xlpm.p, _xlfn.SEQUENCE(_xlpm.n-1)))
),_xlfn.LET(
  _xlpm.p, _xlfn.STOCKHISTORY("^SPY",EDATE(D7,-12*3),D7,0,0,1),
  _xlpm.n, ROWS(_xlpm.p),
  LN(INDEX(_xlpm.p, _xlfn.SEQUENCE(_xlpm.n-1)+1) / INDEX(_xlpm.p, _xlfn.SEQUENCE(_xlpm.n-1)))
))),1)</f>
        <v>1.23</v>
      </c>
    </row>
    <row r="269" spans="1:13" outlineLevel="1" x14ac:dyDescent="0.25">
      <c r="B269" s="74">
        <f ca="1">_xlfn.XMATCH(C268,INDIRECT("'Public Company'!A:A"))</f>
        <v>104</v>
      </c>
      <c r="C269" s="63" t="str">
        <f>"Risk-Free Rate"</f>
        <v>Risk-Free Rate</v>
      </c>
      <c r="D269" s="71">
        <f>4.194%</f>
        <v>4.1939999999999998E-2</v>
      </c>
    </row>
    <row r="270" spans="1:13" outlineLevel="1" x14ac:dyDescent="0.25">
      <c r="C270" s="63" t="str">
        <f>"Market Risk Premium"</f>
        <v>Market Risk Premium</v>
      </c>
      <c r="D270" s="71">
        <f>4.33%</f>
        <v>4.3299999999999998E-2</v>
      </c>
    </row>
    <row r="271" spans="1:13" outlineLevel="1" x14ac:dyDescent="0.25">
      <c r="C271" s="63" t="str">
        <f>"Country Risk Premium"</f>
        <v>Country Risk Premium</v>
      </c>
      <c r="D271" s="71">
        <f>0%</f>
        <v>0</v>
      </c>
    </row>
    <row r="272" spans="1:13" outlineLevel="1" x14ac:dyDescent="0.25">
      <c r="C272" s="8" t="str">
        <f>"Capital Asset Pricing Model (CAPM)"</f>
        <v>Capital Asset Pricing Model (CAPM)</v>
      </c>
      <c r="D272" s="86">
        <f ca="1">D268*D270+D269+D271</f>
        <v>9.5198999999999992E-2</v>
      </c>
    </row>
    <row r="273" spans="2:4" outlineLevel="1" x14ac:dyDescent="0.25"/>
    <row r="274" spans="2:4" outlineLevel="1" x14ac:dyDescent="0.25">
      <c r="C274" s="8" t="str">
        <f>"Total Debt/EBITDA (x)"</f>
        <v>Total Debt/EBITDA (x)</v>
      </c>
      <c r="D274" s="85" cm="1">
        <f t="array" aca="1" ref="D274" ca="1">IFERROR(INDIRECT("'Public Company'!B"&amp;B275),D239/D275)</f>
        <v>0.65</v>
      </c>
    </row>
    <row r="275" spans="2:4" outlineLevel="1" x14ac:dyDescent="0.25">
      <c r="B275" s="74">
        <f ca="1">_xlfn.XMATCH(C274,INDIRECT("'Public Company'!A:A"))</f>
        <v>152</v>
      </c>
      <c r="C275" s="8" t="str">
        <f>"EBITDA"</f>
        <v>EBITDA</v>
      </c>
      <c r="D275" s="73">
        <f ca="1">IFERROR(_xlfn.XLOOKUP(D7,13:13,18:18),1)</f>
        <v>143832.42000000001</v>
      </c>
    </row>
    <row r="276" spans="2:4" outlineLevel="1" x14ac:dyDescent="0.25">
      <c r="C276" s="8" t="str">
        <f>"Total Debt"</f>
        <v>Total Debt</v>
      </c>
      <c r="D276" s="73">
        <f ca="1">IFERROR(D274*D275,1)</f>
        <v>93491.073000000019</v>
      </c>
    </row>
    <row r="277" spans="2:4" outlineLevel="1" x14ac:dyDescent="0.25">
      <c r="C277" s="8" t="str">
        <f>C60</f>
        <v>Interest Expense</v>
      </c>
      <c r="D277" s="73">
        <f ca="1">IFERROR(_xlfn.XLOOKUP(D7,13:13,60:60),1)</f>
        <v>759.5</v>
      </c>
    </row>
    <row r="278" spans="2:4" outlineLevel="1" x14ac:dyDescent="0.25">
      <c r="C278" s="8" t="str">
        <f>"Long-Term Tax-RATE"</f>
        <v>Long-Term Tax-RATE</v>
      </c>
      <c r="D278" s="76" cm="1">
        <f t="array" aca="1" ref="D278" ca="1">IFERROR(INDEX(_xlfn.ANCHORARRAY(D95),,COUNTA(_xlfn.ANCHORARRAY(D95))),1)</f>
        <v>0.15</v>
      </c>
    </row>
    <row r="279" spans="2:4" outlineLevel="1" x14ac:dyDescent="0.25">
      <c r="C279" s="8" t="str">
        <f>"After-Tax Cost of Debt"</f>
        <v>After-Tax Cost of Debt</v>
      </c>
      <c r="D279" s="76">
        <f ca="1">IFERROR((D277/D276)*(1-D278),1)</f>
        <v>6.9052047354296589E-3</v>
      </c>
    </row>
    <row r="280" spans="2:4" outlineLevel="1" x14ac:dyDescent="0.25"/>
    <row r="281" spans="2:4" outlineLevel="1" x14ac:dyDescent="0.25">
      <c r="C281" s="8" t="str">
        <f>"Share Price"</f>
        <v>Share Price</v>
      </c>
      <c r="D281" s="73">
        <f ca="1">N5</f>
        <v>203.02250000000001</v>
      </c>
    </row>
    <row r="282" spans="2:4" outlineLevel="1" x14ac:dyDescent="0.25">
      <c r="C282" s="8" t="str">
        <f>"Diluted Shares"</f>
        <v>Diluted Shares</v>
      </c>
      <c r="D282" s="73">
        <f ca="1">IFERROR(D260,1)</f>
        <v>14874.236575342467</v>
      </c>
    </row>
    <row r="283" spans="2:4" outlineLevel="1" x14ac:dyDescent="0.25">
      <c r="C283" s="8" t="str">
        <f>"Market Capitalization"</f>
        <v>Market Capitalization</v>
      </c>
      <c r="D283" s="73">
        <f ca="1">IFERROR(D281*D282,1)</f>
        <v>3019804.6951174662</v>
      </c>
    </row>
    <row r="284" spans="2:4" outlineLevel="1" x14ac:dyDescent="0.25"/>
    <row r="285" spans="2:4" outlineLevel="1" x14ac:dyDescent="0.25">
      <c r="C285" s="8" t="str">
        <f>C257</f>
        <v>Net Debt</v>
      </c>
      <c r="D285" s="73">
        <f ca="1">IFERROR(D257,1)</f>
        <v>-41907.960273972611</v>
      </c>
    </row>
    <row r="286" spans="2:4" outlineLevel="1" x14ac:dyDescent="0.25">
      <c r="C286" s="8" t="str">
        <f>"% Equity"</f>
        <v>% Equity</v>
      </c>
      <c r="D286" s="76">
        <f ca="1">IFERROR(D283/(SUM($D$283:$D$285)),1)</f>
        <v>1.01407300655648</v>
      </c>
    </row>
    <row r="287" spans="2:4" outlineLevel="1" x14ac:dyDescent="0.25">
      <c r="C287" s="8" t="str">
        <f>"% Debt"</f>
        <v>% Debt</v>
      </c>
      <c r="D287" s="76">
        <f ca="1">IFERROR(D285/(SUM($D$283:$D$285)),1)</f>
        <v>-1.4073006556479913E-2</v>
      </c>
    </row>
    <row r="288" spans="2:4" outlineLevel="1" x14ac:dyDescent="0.25">
      <c r="C288" s="8" t="str">
        <f>"Weighted-Average Cost of Capital"</f>
        <v>Weighted-Average Cost of Capital</v>
      </c>
      <c r="D288" s="87">
        <f ca="1">D286*D272+D287*D279</f>
        <v>9.6441559159654799E-2</v>
      </c>
    </row>
    <row r="289" outlineLevel="1" x14ac:dyDescent="0.25"/>
  </sheetData>
  <sheetProtection insertColumns="0" insertRows="0" deleteColumns="0" deleteRows="0"/>
  <phoneticPr fontId="10" type="noConversion"/>
  <conditionalFormatting sqref="D2:XFD2">
    <cfRule type="expression" dxfId="11" priority="6">
      <formula>D11&lt;&gt;""</formula>
    </cfRule>
  </conditionalFormatting>
  <conditionalFormatting sqref="D11:XFD11">
    <cfRule type="expression" dxfId="10" priority="12">
      <formula>D11&lt;&gt;""</formula>
    </cfRule>
  </conditionalFormatting>
  <conditionalFormatting sqref="D15:XFD15 D18:XFD18 D21:XFD21 D24:XFD24 D27:XFD27 D30:XFD30 D33:XFD33 D36:XFD36 D41:XFD41 D49:XFD49 D55:XFD55 D60:XFD60 D78:XFD78 D81:XFD81 D84:XFD84 D87:XFD87 D90:XFD90 D95:XFD95 D107:XFD107 D110:XFD110 D113:XFD113 D116:XFD116 D119:XFD119 D124:XFD124 D136:XFD136 D139:XFD139 D142:XFD142 D145:XFD145 D148:XFD148 D153:XFD153 D165:XFD165 D168:XFD168 D171:XFD171 D174:XFD174 D177:XFD177 D182:XFD182 D194:XFD194 D197:XFD197 D200:XFD200 D203:XFD203 D206:XFD206 D211:XFD211">
    <cfRule type="expression" dxfId="9" priority="13">
      <formula>D$10=1</formula>
    </cfRule>
  </conditionalFormatting>
  <conditionalFormatting sqref="D62:XFD62">
    <cfRule type="expression" dxfId="8" priority="1">
      <formula>D$10=1</formula>
    </cfRule>
  </conditionalFormatting>
  <conditionalFormatting sqref="D75:XFD75">
    <cfRule type="expression" dxfId="7" priority="11">
      <formula>D75&lt;&gt;""</formula>
    </cfRule>
  </conditionalFormatting>
  <conditionalFormatting sqref="D104:XFD104">
    <cfRule type="expression" dxfId="6" priority="10">
      <formula>D104&lt;&gt;""</formula>
    </cfRule>
  </conditionalFormatting>
  <conditionalFormatting sqref="D133:XFD133">
    <cfRule type="expression" dxfId="5" priority="9">
      <formula>D133&lt;&gt;""</formula>
    </cfRule>
  </conditionalFormatting>
  <conditionalFormatting sqref="D162:XFD162">
    <cfRule type="expression" dxfId="4" priority="8">
      <formula>D162&lt;&gt;""</formula>
    </cfRule>
  </conditionalFormatting>
  <conditionalFormatting sqref="D191:XFD191">
    <cfRule type="expression" dxfId="3" priority="7">
      <formula>D191&lt;&gt;""</formula>
    </cfRule>
  </conditionalFormatting>
  <conditionalFormatting sqref="D220:XFD220">
    <cfRule type="expression" dxfId="2" priority="5">
      <formula>D220&lt;&gt;""</formula>
    </cfRule>
  </conditionalFormatting>
  <conditionalFormatting sqref="E230 N230:XFD230">
    <cfRule type="expression" dxfId="1" priority="4">
      <formula>E230&lt;&gt;""</formula>
    </cfRule>
  </conditionalFormatting>
  <conditionalFormatting sqref="E248 N248:XFD248">
    <cfRule type="expression" dxfId="0" priority="3">
      <formula>E248&lt;&gt;""</formula>
    </cfRule>
  </conditionalFormatting>
  <dataValidations count="1">
    <dataValidation type="list" allowBlank="1" showInputMessage="1" showErrorMessage="1" sqref="F8" xr:uid="{C73D3C1D-1CD6-4F6C-86E0-4CF7E7136D2D}">
      <formula1>$H$5:$K$5</formula1>
    </dataValidation>
  </dataValidations>
  <hyperlinks>
    <hyperlink ref="C270" r:id="rId1" display="Market Risk Premium" xr:uid="{CADB8C92-138D-4054-82A1-529715303CF9}"/>
    <hyperlink ref="C271" r:id="rId2" display="Country Risk Premium" xr:uid="{BC3C8CED-E257-4936-B35F-94FF1C61F7B3}"/>
    <hyperlink ref="C269" r:id="rId3" display="Risk-Free Rate" xr:uid="{58C1CAE9-B32D-4592-8560-817ED874B74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3</vt:i4>
      </vt:variant>
    </vt:vector>
  </HeadingPairs>
  <TitlesOfParts>
    <vt:vector size="3" baseType="lpstr">
      <vt:lpstr>Public Company</vt:lpstr>
      <vt:lpstr>Consensus</vt:lpstr>
      <vt:lpstr>DCF Model</vt:lpstr>
    </vt:vector>
  </TitlesOfParts>
  <Manager/>
  <Company>SoftArtisans,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DELL</dc:creator>
  <cp:keywords/>
  <dc:description/>
  <cp:lastModifiedBy>Dang Duong Nguyen</cp:lastModifiedBy>
  <dcterms:created xsi:type="dcterms:W3CDTF">2025-08-04T14:24:16Z</dcterms:created>
  <dcterms:modified xsi:type="dcterms:W3CDTF">2025-08-06T11:05:06Z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ExcelWriter version">
    <vt:lpwstr/>
  </property>
</Properties>
</file>