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A78AAA46-A029-42D7-A435-E7E97852AB7B}"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3" i="2" l="1"/>
  <c r="C288" i="2"/>
  <c r="C287" i="2"/>
  <c r="C286" i="2"/>
  <c r="C283" i="2"/>
  <c r="C282" i="2"/>
  <c r="C281" i="2"/>
  <c r="C134" i="2"/>
  <c r="C132" i="2"/>
  <c r="I5" i="2" s="1"/>
  <c r="C163" i="2"/>
  <c r="C161" i="2"/>
  <c r="J5" i="2" s="1"/>
  <c r="C192" i="2"/>
  <c r="C190" i="2"/>
  <c r="K5" i="2" s="1"/>
  <c r="C150" i="2"/>
  <c r="C179" i="2"/>
  <c r="C214" i="2"/>
  <c r="C217" i="2"/>
  <c r="C188" i="2"/>
  <c r="C185" i="2"/>
  <c r="C159" i="2"/>
  <c r="C156" i="2"/>
  <c r="C130" i="2"/>
  <c r="C127" i="2"/>
  <c r="C105" i="2"/>
  <c r="C103" i="2"/>
  <c r="C76" i="2"/>
  <c r="C72" i="2"/>
  <c r="C70" i="2"/>
  <c r="C68" i="2"/>
  <c r="C66" i="2"/>
  <c r="C64" i="2"/>
  <c r="C62" i="2"/>
  <c r="C60" i="2"/>
  <c r="C277" i="2" s="1"/>
  <c r="C58" i="2"/>
  <c r="C56" i="2"/>
  <c r="C55" i="2"/>
  <c r="C257" i="2" s="1"/>
  <c r="C285" i="2" s="1"/>
  <c r="C51" i="2"/>
  <c r="C49" i="2"/>
  <c r="C47" i="2"/>
  <c r="C101" i="2" s="1"/>
  <c r="C46" i="2"/>
  <c r="C216" i="2" s="1"/>
  <c r="C44" i="2"/>
  <c r="C98" i="2" s="1"/>
  <c r="C43" i="2"/>
  <c r="C184" i="2" s="1"/>
  <c r="C41" i="2"/>
  <c r="C40" i="2"/>
  <c r="C181" i="2" s="1"/>
  <c r="C36" i="2"/>
  <c r="C177" i="2" s="1"/>
  <c r="C33" i="2"/>
  <c r="C27" i="2"/>
  <c r="C174" i="2" s="1"/>
  <c r="C24" i="2"/>
  <c r="C142" i="2" s="1"/>
  <c r="C279" i="2"/>
  <c r="C278" i="2"/>
  <c r="C276" i="2"/>
  <c r="D271" i="2"/>
  <c r="D270" i="2"/>
  <c r="D269" i="2"/>
  <c r="C275" i="2"/>
  <c r="C274" i="2"/>
  <c r="C272" i="2"/>
  <c r="C271" i="2"/>
  <c r="C270" i="2"/>
  <c r="C269" i="2"/>
  <c r="C268" i="2"/>
  <c r="C263" i="2"/>
  <c r="C262" i="2"/>
  <c r="C261" i="2"/>
  <c r="C258" i="2"/>
  <c r="C256" i="2"/>
  <c r="C254" i="2"/>
  <c r="C253" i="2"/>
  <c r="C252" i="2"/>
  <c r="C245" i="2"/>
  <c r="C244" i="2"/>
  <c r="C243" i="2"/>
  <c r="C240" i="2"/>
  <c r="C238" i="2"/>
  <c r="C236" i="2"/>
  <c r="C235" i="2"/>
  <c r="C234" i="2"/>
  <c r="C229" i="2"/>
  <c r="L6" i="2" s="1"/>
  <c r="C247" i="2"/>
  <c r="L7" i="2" s="1"/>
  <c r="K233" i="2"/>
  <c r="J233" i="2" s="1"/>
  <c r="I233" i="2" s="1"/>
  <c r="K251" i="2"/>
  <c r="H257" i="2"/>
  <c r="H256" i="2" s="1"/>
  <c r="H255" i="2" s="1"/>
  <c r="H254" i="2" s="1"/>
  <c r="H253" i="2" s="1"/>
  <c r="H252" i="2" s="1"/>
  <c r="H239" i="2"/>
  <c r="H238" i="2" s="1"/>
  <c r="H237" i="2" s="1"/>
  <c r="H236" i="2" s="1"/>
  <c r="H235" i="2" s="1"/>
  <c r="H234" i="2" s="1"/>
  <c r="F247" i="2"/>
  <c r="F229" i="2"/>
  <c r="C227" i="2"/>
  <c r="C225" i="2"/>
  <c r="C222" i="2"/>
  <c r="C221" i="2"/>
  <c r="C219" i="2"/>
  <c r="C38" i="2"/>
  <c r="C208" i="2" s="1"/>
  <c r="C37" i="2"/>
  <c r="C207" i="2" s="1"/>
  <c r="C34" i="2"/>
  <c r="C31" i="2"/>
  <c r="C28" i="2"/>
  <c r="C204" i="2" s="1"/>
  <c r="C25" i="2"/>
  <c r="C143" i="2" s="1"/>
  <c r="C22" i="2"/>
  <c r="C169" i="2" s="1"/>
  <c r="C21" i="2"/>
  <c r="C168" i="2" s="1"/>
  <c r="C19" i="2"/>
  <c r="C18" i="2"/>
  <c r="C16" i="2"/>
  <c r="C137" i="2" s="1"/>
  <c r="C15" i="2"/>
  <c r="C78" i="2" s="1"/>
  <c r="C13" i="2"/>
  <c r="C12" i="2"/>
  <c r="C10" i="2"/>
  <c r="L5" i="2"/>
  <c r="L8" i="2"/>
  <c r="J8" i="2"/>
  <c r="J7" i="2"/>
  <c r="F8" i="2"/>
  <c r="I7" i="2"/>
  <c r="H7" i="2"/>
  <c r="G7" i="2"/>
  <c r="F7" i="2"/>
  <c r="C8" i="2"/>
  <c r="G239" i="2" s="1"/>
  <c r="C7" i="2"/>
  <c r="R4" i="2"/>
  <c r="Q4" i="2"/>
  <c r="P4" i="2"/>
  <c r="O4" i="2"/>
  <c r="N4" i="2"/>
  <c r="M4" i="2"/>
  <c r="L4" i="2"/>
  <c r="K4" i="2"/>
  <c r="J4" i="2"/>
  <c r="I4" i="2"/>
  <c r="H4" i="2"/>
  <c r="G4" i="2"/>
  <c r="P8" i="2"/>
  <c r="P7" i="2"/>
  <c r="P6" i="2"/>
  <c r="C250" i="2" s="1"/>
  <c r="K250" i="2" s="1"/>
  <c r="P5" i="2"/>
  <c r="C232" i="2" s="1"/>
  <c r="K232" i="2" s="1"/>
  <c r="R6" i="2"/>
  <c r="D250" i="2"/>
  <c r="C260" i="2"/>
  <c r="C242" i="2"/>
  <c r="C211" i="2"/>
  <c r="C210" i="2"/>
  <c r="C195" i="2"/>
  <c r="C182" i="2"/>
  <c r="C166" i="2"/>
  <c r="C158" i="2"/>
  <c r="C153" i="2"/>
  <c r="C124" i="2"/>
  <c r="C111" i="2"/>
  <c r="C108" i="2"/>
  <c r="C95" i="2"/>
  <c r="C94" i="2"/>
  <c r="C82" i="2"/>
  <c r="C79" i="2"/>
  <c r="C74" i="2"/>
  <c r="H5" i="2"/>
  <c r="D5" i="2" a="1"/>
  <c r="D5" i="2" s="1"/>
  <c r="G3" i="2" a="1"/>
  <c r="G3" i="2" s="1"/>
  <c r="F3" i="2" l="1" a="1"/>
  <c r="F3" i="2" s="1"/>
  <c r="C100" i="2"/>
  <c r="C224" i="2" s="1"/>
  <c r="C187" i="2"/>
  <c r="C239" i="2"/>
  <c r="C129" i="2"/>
  <c r="C126" i="2"/>
  <c r="C97" i="2"/>
  <c r="C155" i="2"/>
  <c r="C213" i="2"/>
  <c r="C123" i="2"/>
  <c r="C152" i="2"/>
  <c r="C148" i="2"/>
  <c r="C90" i="2"/>
  <c r="C119" i="2"/>
  <c r="C206" i="2"/>
  <c r="C87" i="2"/>
  <c r="C145" i="2"/>
  <c r="C116" i="2"/>
  <c r="C203" i="2"/>
  <c r="C200" i="2"/>
  <c r="C113" i="2"/>
  <c r="C84" i="2"/>
  <c r="C171" i="2"/>
  <c r="L233" i="2"/>
  <c r="M233" i="2" s="1"/>
  <c r="H258" i="2"/>
  <c r="H259" i="2" s="1"/>
  <c r="H260" i="2" s="1"/>
  <c r="H261" i="2" s="1"/>
  <c r="H262" i="2" s="1"/>
  <c r="H263" i="2" s="1"/>
  <c r="H240" i="2"/>
  <c r="H241" i="2" s="1"/>
  <c r="H242" i="2" s="1"/>
  <c r="H243" i="2" s="1"/>
  <c r="H244" i="2" s="1"/>
  <c r="H245" i="2" s="1"/>
  <c r="C92" i="2"/>
  <c r="C121" i="2"/>
  <c r="C120" i="2"/>
  <c r="C178" i="2"/>
  <c r="C149" i="2"/>
  <c r="C91" i="2"/>
  <c r="C88" i="2"/>
  <c r="C146" i="2"/>
  <c r="C117" i="2"/>
  <c r="C175" i="2"/>
  <c r="C172" i="2"/>
  <c r="C85" i="2"/>
  <c r="C201" i="2"/>
  <c r="C114" i="2"/>
  <c r="C198" i="2"/>
  <c r="C140" i="2"/>
  <c r="C139" i="2"/>
  <c r="C197" i="2"/>
  <c r="C81" i="2"/>
  <c r="C110" i="2"/>
  <c r="C136" i="2"/>
  <c r="C194" i="2"/>
  <c r="C165" i="2"/>
  <c r="C107" i="2"/>
  <c r="C265" i="2"/>
  <c r="G257" i="2"/>
  <c r="J251" i="2"/>
  <c r="I251" i="2" s="1"/>
  <c r="L251" i="2"/>
  <c r="M251" i="2" s="1"/>
  <c r="D7" i="2" l="1"/>
  <c r="C6" i="2" a="1"/>
  <c r="C2" i="2" a="1"/>
  <c r="C3" i="2" a="1"/>
  <c r="E6" i="2" a="1"/>
  <c r="C4" i="2" a="1"/>
  <c r="C5" i="2" a="1"/>
  <c r="J6" i="2"/>
  <c r="C5" i="2" l="1"/>
  <c r="C4" i="2"/>
  <c r="E6" i="2"/>
  <c r="C3" i="2"/>
  <c r="D3" i="2" s="1"/>
  <c r="C6" i="2"/>
  <c r="D9" i="2" s="1"/>
  <c r="C2" i="2"/>
  <c r="B16" i="2"/>
  <c r="B19" i="2"/>
  <c r="B31" i="2" a="1"/>
  <c r="K6" i="2" a="1"/>
  <c r="B25" i="2"/>
  <c r="B22" i="2"/>
  <c r="B34" i="2"/>
  <c r="B28" i="2"/>
  <c r="B31" i="2" l="1"/>
  <c r="K6" i="2"/>
  <c r="S7" i="2" s="1"/>
  <c r="G6" i="2" a="1"/>
  <c r="G6" i="2" s="1"/>
  <c r="H6" i="2" a="1"/>
  <c r="H6" i="2" s="1"/>
  <c r="E7" i="2" a="1"/>
  <c r="B42" i="2"/>
  <c r="B214" i="2"/>
  <c r="B159" i="2"/>
  <c r="B63" i="2"/>
  <c r="C30" i="2" a="1"/>
  <c r="B217" i="2"/>
  <c r="B56" i="2"/>
  <c r="S8" i="2" a="1"/>
  <c r="B50" i="2"/>
  <c r="B127" i="2"/>
  <c r="B185" i="2"/>
  <c r="B130" i="2"/>
  <c r="B269" i="2"/>
  <c r="B188" i="2"/>
  <c r="B61" i="2"/>
  <c r="B156" i="2"/>
  <c r="E7" i="2" l="1"/>
  <c r="C30" i="2"/>
  <c r="S8" i="2"/>
  <c r="S6" i="2" s="1" a="1"/>
  <c r="S6" i="2" s="1"/>
  <c r="N5" i="2" s="1"/>
  <c r="D268" i="2" a="1"/>
  <c r="B275" i="2"/>
  <c r="D268" i="2" l="1"/>
  <c r="D272" i="2" s="1"/>
  <c r="D244" i="2"/>
  <c r="D262" i="2"/>
  <c r="D281" i="2"/>
  <c r="D274" i="2" a="1"/>
  <c r="D274" i="2" l="1"/>
  <c r="D2" i="2" l="1"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<sst xmlns="http://schemas.openxmlformats.org/spreadsheetml/2006/main" count="3380" uniqueCount="1436">
  <si>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</si>
  <si>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</si>
  <si>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</si>
  <si>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</si>
  <si>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</si>
  <si>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</si>
  <si>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</si>
  <si>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</si>
  <si>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</si>
  <si>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</si>
  <si>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</si>
  <si>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</si>
  <si>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</si>
  <si>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</si>
  <si>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</si>
  <si>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</si>
  <si>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</si>
  <si>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</si>
  <si>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</si>
  <si>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</si>
  <si>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</si>
  <si>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</si>
  <si>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</si>
  <si>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</si>
  <si>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</si>
  <si>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</si>
  <si>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</si>
  <si>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</si>
  <si>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</si>
  <si>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</si>
  <si>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</si>
  <si>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</si>
  <si>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</si>
  <si>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</si>
  <si>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</si>
  <si>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</si>
  <si>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</si>
  <si>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</si>
  <si>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</si>
  <si>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</si>
  <si>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</si>
  <si>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</si>
  <si>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</si>
  <si>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</si>
  <si>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</si>
  <si>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</si>
  <si>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</si>
  <si>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</si>
  <si>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</si>
  <si>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</si>
  <si>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</si>
  <si>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</si>
  <si>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</si>
  <si>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</si>
  <si>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</si>
  <si>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</si>
  <si>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</si>
  <si>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</si>
  <si>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</si>
  <si>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</si>
  <si>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</si>
  <si>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</si>
  <si>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</si>
  <si>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</si>
  <si>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</si>
  <si>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</si>
  <si>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</si>
  <si>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</si>
  <si>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</si>
  <si>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</si>
  <si>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</si>
  <si>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</si>
  <si>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</si>
  <si>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</si>
  <si>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</si>
  <si>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</si>
  <si>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</si>
  <si>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</si>
  <si>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</si>
  <si>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</si>
  <si>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</si>
  <si>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</si>
  <si>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</si>
  <si>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</si>
  <si>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</si>
  <si>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</si>
  <si>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</si>
  <si>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</si>
  <si>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</si>
  <si>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</si>
  <si>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</si>
  <si>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</si>
  <si>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</si>
  <si>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</si>
  <si>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</si>
  <si>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</si>
  <si>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</si>
  <si>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</si>
  <si>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</si>
  <si>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</si>
  <si>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</si>
  <si>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</si>
  <si>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</si>
  <si>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</si>
  <si>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</si>
  <si>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</si>
  <si>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</si>
  <si>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</si>
  <si>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</si>
  <si>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</si>
  <si>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</si>
  <si>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</si>
  <si>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</si>
  <si>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</si>
  <si>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</si>
  <si>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</si>
  <si>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</si>
  <si>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</si>
  <si>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</si>
  <si>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</si>
  <si>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</si>
  <si>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</si>
  <si>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</si>
  <si>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</si>
  <si>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</si>
  <si>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</si>
  <si>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</si>
  <si>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</si>
  <si>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</si>
  <si>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</si>
  <si>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</si>
  <si>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</si>
  <si>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</si>
  <si>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</si>
  <si>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</si>
  <si>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</si>
  <si>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</si>
  <si>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</si>
  <si>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</si>
  <si>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</si>
  <si>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</si>
  <si>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</si>
  <si>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</si>
  <si>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</si>
  <si>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</si>
  <si>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</si>
  <si>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</si>
  <si>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</si>
  <si>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</si>
  <si>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</si>
  <si>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</si>
  <si>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</si>
  <si>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</si>
  <si>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</si>
  <si>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</si>
  <si>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</si>
  <si>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</si>
  <si>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</si>
  <si>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</si>
  <si>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</si>
  <si>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</si>
  <si>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</si>
  <si>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</si>
  <si>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</si>
  <si>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</si>
  <si>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</si>
  <si>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</si>
  <si>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</si>
  <si>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</si>
  <si>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</si>
  <si>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</si>
  <si>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</si>
  <si>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</si>
  <si>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</si>
  <si>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</si>
  <si>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</si>
  <si>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</si>
  <si>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</si>
  <si>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</si>
  <si>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</si>
  <si>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</si>
  <si>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</si>
  <si>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</si>
  <si>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</si>
  <si>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</si>
  <si>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</si>
  <si>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</si>
  <si>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</si>
  <si>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</si>
  <si>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</si>
  <si>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</si>
  <si>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</si>
  <si>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</si>
  <si>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</si>
  <si>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</si>
  <si>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</si>
  <si>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</si>
  <si>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</si>
  <si>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</si>
  <si>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</si>
  <si>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</si>
  <si>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</si>
  <si>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</si>
  <si>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</si>
  <si>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</si>
  <si>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</si>
  <si>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</si>
  <si>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</si>
  <si>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</si>
  <si>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</si>
  <si>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</si>
  <si>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</si>
  <si>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</si>
  <si>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</si>
  <si>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</si>
  <si>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</si>
  <si>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</si>
  <si>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</si>
  <si>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</si>
  <si>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</si>
  <si>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</si>
  <si>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</si>
  <si>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</si>
  <si>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</si>
  <si>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</si>
  <si>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</si>
  <si>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</si>
  <si>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</si>
  <si>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</si>
  <si>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</si>
  <si>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</si>
  <si>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</si>
  <si>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</si>
  <si>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</si>
  <si>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</si>
  <si>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</si>
  <si>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</si>
  <si>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</si>
  <si>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</si>
  <si>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</si>
  <si>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</si>
  <si>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</si>
  <si>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</si>
  <si>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</si>
  <si>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</si>
  <si>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</si>
  <si>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</si>
  <si>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</si>
  <si>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</si>
  <si>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</si>
  <si>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</si>
  <si>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</si>
  <si>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</si>
  <si>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</si>
  <si>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</si>
  <si>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</si>
  <si>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</si>
  <si>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</si>
  <si>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</si>
  <si>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</si>
  <si>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</si>
  <si>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</si>
  <si>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</si>
  <si>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</si>
  <si>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</si>
  <si>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</si>
  <si>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</si>
  <si>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</si>
  <si>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</si>
  <si>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</si>
  <si>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</si>
  <si>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</si>
  <si>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</si>
  <si>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</si>
  <si>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</si>
  <si>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</si>
  <si>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</si>
  <si>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</si>
  <si>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</si>
  <si>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</si>
  <si>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</si>
  <si>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</si>
  <si>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</si>
  <si>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</si>
  <si>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</si>
  <si>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</si>
  <si>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</si>
  <si>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</si>
  <si>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</si>
  <si>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</si>
  <si>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</si>
  <si>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</si>
  <si>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</si>
  <si>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</si>
  <si>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</si>
  <si>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</si>
  <si>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</si>
  <si>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</si>
  <si>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</si>
  <si>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</si>
  <si>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</si>
  <si>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</si>
  <si>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</si>
  <si>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</si>
  <si>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</si>
  <si>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</si>
  <si>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</si>
  <si>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</si>
  <si>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</si>
  <si>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</si>
  <si>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</si>
  <si>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</si>
  <si>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</si>
  <si>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</si>
  <si>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</si>
  <si>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</si>
  <si>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</si>
  <si>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</si>
  <si>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</si>
  <si>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</si>
  <si>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</si>
  <si>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</si>
  <si>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</si>
  <si>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</si>
  <si>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</si>
  <si>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</si>
  <si>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</si>
  <si>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</si>
  <si>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</si>
  <si>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</si>
  <si>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</si>
  <si>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</si>
  <si>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</si>
  <si>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</si>
  <si>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</si>
  <si>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</si>
  <si>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</si>
  <si>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</si>
  <si>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</si>
  <si>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</si>
  <si>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</si>
  <si>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</si>
  <si>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</si>
  <si>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</si>
  <si>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</si>
  <si>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</si>
  <si>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</si>
  <si>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</si>
  <si>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</si>
  <si>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</si>
  <si>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</si>
  <si>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</si>
  <si>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</si>
  <si>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</si>
  <si>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</si>
  <si>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</si>
  <si>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</si>
  <si>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</si>
  <si>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</si>
  <si>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</si>
  <si>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</si>
  <si>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</si>
  <si>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</si>
  <si>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</si>
  <si>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</si>
  <si>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</si>
  <si>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</si>
  <si>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</si>
  <si>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</si>
  <si>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</si>
  <si>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</si>
  <si>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</si>
  <si>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</si>
  <si>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</si>
  <si>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</si>
  <si>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</si>
  <si>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</si>
  <si>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</si>
  <si>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</si>
  <si>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</si>
  <si>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</si>
  <si>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</si>
  <si>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</si>
  <si>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</si>
  <si>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</si>
  <si>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</si>
  <si>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</si>
  <si>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</si>
  <si>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</si>
  <si>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</si>
  <si>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</si>
  <si>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</si>
  <si>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</si>
  <si>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</si>
  <si>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</si>
  <si>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</si>
  <si>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</si>
  <si>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</si>
  <si>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</si>
  <si>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</si>
  <si>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</si>
  <si>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</si>
  <si>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</si>
  <si>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</si>
  <si>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</si>
  <si>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</si>
  <si>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</si>
  <si>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</si>
  <si>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</si>
  <si>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</si>
  <si>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</si>
  <si>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</si>
  <si>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</si>
  <si>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</si>
  <si>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</si>
  <si>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</si>
  <si>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</si>
  <si>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</si>
  <si>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</si>
  <si>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</si>
  <si>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</si>
  <si>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</si>
  <si>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</si>
  <si>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</si>
  <si>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</si>
  <si>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</si>
  <si>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</si>
  <si>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</si>
  <si>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</si>
  <si>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</si>
  <si>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</si>
  <si>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</si>
  <si>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</si>
  <si>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</si>
  <si>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</si>
  <si>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</si>
  <si>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</si>
  <si>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</si>
  <si>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</si>
  <si>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</si>
  <si>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</si>
  <si>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</si>
  <si>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</si>
  <si>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</si>
  <si>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</si>
  <si>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</si>
  <si>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</si>
  <si>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</si>
  <si>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</si>
  <si>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</si>
  <si>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</si>
  <si>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</si>
  <si>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</si>
  <si>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</si>
  <si>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</si>
  <si>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</si>
  <si>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</si>
  <si>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</si>
  <si>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</si>
  <si>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</si>
  <si>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</si>
  <si>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</si>
  <si>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</si>
  <si>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</si>
  <si>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</si>
  <si>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</si>
  <si>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</si>
  <si>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</si>
  <si>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</si>
  <si>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</si>
  <si>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</si>
  <si>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</si>
  <si>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</si>
  <si>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</si>
  <si>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</si>
  <si>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</si>
  <si>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</si>
  <si>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</si>
  <si>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</si>
  <si>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</si>
  <si>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</si>
  <si>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</si>
  <si>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</si>
  <si>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</si>
  <si>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</si>
  <si>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</si>
  <si>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</si>
  <si>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</si>
  <si>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</si>
  <si>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</si>
  <si>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</si>
  <si>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</si>
  <si>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</si>
  <si>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</si>
  <si>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</si>
  <si>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</si>
  <si>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</si>
  <si>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</si>
  <si>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</si>
  <si>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</si>
  <si>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</si>
  <si>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</si>
  <si>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</si>
  <si>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</si>
  <si>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</si>
  <si>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</si>
  <si>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</si>
  <si>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</si>
  <si>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</si>
  <si>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</si>
  <si>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</si>
  <si>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</si>
  <si>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</si>
  <si>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</si>
  <si>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</si>
  <si>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</si>
  <si>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</si>
  <si>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</si>
  <si>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</si>
  <si>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</si>
  <si>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</si>
  <si>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</si>
  <si>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</si>
  <si>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</si>
  <si>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</si>
  <si>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</si>
  <si>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</si>
  <si>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</si>
  <si>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</si>
  <si>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</si>
  <si>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</si>
  <si>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</si>
  <si>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</si>
  <si>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</si>
  <si>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</si>
  <si>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</si>
  <si>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</si>
  <si>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</si>
  <si>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</si>
  <si>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</si>
  <si>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</si>
  <si>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</si>
  <si>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</si>
  <si>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</si>
  <si>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</si>
  <si>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</si>
  <si>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</si>
  <si>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</si>
  <si>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</si>
  <si>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</si>
  <si>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</si>
  <si>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</si>
  <si>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</si>
  <si>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</si>
  <si>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</si>
  <si>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</si>
  <si>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</si>
  <si>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</si>
  <si>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</si>
  <si>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</si>
  <si>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</si>
  <si>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</si>
  <si>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</si>
  <si>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</si>
  <si>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</si>
  <si>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</si>
  <si>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</si>
  <si>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</si>
  <si>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</si>
  <si>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</si>
  <si>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</si>
  <si>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</si>
  <si>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</si>
  <si>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</si>
  <si>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</si>
  <si>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</si>
  <si>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</si>
  <si>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</si>
  <si>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</si>
  <si>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</si>
  <si>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</si>
  <si>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</si>
  <si>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</si>
  <si>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</si>
  <si>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</si>
  <si>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</si>
  <si>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</si>
  <si>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</si>
  <si>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</si>
  <si>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</si>
  <si>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</si>
  <si>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</si>
  <si>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</si>
  <si>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</si>
  <si>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</si>
  <si>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</si>
  <si>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</si>
  <si>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</si>
  <si>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</si>
  <si>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</si>
  <si>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</si>
  <si>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</si>
  <si>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</si>
  <si>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</si>
  <si>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</si>
  <si>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</si>
  <si>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</si>
  <si>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</si>
  <si>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</si>
  <si>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</si>
  <si>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</si>
  <si>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</si>
  <si>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</si>
  <si>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</si>
  <si>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</si>
  <si>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</si>
  <si>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</si>
  <si>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</si>
  <si>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</si>
  <si>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</si>
  <si>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</si>
  <si>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</si>
  <si>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</si>
  <si>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</si>
  <si>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</si>
  <si>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</si>
  <si>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</si>
  <si>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</si>
  <si>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</si>
  <si>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</si>
  <si>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</si>
  <si>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</si>
  <si>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</si>
  <si>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</si>
  <si>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</si>
  <si>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</si>
  <si>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</si>
  <si>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</si>
  <si>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</si>
  <si>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</si>
  <si>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</si>
  <si>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</si>
  <si>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</si>
  <si>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</si>
  <si>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</si>
  <si>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</si>
  <si>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</si>
  <si>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</si>
  <si>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</si>
  <si>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</si>
  <si>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</si>
  <si>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</si>
  <si>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</si>
  <si>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</si>
  <si>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</si>
  <si>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</si>
  <si>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</si>
  <si>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</si>
  <si>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</si>
  <si>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</si>
  <si>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</si>
  <si>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</si>
  <si>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</si>
  <si>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</si>
  <si>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</si>
  <si>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</si>
  <si>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</si>
  <si>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</si>
  <si>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</si>
  <si>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</si>
  <si>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</si>
  <si>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</si>
  <si>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</si>
  <si>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</si>
  <si>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</si>
  <si>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</si>
  <si>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</si>
  <si>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</si>
  <si>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</si>
  <si>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</si>
  <si>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</si>
  <si>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</si>
  <si>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</si>
  <si>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</si>
  <si>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</si>
  <si>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</si>
  <si>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</si>
  <si>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</si>
  <si>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</si>
  <si>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</si>
  <si>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</si>
  <si>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</si>
  <si>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</si>
  <si>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</si>
  <si>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</si>
  <si>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</si>
  <si>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</si>
  <si>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</si>
  <si>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</si>
  <si>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</si>
  <si>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</si>
  <si>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</si>
  <si>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</si>
  <si>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</si>
  <si>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</si>
  <si>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</si>
  <si>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</si>
  <si>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</si>
  <si>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</si>
  <si>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</si>
  <si>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</si>
  <si>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</si>
  <si>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</si>
  <si>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</si>
  <si>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</si>
  <si>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</si>
  <si>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</si>
  <si>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</si>
  <si>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</si>
  <si>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</si>
  <si>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</si>
  <si>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</si>
  <si>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</si>
  <si>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</si>
  <si>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</si>
  <si>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</si>
  <si>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</si>
  <si>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</si>
  <si>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</si>
  <si>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</si>
  <si>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</si>
  <si>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</si>
  <si>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</si>
  <si>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</si>
  <si>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</si>
  <si>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</si>
  <si>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</si>
  <si>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</si>
  <si>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</si>
  <si>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</si>
  <si>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</si>
  <si>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</si>
  <si>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</si>
  <si>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</si>
  <si>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</si>
  <si>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</si>
  <si>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</si>
  <si>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</si>
  <si>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</si>
  <si>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</si>
  <si>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</si>
  <si>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</si>
  <si>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</si>
  <si>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</si>
  <si>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</si>
  <si>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</si>
  <si>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</si>
  <si>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</si>
  <si>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</si>
  <si>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</si>
  <si>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</si>
  <si>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</si>
  <si>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</si>
  <si>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</si>
  <si>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</si>
  <si>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</si>
  <si>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</si>
  <si>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</si>
  <si>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</si>
  <si>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</si>
  <si>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</si>
  <si>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</si>
  <si>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</si>
  <si>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</si>
  <si>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</si>
  <si>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</si>
  <si>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</si>
  <si>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</si>
  <si>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</si>
  <si>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</si>
  <si>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</si>
  <si>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</si>
  <si>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</si>
  <si>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</si>
  <si>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</si>
  <si>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</si>
  <si>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</si>
  <si>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</si>
  <si>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</si>
  <si>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</si>
  <si>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</si>
  <si>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</si>
  <si>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</si>
  <si>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</si>
  <si>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</si>
  <si>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</si>
  <si>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</si>
  <si>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</si>
  <si>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</si>
  <si>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</si>
  <si>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</si>
  <si>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</si>
  <si>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</si>
  <si>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</si>
  <si>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</si>
  <si>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</si>
  <si>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</si>
  <si>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</si>
  <si>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</si>
  <si>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</si>
  <si>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</si>
  <si>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</si>
  <si>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</si>
  <si>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</si>
  <si>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</si>
  <si>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</si>
  <si>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</si>
  <si>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</si>
  <si>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</si>
  <si>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</si>
  <si>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</si>
  <si>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</si>
  <si>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</si>
  <si>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</si>
  <si>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</si>
  <si>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</si>
  <si>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</si>
  <si>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</si>
  <si>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</si>
  <si>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</si>
  <si>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</si>
  <si>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</si>
  <si>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</si>
  <si>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</si>
  <si>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</si>
  <si>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</si>
  <si>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</si>
  <si>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</si>
  <si>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</si>
  <si>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</si>
  <si>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</si>
  <si>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</si>
  <si>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</si>
  <si>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</si>
  <si>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</si>
  <si>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</si>
  <si>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</si>
  <si>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</si>
  <si>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</si>
  <si>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</si>
  <si>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</si>
  <si>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</si>
  <si>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</si>
  <si>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</si>
  <si>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</si>
  <si>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</si>
  <si>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</si>
  <si>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</si>
  <si>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</si>
  <si>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</si>
  <si>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</si>
  <si>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</si>
  <si>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</si>
  <si>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</si>
  <si>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</si>
  <si>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</si>
  <si>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</si>
  <si>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</si>
  <si>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</si>
  <si>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</si>
  <si>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</si>
  <si>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</si>
  <si>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</si>
  <si>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</si>
  <si>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</si>
  <si>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</si>
  <si>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</si>
  <si>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</si>
  <si>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</si>
  <si>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</si>
  <si>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</si>
  <si>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</si>
  <si>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</si>
  <si>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</si>
  <si>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</si>
  <si>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</si>
  <si>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</si>
  <si>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</si>
  <si>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</si>
  <si>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</si>
  <si>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</si>
  <si>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</si>
  <si>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</si>
  <si>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</si>
  <si>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</si>
  <si>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</si>
  <si>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</si>
  <si>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</si>
  <si>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</si>
  <si>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</si>
  <si>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</si>
  <si>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</si>
  <si>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</si>
  <si>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</si>
  <si>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</si>
  <si>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</si>
  <si>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</si>
  <si>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</si>
  <si>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</si>
  <si>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</si>
  <si>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</si>
  <si>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</si>
  <si>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</si>
  <si>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</si>
  <si>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</si>
  <si>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</si>
  <si>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</si>
  <si>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</si>
  <si>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</si>
  <si>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</si>
  <si>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</si>
  <si>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</si>
  <si>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</si>
  <si>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</si>
  <si>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</si>
  <si>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</si>
  <si>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</si>
  <si>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</si>
  <si>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</si>
  <si>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</si>
  <si>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</si>
  <si>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</si>
  <si>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</si>
  <si>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</si>
  <si>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</si>
  <si>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</si>
  <si>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</si>
  <si>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</si>
  <si>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</si>
  <si>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</si>
  <si>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</si>
  <si>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</si>
  <si>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</si>
  <si>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</si>
  <si>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</si>
  <si>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</si>
  <si>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</si>
  <si>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</si>
  <si>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</si>
  <si>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</si>
  <si>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</si>
  <si>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</si>
  <si>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</si>
  <si>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</si>
  <si>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</si>
  <si>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</si>
  <si>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</si>
  <si>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</si>
  <si>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</si>
  <si>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</si>
  <si>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</si>
  <si>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</si>
  <si>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</si>
  <si>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</si>
  <si>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</si>
  <si>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</si>
  <si>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</si>
  <si>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</si>
  <si>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</si>
  <si>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</si>
  <si>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</si>
  <si>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</si>
  <si>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</si>
  <si>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</si>
  <si>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</si>
  <si>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</si>
  <si>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</si>
  <si>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</si>
  <si>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</si>
  <si>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</si>
  <si>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</si>
  <si>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</si>
  <si>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</si>
  <si>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</si>
  <si>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</si>
  <si>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</si>
  <si>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</si>
  <si>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</si>
  <si>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</si>
  <si>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</si>
  <si>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</si>
  <si>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</si>
  <si>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</si>
  <si>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</si>
  <si>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</si>
  <si>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</si>
  <si>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</si>
  <si>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</si>
  <si>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</si>
  <si>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</si>
  <si>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</si>
  <si>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</si>
  <si>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</si>
  <si>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</si>
  <si>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</si>
  <si>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</si>
  <si>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</si>
  <si>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</si>
  <si>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</si>
  <si>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</si>
  <si>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</si>
  <si>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</si>
  <si>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</si>
  <si>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</si>
  <si>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</si>
  <si>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</si>
  <si>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</si>
  <si>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</si>
  <si>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</si>
  <si>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</si>
  <si>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</si>
  <si>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</si>
  <si>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</si>
  <si>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</si>
  <si>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</si>
  <si>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</si>
  <si>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</si>
  <si>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</si>
  <si>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</si>
  <si>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</si>
  <si>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</si>
  <si>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</si>
  <si>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</si>
  <si>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</si>
  <si>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</si>
  <si>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</si>
  <si>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</si>
  <si>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</si>
  <si>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</si>
  <si>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</si>
  <si>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</si>
  <si>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</si>
  <si>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</si>
  <si>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</si>
  <si>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</si>
  <si>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</si>
  <si>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</si>
  <si>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</si>
  <si>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</si>
  <si>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</si>
  <si>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</si>
  <si>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</si>
  <si>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</si>
  <si>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</si>
  <si>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</si>
  <si>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</si>
  <si>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</si>
  <si>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</si>
  <si>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</si>
  <si>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</si>
  <si>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</si>
  <si>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</si>
  <si>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</si>
  <si>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</si>
  <si>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</si>
  <si>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</si>
  <si>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</si>
  <si>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</si>
  <si>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</si>
  <si>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</si>
  <si>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</si>
  <si>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</si>
  <si>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</si>
  <si>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</si>
  <si>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</si>
  <si>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</si>
  <si>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</si>
  <si>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</si>
  <si>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</si>
  <si>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</si>
  <si>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</si>
  <si>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</si>
  <si>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</si>
  <si>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</si>
  <si>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</si>
  <si>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</si>
  <si>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</si>
  <si>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</si>
  <si>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</si>
  <si>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</si>
  <si>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</si>
  <si>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</si>
  <si>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</si>
  <si>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</si>
  <si>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</si>
  <si>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</si>
  <si>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</si>
  <si>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</si>
  <si>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</si>
  <si>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</si>
  <si>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</si>
  <si>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</si>
  <si>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</si>
  <si>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</si>
  <si>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</si>
  <si>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</si>
  <si>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</si>
  <si>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</si>
  <si>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</si>
  <si>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</si>
  <si>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</si>
  <si>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</si>
  <si>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</si>
  <si>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</si>
  <si>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</si>
  <si>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</si>
  <si>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</si>
  <si>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</si>
  <si>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</si>
  <si>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</si>
  <si>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</si>
  <si>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</si>
  <si>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</si>
  <si>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</si>
  <si>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</si>
  <si>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</si>
  <si>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</si>
  <si>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</si>
  <si>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</si>
  <si>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</si>
  <si>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</si>
  <si>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</si>
  <si>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 xml:space="preserve"> </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</si>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</sst>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01">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7" fontId="11" fillId="7" borderId="2" xfId="0" applyNumberFormat="1" applyFont="1" applyFill="1" applyBorder="1" applyAlignment="1">
      <alignment horizontal="center"/>
    </xf>
    <xf numFmtId="168" fontId="11" fillId="7" borderId="2" xfId="0" applyNumberFormat="1" applyFont="1" applyFill="1" applyBorder="1" applyAlignment="1">
      <alignment horizontal="center"/>
    </xf>
    <xf numFmtId="165" fontId="3" fillId="0" borderId="0" xfId="0" applyNumberFormat="1" applyFont="1" applyAlignment="1">
      <alignment horizontal="right"/>
    </xf>
    <xf numFmtId="165" fontId="4" fillId="0" borderId="0" xfId="0" applyNumberFormat="1" applyFont="1" applyAlignment="1">
      <alignment horizontal="right"/>
    </xf>
    <xf numFmtId="166" fontId="12" fillId="0" borderId="0" xfId="0" applyNumberFormat="1" applyFont="1"/>
    <xf numFmtId="169" fontId="5" fillId="0" borderId="0" xfId="0" applyNumberFormat="1" applyFont="1"/>
    <xf numFmtId="165" fontId="13" fillId="0" borderId="0" xfId="0" applyNumberFormat="1" applyFont="1"/>
    <xf numFmtId="165" fontId="14" fillId="0" borderId="0" xfId="0" applyNumberFormat="1" applyFont="1"/>
    <xf numFmtId="165" fontId="15" fillId="0" borderId="0" xfId="0" applyNumberFormat="1" applyFont="1"/>
    <xf numFmtId="165" fontId="13" fillId="0" borderId="0" xfId="0" applyNumberFormat="1" applyFont="1" applyAlignment="1">
      <alignment horizontal="right"/>
    </xf>
    <xf numFmtId="166" fontId="13" fillId="0" borderId="0" xfId="0" applyNumberFormat="1" applyFont="1"/>
    <xf numFmtId="165" fontId="13" fillId="6" borderId="2" xfId="0" applyNumberFormat="1" applyFont="1" applyFill="1" applyBorder="1" applyAlignment="1">
      <alignment horizontal="center"/>
    </xf>
    <xf numFmtId="169" fontId="13" fillId="0" borderId="0" xfId="0" applyNumberFormat="1" applyFont="1"/>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71" fontId="5" fillId="0" borderId="0" xfId="0" applyNumberFormat="1" applyFont="1" applyAlignment="1">
      <alignment horizontal="right"/>
    </xf>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8" fillId="0" borderId="0" xfId="0" applyNumberFormat="1" applyFont="1"/>
    <xf numFmtId="165" fontId="18" fillId="0" borderId="0" xfId="0" applyNumberFormat="1" applyFont="1"/>
    <xf numFmtId="169" fontId="11" fillId="0" borderId="0" xfId="0" applyNumberFormat="1" applyFont="1"/>
    <xf numFmtId="165" fontId="20" fillId="0" borderId="0" xfId="0" applyNumberFormat="1" applyFont="1"/>
    <xf numFmtId="165" fontId="0" fillId="0" borderId="0" xfId="0" applyNumberFormat="1" applyAlignment="1">
      <alignment horizontal="left" indent="1"/>
    </xf>
    <xf numFmtId="172" fontId="0" fillId="0" borderId="0" xfId="0" applyNumberFormat="1"/>
    <xf numFmtId="172" fontId="5" fillId="0" borderId="0" xfId="0" applyNumberFormat="1" applyFont="1"/>
    <xf numFmtId="172" fontId="0" fillId="0" borderId="0" xfId="0" applyNumberFormat="1" applyAlignment="1">
      <alignment horizontal="left" indent="1"/>
    </xf>
    <xf numFmtId="170" fontId="11" fillId="0" borderId="0" xfId="0" applyNumberFormat="1" applyFont="1"/>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169" fontId="20" fillId="5" borderId="3" xfId="0" applyNumberFormat="1" applyFont="1" applyFill="1" applyBorder="1"/>
    <xf numFmtId="169" fontId="11" fillId="5" borderId="3" xfId="0" applyNumberFormat="1" applyFont="1" applyFill="1" applyBorder="1"/>
    <xf numFmtId="170" fontId="20" fillId="5" borderId="5" xfId="0" applyNumberFormat="1" applyFont="1" applyFill="1" applyBorder="1"/>
    <xf numFmtId="170" fontId="11" fillId="5" borderId="5" xfId="0" applyNumberFormat="1" applyFont="1" applyFill="1" applyBorder="1"/>
    <xf numFmtId="169" fontId="0" fillId="5" borderId="3" xfId="0" applyNumberFormat="1" applyFill="1" applyBorder="1"/>
    <xf numFmtId="171" fontId="20" fillId="5" borderId="5" xfId="0" applyNumberFormat="1" applyFont="1" applyFill="1" applyBorder="1"/>
    <xf numFmtId="171" fontId="11" fillId="5" borderId="5" xfId="0" applyNumberFormat="1" applyFont="1" applyFill="1" applyBorder="1"/>
    <xf numFmtId="8" fontId="21" fillId="5" borderId="4" xfId="0" applyNumberFormat="1" applyFont="1" applyFill="1" applyBorder="1"/>
    <xf numFmtId="8" fontId="13" fillId="0" borderId="0" xfId="0" applyNumberFormat="1" applyFont="1"/>
    <xf numFmtId="173" fontId="13" fillId="0" borderId="0" xfId="0" applyNumberFormat="1" applyFont="1" applyAlignment="1">
      <alignment horizontal="left"/>
    </xf>
    <xf numFmtId="173" fontId="11" fillId="7" borderId="0" xfId="0" applyNumberFormat="1" applyFont="1" applyFill="1" applyAlignment="1">
      <alignment horizontal="right"/>
    </xf>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7" fontId="0" fillId="0" borderId="0" xfId="0" applyNumberFormat="1"/>
    <xf numFmtId="176" fontId="0" fillId="0" borderId="0" xfId="0" applyNumberFormat="1"/>
    <xf numFmtId="169" fontId="0" fillId="0" borderId="5" xfId="0" applyNumberFormat="1" applyBorder="1"/>
    <xf numFmtId="165" fontId="24" fillId="0" borderId="0" xfId="2" applyNumberFormat="1" applyFont="1"/>
    <xf numFmtId="169" fontId="20" fillId="0" borderId="0" xfId="0" applyNumberFormat="1" applyFont="1"/>
    <xf numFmtId="8" fontId="25" fillId="0" borderId="0" xfId="0" applyNumberFormat="1" applyFont="1" applyAlignment="1">
      <alignment horizontal="left"/>
    </xf>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23" fillId="8"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xf>
    <xf numFmtId="0" fontId="0" fillId="0" borderId="6" xfId="0" applyBorder="1" applyAlignment="1">
      <alignment horizontal="left" vertical="top" wrapText="1"/>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5">
    <v t="i">0</v>
    <v t="i">1</v>
    <v t="i">2</v>
    <v t="i">3</v>
    <v t="i">6</v>
  </a>
  <a r="1" c="5">
    <v>211.27</v>
    <v>209.05</v>
    <v>207.57</v>
    <v>202.38</v>
    <v>203.35</v>
  </a>
</arrayData>
</file>

<file path=xl/richData/rdrichvalue.xml><?xml version="1.0" encoding="utf-8"?>
<rvData xmlns="http://schemas.microsoft.com/office/spreadsheetml/2017/richdata" count="2">
  <rv s="0">
    <fb>203.35</fb>
    <v>0</v>
  </rv>
  <rv s="1">
    <v>1</v>
    <v>AAPL</v>
    <v>Daily</v>
    <v>45867</v>
    <v>45874</v>
    <v>0</v>
    <v>1</v>
    <v>638898624000000000,638899795919057577,0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98"/>
      <c r="B1" s="98"/>
      <c r="C1" s="98"/>
      <c r="D1" s="98"/>
    </row>
    <row r="2" spans="1:12" ht="30" customHeight="1" x14ac:dyDescent="0.3">
      <c r="A2" s="35" t="s">
        <v>1435</v>
      </c>
      <c r="B2" s="84"/>
      <c r="C2" s="84"/>
      <c r="D2" s="84"/>
      <c r="E2" s="84"/>
      <c r="F2" s="84"/>
      <c r="G2" s="84"/>
      <c r="H2" s="84"/>
      <c r="I2" s="84"/>
      <c r="J2" s="84"/>
      <c r="K2" s="84"/>
      <c r="L2" s="84"/>
    </row>
    <row r="3" spans="1:12" x14ac:dyDescent="0.25">
      <c r="A3" s="95" t="s">
        <v>1434</v>
      </c>
      <c r="B3" s="95"/>
      <c r="C3" s="95"/>
      <c r="D3" s="95"/>
      <c r="E3" s="95"/>
      <c r="F3" s="95"/>
      <c r="G3" s="95"/>
    </row>
    <row r="5" spans="1:12" x14ac:dyDescent="0.25">
      <c r="A5" s="95"/>
      <c r="B5" s="95"/>
      <c r="C5" s="95"/>
      <c r="D5" s="95"/>
      <c r="E5" s="95"/>
      <c r="F5" s="95"/>
      <c r="G5" s="95"/>
    </row>
    <row r="6" spans="1:12" x14ac:dyDescent="0.25">
      <c r="A6" s="94" t="s">
        <v>1433</v>
      </c>
      <c r="B6" s="94"/>
    </row>
    <row r="7" spans="1:12" x14ac:dyDescent="0.25">
      <c r="A7" s="96" t="s">
        <v>1432</v>
      </c>
      <c r="B7" s="96"/>
    </row>
    <row r="8" spans="1:12" x14ac:dyDescent="0.25">
      <c r="A8" s="1" t="s">
        <v>1431</v>
      </c>
      <c r="B8" s="1" t="s">
        <v>1430</v>
      </c>
      <c r="C8" s="1"/>
    </row>
    <row r="9" spans="1:12" ht="120" x14ac:dyDescent="0.25">
      <c r="A9" s="1" t="s">
        <v>1429</v>
      </c>
      <c r="B9" s="1" t="s">
        <v>1428</v>
      </c>
      <c r="C9" s="1"/>
    </row>
    <row r="10" spans="1:12" ht="30" x14ac:dyDescent="0.25">
      <c r="A10" s="1" t="s">
        <v>1427</v>
      </c>
      <c r="B10" s="1" t="s">
        <v>1426</v>
      </c>
      <c r="C10" s="1"/>
    </row>
    <row r="11" spans="1:12" x14ac:dyDescent="0.25">
      <c r="A11" s="1" t="s">
        <v>1425</v>
      </c>
      <c r="B11" s="70">
        <v>28128</v>
      </c>
      <c r="C11" s="1"/>
    </row>
    <row r="12" spans="1:12" x14ac:dyDescent="0.25">
      <c r="A12" s="1" t="s">
        <v>1424</v>
      </c>
      <c r="B12" s="70">
        <v>29567</v>
      </c>
      <c r="C12" s="1"/>
    </row>
    <row r="13" spans="1:12" x14ac:dyDescent="0.25">
      <c r="A13" s="1" t="s">
        <v>1423</v>
      </c>
      <c r="B13" s="1" t="s">
        <v>1422</v>
      </c>
      <c r="C13" s="1"/>
    </row>
    <row r="14" spans="1:12" x14ac:dyDescent="0.25">
      <c r="A14" s="1" t="s">
        <v>1421</v>
      </c>
      <c r="B14" s="1" t="s">
        <v>1420</v>
      </c>
      <c r="C14" s="1"/>
    </row>
    <row r="15" spans="1:12" ht="45" x14ac:dyDescent="0.25">
      <c r="A15" s="1" t="s">
        <v>1419</v>
      </c>
      <c r="B15" s="1" t="s">
        <v>1418</v>
      </c>
      <c r="C15" s="1"/>
    </row>
    <row r="16" spans="1:12" ht="105" x14ac:dyDescent="0.25">
      <c r="A16" s="1" t="s">
        <v>1417</v>
      </c>
      <c r="B16" s="1" t="s">
        <v>1416</v>
      </c>
      <c r="C16" s="1"/>
    </row>
    <row r="17" spans="1:3" x14ac:dyDescent="0.25">
      <c r="A17" s="97" t="s">
        <v>1415</v>
      </c>
      <c r="B17" s="97"/>
      <c r="C17" s="97"/>
    </row>
    <row r="18" spans="1:3" x14ac:dyDescent="0.25">
      <c r="A18" s="93" t="s">
        <v>1414</v>
      </c>
      <c r="B18" s="93"/>
      <c r="C18" s="93"/>
    </row>
    <row r="19" spans="1:3" x14ac:dyDescent="0.25">
      <c r="A19" s="93"/>
      <c r="B19" s="93"/>
      <c r="C19" s="93"/>
    </row>
    <row r="20" spans="1:3" x14ac:dyDescent="0.25">
      <c r="A20" s="93"/>
      <c r="B20" s="93"/>
      <c r="C20" s="93"/>
    </row>
    <row r="21" spans="1:3" x14ac:dyDescent="0.25">
      <c r="A21" s="93"/>
      <c r="B21" s="93"/>
      <c r="C21" s="93"/>
    </row>
    <row r="22" spans="1:3" x14ac:dyDescent="0.25">
      <c r="A22" s="93"/>
      <c r="B22" s="93"/>
      <c r="C22" s="93"/>
    </row>
    <row r="23" spans="1:3" x14ac:dyDescent="0.25">
      <c r="A23" s="93"/>
      <c r="B23" s="93"/>
      <c r="C23" s="93"/>
    </row>
    <row r="24" spans="1:3" x14ac:dyDescent="0.25">
      <c r="A24" s="93"/>
      <c r="B24" s="93"/>
      <c r="C24" s="93"/>
    </row>
    <row r="25" spans="1:3" x14ac:dyDescent="0.25">
      <c r="A25" s="93"/>
      <c r="B25" s="93"/>
      <c r="C25" s="93"/>
    </row>
    <row r="26" spans="1:3" x14ac:dyDescent="0.25">
      <c r="A26" s="93"/>
      <c r="B26" s="93"/>
      <c r="C26" s="93"/>
    </row>
    <row r="27" spans="1:3" x14ac:dyDescent="0.25">
      <c r="A27" s="93"/>
      <c r="B27" s="93"/>
      <c r="C27" s="93"/>
    </row>
    <row r="28" spans="1:3" x14ac:dyDescent="0.25">
      <c r="A28" s="93"/>
      <c r="B28" s="93"/>
      <c r="C28" s="93"/>
    </row>
    <row r="29" spans="1:3" x14ac:dyDescent="0.25">
      <c r="A29" s="93"/>
      <c r="B29" s="93"/>
      <c r="C29" s="93"/>
    </row>
    <row r="30" spans="1:3" x14ac:dyDescent="0.25">
      <c r="A30" s="93"/>
      <c r="B30" s="93"/>
      <c r="C30" s="93"/>
    </row>
    <row r="31" spans="1:3" x14ac:dyDescent="0.25">
      <c r="A31" s="93"/>
      <c r="B31" s="93"/>
      <c r="C31" s="93"/>
    </row>
    <row r="32" spans="1:3" x14ac:dyDescent="0.25">
      <c r="A32" s="93"/>
      <c r="B32" s="93"/>
      <c r="C32" s="93"/>
    </row>
    <row r="33" spans="1:3" x14ac:dyDescent="0.25">
      <c r="A33" s="93"/>
      <c r="B33" s="93"/>
      <c r="C33" s="93"/>
    </row>
    <row r="34" spans="1:3" x14ac:dyDescent="0.25">
      <c r="A34" s="93"/>
      <c r="B34" s="93"/>
      <c r="C34" s="93"/>
    </row>
    <row r="35" spans="1:3" x14ac:dyDescent="0.25">
      <c r="A35" s="93"/>
      <c r="B35" s="93"/>
      <c r="C35" s="93"/>
    </row>
    <row r="36" spans="1:3" x14ac:dyDescent="0.25">
      <c r="A36" s="93"/>
      <c r="B36" s="93"/>
      <c r="C36" s="93"/>
    </row>
    <row r="37" spans="1:3" x14ac:dyDescent="0.25">
      <c r="A37" s="2"/>
      <c r="B37" s="6" t="s">
        <v>1413</v>
      </c>
      <c r="C37" s="74">
        <v>45855</v>
      </c>
    </row>
    <row r="38" spans="1:3" x14ac:dyDescent="0.25">
      <c r="A38" s="96" t="s">
        <v>1412</v>
      </c>
      <c r="B38" s="96"/>
    </row>
    <row r="39" spans="1:3" ht="45" x14ac:dyDescent="0.25">
      <c r="A39" s="5" t="s">
        <v>1411</v>
      </c>
      <c r="B39" s="1" t="s">
        <v>1410</v>
      </c>
    </row>
    <row r="40" spans="1:3" x14ac:dyDescent="0.25">
      <c r="A40" s="5" t="s">
        <v>1409</v>
      </c>
      <c r="B40" s="2" t="s">
        <v>1408</v>
      </c>
    </row>
    <row r="41" spans="1:3" x14ac:dyDescent="0.25">
      <c r="A41" s="5" t="s">
        <v>1407</v>
      </c>
      <c r="B41" s="2" t="s">
        <v>1406</v>
      </c>
    </row>
    <row r="44" spans="1:3" x14ac:dyDescent="0.25">
      <c r="A44" s="96" t="s">
        <v>1405</v>
      </c>
      <c r="B44" s="96"/>
    </row>
    <row r="45" spans="1:3" x14ac:dyDescent="0.25">
      <c r="A45" s="1" t="s">
        <v>1404</v>
      </c>
      <c r="B45" s="93" t="s">
        <v>1403</v>
      </c>
      <c r="C45" s="93"/>
    </row>
    <row r="46" spans="1:3" x14ac:dyDescent="0.25">
      <c r="A46" s="1" t="s">
        <v>1402</v>
      </c>
      <c r="B46" s="93" t="s">
        <v>1401</v>
      </c>
      <c r="C46" s="93"/>
    </row>
    <row r="47" spans="1:3" x14ac:dyDescent="0.25">
      <c r="A47" s="1" t="s">
        <v>1400</v>
      </c>
      <c r="B47" s="93" t="s">
        <v>1399</v>
      </c>
      <c r="C47" s="93"/>
    </row>
    <row r="48" spans="1:3" x14ac:dyDescent="0.25">
      <c r="A48" s="1" t="s">
        <v>1398</v>
      </c>
      <c r="B48" s="93" t="s">
        <v>1397</v>
      </c>
      <c r="C48" s="93"/>
    </row>
    <row r="49" spans="1:5" x14ac:dyDescent="0.25">
      <c r="A49" s="1" t="s">
        <v>1396</v>
      </c>
      <c r="B49" s="93" t="s">
        <v>1395</v>
      </c>
      <c r="C49" s="93"/>
    </row>
    <row r="51" spans="1:5" x14ac:dyDescent="0.25">
      <c r="A51" s="96" t="s">
        <v>1394</v>
      </c>
      <c r="B51" s="96"/>
    </row>
    <row r="52" spans="1:5" x14ac:dyDescent="0.25">
      <c r="A52" s="93" t="s">
        <v>1393</v>
      </c>
      <c r="B52" s="93"/>
      <c r="C52" s="93"/>
      <c r="D52" s="93"/>
      <c r="E52" s="93"/>
    </row>
    <row r="53" spans="1:5" x14ac:dyDescent="0.25">
      <c r="A53" s="2"/>
      <c r="B53" s="93" t="s">
        <v>1392</v>
      </c>
      <c r="C53" s="93"/>
      <c r="D53" s="93"/>
      <c r="E53" s="93"/>
    </row>
    <row r="54" spans="1:5" x14ac:dyDescent="0.25">
      <c r="A54" s="2"/>
      <c r="B54" s="2"/>
      <c r="C54" s="93" t="s">
        <v>1391</v>
      </c>
      <c r="D54" s="93"/>
      <c r="E54" s="93"/>
    </row>
    <row r="55" spans="1:5" x14ac:dyDescent="0.25">
      <c r="A55" s="2"/>
      <c r="B55" s="93" t="s">
        <v>1390</v>
      </c>
      <c r="C55" s="93"/>
      <c r="D55" s="93"/>
      <c r="E55" s="93"/>
    </row>
    <row r="56" spans="1:5" x14ac:dyDescent="0.25">
      <c r="A56" s="2"/>
      <c r="B56" s="2"/>
      <c r="C56" s="93" t="s">
        <v>1389</v>
      </c>
      <c r="D56" s="93"/>
      <c r="E56" s="93"/>
    </row>
    <row r="57" spans="1:5" x14ac:dyDescent="0.25">
      <c r="A57" s="2"/>
      <c r="B57" s="2"/>
      <c r="C57" s="93" t="s">
        <v>1388</v>
      </c>
      <c r="D57" s="93"/>
      <c r="E57" s="93"/>
    </row>
    <row r="58" spans="1:5" x14ac:dyDescent="0.25">
      <c r="A58" s="2"/>
      <c r="B58" s="93" t="s">
        <v>1387</v>
      </c>
      <c r="C58" s="93"/>
      <c r="D58" s="93"/>
      <c r="E58" s="93"/>
    </row>
    <row r="59" spans="1:5" x14ac:dyDescent="0.25">
      <c r="A59" s="2"/>
      <c r="B59" s="2"/>
      <c r="C59" s="93" t="s">
        <v>1386</v>
      </c>
      <c r="D59" s="93"/>
      <c r="E59" s="93"/>
    </row>
    <row r="60" spans="1:5" x14ac:dyDescent="0.25">
      <c r="A60" s="2"/>
      <c r="B60" s="2"/>
      <c r="C60" s="2"/>
      <c r="D60" s="93" t="s">
        <v>1385</v>
      </c>
      <c r="E60" s="93"/>
    </row>
    <row r="61" spans="1:5" x14ac:dyDescent="0.25">
      <c r="A61" s="93" t="s">
        <v>1384</v>
      </c>
      <c r="B61" s="93"/>
      <c r="C61" s="93"/>
      <c r="D61" s="93"/>
      <c r="E61" s="93"/>
    </row>
    <row r="62" spans="1:5" x14ac:dyDescent="0.25">
      <c r="A62" s="2"/>
      <c r="B62" s="93" t="s">
        <v>1383</v>
      </c>
      <c r="C62" s="93"/>
      <c r="D62" s="93"/>
      <c r="E62" s="93"/>
    </row>
    <row r="63" spans="1:5" x14ac:dyDescent="0.25">
      <c r="A63" s="2"/>
      <c r="B63" s="2"/>
      <c r="C63" s="93" t="s">
        <v>1382</v>
      </c>
      <c r="D63" s="93"/>
      <c r="E63" s="93"/>
    </row>
    <row r="64" spans="1:5" x14ac:dyDescent="0.25">
      <c r="A64" s="2"/>
      <c r="B64" s="2"/>
      <c r="C64" s="2"/>
      <c r="D64" s="93" t="s">
        <v>1381</v>
      </c>
      <c r="E64" s="93"/>
    </row>
    <row r="65" spans="1:7" ht="30" x14ac:dyDescent="0.25">
      <c r="A65" s="2"/>
      <c r="B65" s="2"/>
      <c r="C65" s="2"/>
      <c r="D65" s="2"/>
      <c r="E65" s="1" t="s">
        <v>1380</v>
      </c>
    </row>
    <row r="66" spans="1:7" ht="45" x14ac:dyDescent="0.25">
      <c r="A66" s="2"/>
      <c r="B66" s="2"/>
      <c r="C66" s="2"/>
      <c r="D66" s="2"/>
      <c r="E66" s="1" t="s">
        <v>1379</v>
      </c>
    </row>
    <row r="67" spans="1:7" x14ac:dyDescent="0.25">
      <c r="A67" s="2"/>
      <c r="B67" s="93" t="s">
        <v>1378</v>
      </c>
      <c r="C67" s="93"/>
      <c r="D67" s="93"/>
      <c r="E67" s="93"/>
    </row>
    <row r="68" spans="1:7" x14ac:dyDescent="0.25">
      <c r="A68" s="2"/>
      <c r="B68" s="2"/>
      <c r="C68" s="93" t="s">
        <v>1377</v>
      </c>
      <c r="D68" s="93"/>
      <c r="E68" s="93"/>
    </row>
    <row r="69" spans="1:7" x14ac:dyDescent="0.25">
      <c r="A69" s="2"/>
      <c r="B69" s="2"/>
      <c r="C69" s="2"/>
      <c r="D69" s="93" t="s">
        <v>1376</v>
      </c>
      <c r="E69" s="93"/>
    </row>
    <row r="70" spans="1:7" x14ac:dyDescent="0.25">
      <c r="A70" s="2"/>
      <c r="B70" s="2"/>
      <c r="C70" s="2"/>
      <c r="D70" s="2"/>
      <c r="E70" s="1" t="s">
        <v>1375</v>
      </c>
    </row>
    <row r="71" spans="1:7" ht="60" x14ac:dyDescent="0.25">
      <c r="A71" s="2"/>
      <c r="B71" s="2"/>
      <c r="C71" s="2"/>
      <c r="D71" s="2"/>
      <c r="E71" s="2"/>
      <c r="F71" s="1" t="s">
        <v>1374</v>
      </c>
    </row>
    <row r="72" spans="1:7" ht="30" x14ac:dyDescent="0.25">
      <c r="A72" s="2"/>
      <c r="B72" s="2"/>
      <c r="C72" s="2"/>
      <c r="D72" s="2"/>
      <c r="E72" s="2"/>
      <c r="F72" s="2"/>
      <c r="G72" s="1" t="s">
        <v>1373</v>
      </c>
    </row>
    <row r="73" spans="1:7" ht="30" x14ac:dyDescent="0.25">
      <c r="A73" s="2"/>
      <c r="B73" s="2"/>
      <c r="C73" s="2"/>
      <c r="D73" s="2"/>
      <c r="E73" s="1" t="s">
        <v>1372</v>
      </c>
    </row>
    <row r="74" spans="1:7" x14ac:dyDescent="0.25">
      <c r="A74" s="2"/>
      <c r="B74" s="2"/>
      <c r="C74" s="93" t="s">
        <v>1371</v>
      </c>
      <c r="D74" s="93"/>
      <c r="E74" s="93"/>
    </row>
    <row r="75" spans="1:7" x14ac:dyDescent="0.25">
      <c r="A75" s="2"/>
      <c r="B75" s="2"/>
      <c r="C75" s="2"/>
      <c r="D75" s="93" t="s">
        <v>1370</v>
      </c>
      <c r="E75" s="93"/>
    </row>
    <row r="76" spans="1:7" ht="30" x14ac:dyDescent="0.25">
      <c r="A76" s="2"/>
      <c r="B76" s="2"/>
      <c r="C76" s="2"/>
      <c r="D76" s="2"/>
      <c r="E76" s="1" t="s">
        <v>1369</v>
      </c>
    </row>
    <row r="77" spans="1:7" ht="30" x14ac:dyDescent="0.25">
      <c r="A77" s="2"/>
      <c r="B77" s="2"/>
      <c r="C77" s="2"/>
      <c r="D77" s="2"/>
      <c r="E77" s="2"/>
      <c r="F77" s="1" t="s">
        <v>1368</v>
      </c>
    </row>
    <row r="78" spans="1:7" x14ac:dyDescent="0.25">
      <c r="A78" s="2"/>
      <c r="B78" s="2"/>
      <c r="C78" s="2"/>
      <c r="D78" s="2"/>
      <c r="E78" s="2"/>
      <c r="F78" s="2"/>
      <c r="G78" s="1" t="s">
        <v>1367</v>
      </c>
    </row>
    <row r="79" spans="1:7" x14ac:dyDescent="0.25">
      <c r="A79" s="93" t="s">
        <v>1366</v>
      </c>
      <c r="B79" s="93"/>
      <c r="C79" s="93"/>
      <c r="D79" s="93"/>
      <c r="E79" s="93"/>
    </row>
    <row r="80" spans="1:7" x14ac:dyDescent="0.25">
      <c r="A80" s="2"/>
      <c r="B80" s="93" t="s">
        <v>1365</v>
      </c>
      <c r="C80" s="93"/>
      <c r="D80" s="93"/>
      <c r="E80" s="93"/>
    </row>
    <row r="81" spans="1:6" x14ac:dyDescent="0.25">
      <c r="A81" s="2"/>
      <c r="B81" s="2"/>
      <c r="C81" s="93" t="s">
        <v>1364</v>
      </c>
      <c r="D81" s="93"/>
      <c r="E81" s="93"/>
    </row>
    <row r="82" spans="1:6" x14ac:dyDescent="0.25">
      <c r="A82" s="2"/>
      <c r="B82" s="2"/>
      <c r="C82" s="2"/>
      <c r="D82" s="93" t="s">
        <v>1363</v>
      </c>
      <c r="E82" s="93"/>
    </row>
    <row r="83" spans="1:6" ht="30" x14ac:dyDescent="0.25">
      <c r="A83" s="2"/>
      <c r="B83" s="2"/>
      <c r="C83" s="2"/>
      <c r="D83" s="2"/>
      <c r="E83" s="1" t="s">
        <v>1362</v>
      </c>
    </row>
    <row r="84" spans="1:6" x14ac:dyDescent="0.25">
      <c r="A84" s="2"/>
      <c r="B84" s="2"/>
      <c r="C84" s="93" t="s">
        <v>1361</v>
      </c>
      <c r="D84" s="93"/>
      <c r="E84" s="93"/>
    </row>
    <row r="85" spans="1:6" x14ac:dyDescent="0.25">
      <c r="A85" s="2"/>
      <c r="B85" s="2"/>
      <c r="C85" s="2"/>
      <c r="D85" s="97" t="s">
        <v>1360</v>
      </c>
      <c r="E85" s="97"/>
    </row>
    <row r="86" spans="1:6" ht="30" x14ac:dyDescent="0.25">
      <c r="A86" s="2"/>
      <c r="B86" s="2"/>
      <c r="C86" s="2"/>
      <c r="D86" s="2"/>
      <c r="E86" s="1" t="s">
        <v>1359</v>
      </c>
    </row>
    <row r="87" spans="1:6" x14ac:dyDescent="0.25">
      <c r="A87" s="2"/>
      <c r="B87" s="2"/>
      <c r="C87" s="2"/>
      <c r="D87" s="2"/>
      <c r="E87" s="1" t="s">
        <v>1358</v>
      </c>
    </row>
    <row r="88" spans="1:6" x14ac:dyDescent="0.25">
      <c r="A88" s="2"/>
      <c r="B88" s="2"/>
      <c r="C88" s="2"/>
      <c r="D88" s="2"/>
      <c r="E88" s="1" t="s">
        <v>1357</v>
      </c>
    </row>
    <row r="89" spans="1:6" ht="45" x14ac:dyDescent="0.25">
      <c r="A89" s="2"/>
      <c r="B89" s="2"/>
      <c r="C89" s="2"/>
      <c r="D89" s="2"/>
      <c r="E89" s="1" t="s">
        <v>1356</v>
      </c>
    </row>
    <row r="90" spans="1:6" ht="75" x14ac:dyDescent="0.25">
      <c r="A90" s="2"/>
      <c r="B90" s="2"/>
      <c r="C90" s="2"/>
      <c r="D90" s="2"/>
      <c r="E90" s="2"/>
      <c r="F90" s="1" t="s">
        <v>1355</v>
      </c>
    </row>
    <row r="91" spans="1:6" x14ac:dyDescent="0.25">
      <c r="A91" s="2"/>
      <c r="B91" s="2"/>
      <c r="C91" s="2"/>
      <c r="D91" s="93" t="s">
        <v>1354</v>
      </c>
      <c r="E91" s="93"/>
    </row>
    <row r="92" spans="1:6" x14ac:dyDescent="0.25">
      <c r="A92" s="2"/>
      <c r="B92" s="93" t="s">
        <v>1353</v>
      </c>
      <c r="C92" s="93"/>
      <c r="D92" s="93"/>
      <c r="E92" s="93"/>
    </row>
    <row r="93" spans="1:6" x14ac:dyDescent="0.25">
      <c r="A93" s="2"/>
      <c r="B93" s="2"/>
      <c r="C93" s="93" t="s">
        <v>1352</v>
      </c>
      <c r="D93" s="93"/>
      <c r="E93" s="93"/>
    </row>
    <row r="94" spans="1:6" x14ac:dyDescent="0.25">
      <c r="A94" s="2"/>
      <c r="B94" s="2"/>
      <c r="C94" s="2"/>
      <c r="D94" s="93" t="s">
        <v>1351</v>
      </c>
      <c r="E94" s="93"/>
    </row>
    <row r="96" spans="1:6" x14ac:dyDescent="0.25">
      <c r="A96" s="94" t="s">
        <v>1350</v>
      </c>
      <c r="B96" s="94"/>
      <c r="C96" s="94"/>
      <c r="D96" s="94"/>
      <c r="E96" s="94"/>
    </row>
    <row r="97" spans="1:5" x14ac:dyDescent="0.25">
      <c r="A97" s="96" t="s">
        <v>1327</v>
      </c>
      <c r="B97" s="96"/>
      <c r="C97" s="95" t="s">
        <v>1349</v>
      </c>
      <c r="D97" s="95"/>
    </row>
    <row r="98" spans="1:5" x14ac:dyDescent="0.25">
      <c r="A98" s="97" t="s">
        <v>1348</v>
      </c>
      <c r="B98" s="97"/>
      <c r="C98" s="80">
        <v>203.125</v>
      </c>
      <c r="D98" s="5" t="s">
        <v>1347</v>
      </c>
      <c r="E98" s="81">
        <v>54668851</v>
      </c>
    </row>
    <row r="99" spans="1:5" x14ac:dyDescent="0.25">
      <c r="A99" s="97" t="s">
        <v>1346</v>
      </c>
      <c r="B99" s="97"/>
      <c r="C99" s="80">
        <v>204.62899999999999</v>
      </c>
      <c r="D99" s="5" t="s">
        <v>1345</v>
      </c>
      <c r="E99" s="81">
        <v>54385286</v>
      </c>
    </row>
    <row r="100" spans="1:5" x14ac:dyDescent="0.25">
      <c r="A100" s="96" t="s">
        <v>1344</v>
      </c>
      <c r="B100" s="96"/>
      <c r="C100" s="80">
        <v>204.505</v>
      </c>
      <c r="D100" s="5" t="s">
        <v>1343</v>
      </c>
      <c r="E100" s="81">
        <v>14840390000</v>
      </c>
    </row>
    <row r="101" spans="1:5" x14ac:dyDescent="0.25">
      <c r="A101" s="96" t="s">
        <v>1342</v>
      </c>
      <c r="B101" s="96"/>
      <c r="C101" s="80">
        <v>202.38</v>
      </c>
      <c r="D101" s="5"/>
      <c r="E101" s="83">
        <v>45870</v>
      </c>
    </row>
    <row r="102" spans="1:5" x14ac:dyDescent="0.25">
      <c r="A102" s="97" t="s">
        <v>1341</v>
      </c>
      <c r="B102" s="97"/>
      <c r="C102" s="80">
        <v>207.88</v>
      </c>
      <c r="D102" s="5" t="s">
        <v>1340</v>
      </c>
      <c r="E102" s="80">
        <v>201.67500000000001</v>
      </c>
    </row>
    <row r="103" spans="1:5" x14ac:dyDescent="0.25">
      <c r="A103" s="97" t="s">
        <v>1339</v>
      </c>
      <c r="B103" s="97"/>
      <c r="C103" s="80">
        <v>260.10000000000002</v>
      </c>
      <c r="D103" s="5" t="s">
        <v>1338</v>
      </c>
      <c r="E103" s="80">
        <v>169.21</v>
      </c>
    </row>
    <row r="104" spans="1:5" x14ac:dyDescent="0.25">
      <c r="A104" s="97" t="s">
        <v>1337</v>
      </c>
      <c r="B104" s="97"/>
      <c r="C104" s="80">
        <v>1.23</v>
      </c>
      <c r="D104" s="5" t="s">
        <v>1336</v>
      </c>
      <c r="E104" s="80">
        <v>99.83</v>
      </c>
    </row>
    <row r="105" spans="1:5" x14ac:dyDescent="0.25">
      <c r="A105" s="97" t="s">
        <v>1335</v>
      </c>
      <c r="B105" s="97"/>
      <c r="C105" s="82">
        <v>3013047.3</v>
      </c>
      <c r="D105" s="5" t="s">
        <v>1334</v>
      </c>
      <c r="E105" s="80">
        <v>62.04</v>
      </c>
    </row>
    <row r="106" spans="1:5" x14ac:dyDescent="0.25">
      <c r="A106" s="97" t="s">
        <v>1333</v>
      </c>
      <c r="B106" s="97"/>
      <c r="C106" s="82">
        <v>2981759.3</v>
      </c>
      <c r="D106" s="5" t="s">
        <v>1332</v>
      </c>
      <c r="E106" s="81">
        <v>93946599</v>
      </c>
    </row>
    <row r="107" spans="1:5" x14ac:dyDescent="0.25">
      <c r="A107" s="97"/>
      <c r="B107" s="97"/>
      <c r="C107" s="97"/>
      <c r="D107" s="5" t="s">
        <v>1331</v>
      </c>
      <c r="E107" s="80">
        <v>0.63235079043681397</v>
      </c>
    </row>
    <row r="108" spans="1:5" x14ac:dyDescent="0.25">
      <c r="A108" s="97"/>
      <c r="B108" s="97"/>
      <c r="C108" s="97"/>
      <c r="D108" s="5" t="s">
        <v>1330</v>
      </c>
      <c r="E108" s="80">
        <v>0.51</v>
      </c>
    </row>
    <row r="110" spans="1:5" x14ac:dyDescent="0.25">
      <c r="A110" s="94" t="s">
        <v>1329</v>
      </c>
      <c r="B110" s="94"/>
      <c r="C110" s="94"/>
      <c r="D110" s="94"/>
      <c r="E110" s="94"/>
    </row>
    <row r="111" spans="1:5" x14ac:dyDescent="0.25">
      <c r="A111" s="95"/>
      <c r="B111" s="95"/>
    </row>
    <row r="112" spans="1:5" x14ac:dyDescent="0.25">
      <c r="A112" s="2"/>
    </row>
    <row r="113" spans="1:2" x14ac:dyDescent="0.25">
      <c r="A113" s="95"/>
      <c r="B113" s="95"/>
    </row>
    <row r="114" spans="1:2" x14ac:dyDescent="0.25">
      <c r="A114" s="95"/>
      <c r="B114" s="95"/>
    </row>
    <row r="115" spans="1:2" x14ac:dyDescent="0.25">
      <c r="A115" s="95"/>
      <c r="B115" s="95"/>
    </row>
    <row r="116" spans="1:2" x14ac:dyDescent="0.25">
      <c r="A116" s="95"/>
      <c r="B116" s="95"/>
    </row>
    <row r="117" spans="1:2" x14ac:dyDescent="0.25">
      <c r="A117" s="95"/>
      <c r="B117" s="95"/>
    </row>
    <row r="118" spans="1:2" x14ac:dyDescent="0.25">
      <c r="A118" s="95"/>
      <c r="B118" s="95"/>
    </row>
    <row r="119" spans="1:2" x14ac:dyDescent="0.25">
      <c r="A119" s="95"/>
      <c r="B119" s="95"/>
    </row>
    <row r="120" spans="1:2" x14ac:dyDescent="0.25">
      <c r="A120" s="95"/>
      <c r="B120" s="95"/>
    </row>
    <row r="121" spans="1:2" x14ac:dyDescent="0.25">
      <c r="A121" s="95"/>
      <c r="B121" s="95"/>
    </row>
    <row r="122" spans="1:2" x14ac:dyDescent="0.25">
      <c r="A122" s="95"/>
      <c r="B122" s="95"/>
    </row>
    <row r="123" spans="1:2" x14ac:dyDescent="0.25">
      <c r="A123" s="95"/>
      <c r="B123" s="95"/>
    </row>
    <row r="124" spans="1:2" x14ac:dyDescent="0.25">
      <c r="A124" s="95"/>
      <c r="B124" s="95"/>
    </row>
    <row r="125" spans="1:2" x14ac:dyDescent="0.25">
      <c r="A125" s="95"/>
      <c r="B125" s="95"/>
    </row>
    <row r="126" spans="1:2" x14ac:dyDescent="0.25">
      <c r="A126" s="95"/>
      <c r="B126" s="95"/>
    </row>
    <row r="127" spans="1:2" x14ac:dyDescent="0.25">
      <c r="A127" s="95"/>
      <c r="B127" s="95"/>
    </row>
    <row r="128" spans="1:2" x14ac:dyDescent="0.25">
      <c r="A128" s="95"/>
      <c r="B128" s="95"/>
    </row>
    <row r="129" spans="1:2" x14ac:dyDescent="0.25">
      <c r="A129" s="95"/>
      <c r="B129" s="95"/>
    </row>
    <row r="130" spans="1:2" x14ac:dyDescent="0.25">
      <c r="A130" s="95"/>
      <c r="B130" s="95"/>
    </row>
    <row r="131" spans="1:2" x14ac:dyDescent="0.25">
      <c r="A131" s="95"/>
      <c r="B131" s="95"/>
    </row>
    <row r="132" spans="1:2" x14ac:dyDescent="0.25">
      <c r="A132" s="95"/>
      <c r="B132" s="95"/>
    </row>
    <row r="133" spans="1:2" x14ac:dyDescent="0.25">
      <c r="A133" s="95"/>
      <c r="B133" s="95"/>
    </row>
    <row r="134" spans="1:2" x14ac:dyDescent="0.25">
      <c r="A134" s="95"/>
      <c r="B134" s="95"/>
    </row>
    <row r="135" spans="1:2" x14ac:dyDescent="0.25">
      <c r="A135" s="95"/>
      <c r="B135" s="95"/>
    </row>
    <row r="136" spans="1:2" x14ac:dyDescent="0.25">
      <c r="A136" s="95"/>
      <c r="B136" s="95"/>
    </row>
    <row r="137" spans="1:2" x14ac:dyDescent="0.25">
      <c r="A137" s="95"/>
      <c r="B137" s="95"/>
    </row>
    <row r="138" spans="1:2" x14ac:dyDescent="0.25">
      <c r="A138" s="95"/>
      <c r="B138" s="95"/>
    </row>
    <row r="139" spans="1:2" x14ac:dyDescent="0.25">
      <c r="A139" s="95"/>
      <c r="B139" s="95"/>
    </row>
    <row r="140" spans="1:2" x14ac:dyDescent="0.25">
      <c r="A140" s="95"/>
      <c r="B140" s="95"/>
    </row>
    <row r="141" spans="1:2" x14ac:dyDescent="0.25">
      <c r="A141" s="95"/>
      <c r="B141" s="95"/>
    </row>
    <row r="142" spans="1:2" x14ac:dyDescent="0.25">
      <c r="A142" s="95"/>
      <c r="B142" s="95"/>
    </row>
    <row r="143" spans="1:2" x14ac:dyDescent="0.25">
      <c r="A143" s="94" t="s">
        <v>1328</v>
      </c>
      <c r="B143" s="94"/>
    </row>
    <row r="144" spans="1:2" x14ac:dyDescent="0.25">
      <c r="A144" s="96" t="s">
        <v>1318</v>
      </c>
      <c r="B144" s="96"/>
    </row>
    <row r="145" spans="1:5" x14ac:dyDescent="0.25">
      <c r="A145" s="72"/>
      <c r="B145" s="71" t="s">
        <v>1327</v>
      </c>
    </row>
    <row r="146" spans="1:5" x14ac:dyDescent="0.25">
      <c r="A146" s="1" t="s">
        <v>1326</v>
      </c>
      <c r="B146" s="75">
        <v>30.89</v>
      </c>
    </row>
    <row r="147" spans="1:5" x14ac:dyDescent="0.25">
      <c r="A147" s="1" t="s">
        <v>1325</v>
      </c>
      <c r="B147" s="75">
        <v>26.35</v>
      </c>
    </row>
    <row r="148" spans="1:5" x14ac:dyDescent="0.25">
      <c r="A148" s="1" t="s">
        <v>1324</v>
      </c>
      <c r="B148" s="75">
        <v>45.82</v>
      </c>
    </row>
    <row r="149" spans="1:5" x14ac:dyDescent="0.25">
      <c r="A149" s="1" t="s">
        <v>1323</v>
      </c>
      <c r="B149" s="75">
        <v>45.82</v>
      </c>
    </row>
    <row r="150" spans="1:5" x14ac:dyDescent="0.25">
      <c r="A150" s="1" t="s">
        <v>1322</v>
      </c>
      <c r="B150" s="75">
        <v>7.3</v>
      </c>
    </row>
    <row r="151" spans="1:5" x14ac:dyDescent="0.25">
      <c r="A151" s="1" t="s">
        <v>1321</v>
      </c>
      <c r="B151" s="75">
        <v>18.93</v>
      </c>
    </row>
    <row r="152" spans="1:5" x14ac:dyDescent="0.25">
      <c r="A152" s="1" t="s">
        <v>1320</v>
      </c>
      <c r="B152" s="75">
        <v>0.65</v>
      </c>
    </row>
    <row r="154" spans="1:5" x14ac:dyDescent="0.25">
      <c r="A154" s="94" t="s">
        <v>1319</v>
      </c>
      <c r="B154" s="94"/>
      <c r="C154" s="94"/>
      <c r="D154" s="94"/>
      <c r="E154" s="94"/>
    </row>
    <row r="155" spans="1:5" x14ac:dyDescent="0.25">
      <c r="A155" s="96" t="s">
        <v>1318</v>
      </c>
      <c r="B155" s="96"/>
      <c r="C155" s="96"/>
      <c r="D155" s="96"/>
      <c r="E155" s="96"/>
    </row>
    <row r="156" spans="1:5" x14ac:dyDescent="0.25">
      <c r="A156" s="1" t="s">
        <v>1317</v>
      </c>
      <c r="B156" s="79">
        <v>45472</v>
      </c>
      <c r="C156" s="79">
        <v>45836</v>
      </c>
    </row>
    <row r="157" spans="1:5" x14ac:dyDescent="0.25">
      <c r="A157" s="1" t="s">
        <v>1316</v>
      </c>
      <c r="B157" s="78">
        <v>385603000</v>
      </c>
      <c r="C157" s="78">
        <v>408625000</v>
      </c>
    </row>
    <row r="158" spans="1:5" x14ac:dyDescent="0.25">
      <c r="A158" s="1" t="s">
        <v>1315</v>
      </c>
      <c r="B158" s="78">
        <v>131781000</v>
      </c>
      <c r="C158" s="78">
        <v>141696000</v>
      </c>
    </row>
    <row r="159" spans="1:5" x14ac:dyDescent="0.25">
      <c r="A159" s="1" t="s">
        <v>1314</v>
      </c>
      <c r="B159" s="78">
        <v>120594000</v>
      </c>
      <c r="C159" s="78">
        <v>130214000</v>
      </c>
      <c r="E159" s="86"/>
    </row>
    <row r="160" spans="1:5" x14ac:dyDescent="0.25">
      <c r="A160" s="1" t="s">
        <v>1313</v>
      </c>
      <c r="B160" s="78">
        <v>101956000</v>
      </c>
      <c r="C160" s="78">
        <v>99280000</v>
      </c>
    </row>
    <row r="161" spans="1:5" x14ac:dyDescent="0.25">
      <c r="A161" s="1" t="s">
        <v>1312</v>
      </c>
      <c r="B161" s="77">
        <v>-8702000</v>
      </c>
      <c r="C161" s="77">
        <v>-12381000</v>
      </c>
    </row>
    <row r="162" spans="1:5" x14ac:dyDescent="0.25">
      <c r="A162" s="1" t="s">
        <v>1311</v>
      </c>
      <c r="B162" s="78">
        <v>331612000</v>
      </c>
      <c r="C162" s="78">
        <v>331495000</v>
      </c>
    </row>
    <row r="163" spans="1:5" x14ac:dyDescent="0.25">
      <c r="A163" s="1" t="s">
        <v>1310</v>
      </c>
      <c r="B163" s="78">
        <v>264904000</v>
      </c>
      <c r="C163" s="78">
        <v>265665000</v>
      </c>
    </row>
    <row r="164" spans="1:5" x14ac:dyDescent="0.25">
      <c r="A164" s="1" t="s">
        <v>1309</v>
      </c>
      <c r="B164" s="78">
        <v>66708000</v>
      </c>
      <c r="C164" s="78">
        <v>65830000</v>
      </c>
      <c r="E164" s="86"/>
    </row>
    <row r="165" spans="1:5" x14ac:dyDescent="0.25">
      <c r="A165" s="1" t="s">
        <v>1308</v>
      </c>
      <c r="B165" s="78">
        <v>61801000</v>
      </c>
      <c r="C165" s="78">
        <v>55372000</v>
      </c>
    </row>
    <row r="166" spans="1:5" x14ac:dyDescent="0.25">
      <c r="A166" s="1" t="s">
        <v>1307</v>
      </c>
      <c r="B166" s="77">
        <v>-51737000</v>
      </c>
      <c r="C166" s="77">
        <v>-31288000</v>
      </c>
    </row>
    <row r="167" spans="1:5" x14ac:dyDescent="0.25">
      <c r="A167" s="1" t="s">
        <v>1306</v>
      </c>
      <c r="B167" s="75">
        <v>4.38</v>
      </c>
      <c r="C167" s="75">
        <v>4.43</v>
      </c>
    </row>
    <row r="168" spans="1:5" x14ac:dyDescent="0.25">
      <c r="A168" s="1" t="s">
        <v>1305</v>
      </c>
      <c r="B168" s="75">
        <v>22.61</v>
      </c>
      <c r="C168" s="75">
        <v>24.55</v>
      </c>
    </row>
    <row r="169" spans="1:5" x14ac:dyDescent="0.25">
      <c r="A169" s="1" t="s">
        <v>1304</v>
      </c>
      <c r="B169" s="75">
        <v>160.58000000000001</v>
      </c>
      <c r="C169" s="75">
        <v>149.81</v>
      </c>
    </row>
    <row r="170" spans="1:5" x14ac:dyDescent="0.25">
      <c r="A170" s="94" t="s">
        <v>1303</v>
      </c>
      <c r="B170" s="94"/>
    </row>
    <row r="171" spans="1:5" x14ac:dyDescent="0.25">
      <c r="A171" s="96" t="s">
        <v>1302</v>
      </c>
      <c r="B171" s="96"/>
    </row>
    <row r="172" spans="1:5" x14ac:dyDescent="0.25">
      <c r="A172" s="1" t="s">
        <v>1301</v>
      </c>
      <c r="B172" s="6" t="s">
        <v>1300</v>
      </c>
    </row>
    <row r="173" spans="1:5" x14ac:dyDescent="0.25">
      <c r="A173" s="1" t="s">
        <v>1299</v>
      </c>
      <c r="B173" s="6" t="s">
        <v>1298</v>
      </c>
    </row>
    <row r="174" spans="1:5" x14ac:dyDescent="0.25">
      <c r="A174" s="1" t="s">
        <v>1297</v>
      </c>
      <c r="B174" s="6" t="s">
        <v>1296</v>
      </c>
    </row>
    <row r="175" spans="1:5" x14ac:dyDescent="0.25">
      <c r="A175" s="1" t="s">
        <v>1295</v>
      </c>
      <c r="B175" s="6" t="s">
        <v>1294</v>
      </c>
    </row>
    <row r="176" spans="1:5" x14ac:dyDescent="0.25">
      <c r="A176" s="1" t="s">
        <v>1293</v>
      </c>
      <c r="B176" s="6" t="s">
        <v>1292</v>
      </c>
    </row>
    <row r="177" spans="1:7" x14ac:dyDescent="0.25">
      <c r="A177" s="1" t="s">
        <v>1291</v>
      </c>
      <c r="B177" s="6" t="s">
        <v>1290</v>
      </c>
    </row>
    <row r="178" spans="1:7" x14ac:dyDescent="0.25">
      <c r="A178" s="1" t="s">
        <v>1289</v>
      </c>
      <c r="B178" s="6" t="s">
        <v>1288</v>
      </c>
    </row>
    <row r="179" spans="1:7" x14ac:dyDescent="0.25">
      <c r="A179" s="1" t="s">
        <v>1287</v>
      </c>
      <c r="B179" s="6" t="s">
        <v>1286</v>
      </c>
    </row>
    <row r="180" spans="1:7" x14ac:dyDescent="0.25">
      <c r="A180" s="1" t="s">
        <v>1285</v>
      </c>
      <c r="B180" s="6" t="s">
        <v>1284</v>
      </c>
    </row>
    <row r="181" spans="1:7" x14ac:dyDescent="0.25">
      <c r="A181" s="1" t="s">
        <v>1283</v>
      </c>
      <c r="B181" s="6" t="s">
        <v>1282</v>
      </c>
    </row>
    <row r="182" spans="1:7" x14ac:dyDescent="0.25">
      <c r="A182" s="1" t="s">
        <v>1281</v>
      </c>
      <c r="B182" s="6" t="s">
        <v>1280</v>
      </c>
    </row>
    <row r="183" spans="1:7" x14ac:dyDescent="0.25">
      <c r="A183" s="1" t="s">
        <v>1279</v>
      </c>
      <c r="B183" s="6" t="s">
        <v>1278</v>
      </c>
    </row>
    <row r="184" spans="1:7" x14ac:dyDescent="0.25">
      <c r="A184" s="1" t="s">
        <v>1277</v>
      </c>
      <c r="B184" s="6" t="s">
        <v>1276</v>
      </c>
    </row>
    <row r="185" spans="1:7" x14ac:dyDescent="0.25">
      <c r="A185" s="1" t="s">
        <v>1275</v>
      </c>
      <c r="B185" s="6" t="s">
        <v>1274</v>
      </c>
    </row>
    <row r="186" spans="1:7" x14ac:dyDescent="0.25">
      <c r="A186" s="96" t="s">
        <v>1273</v>
      </c>
      <c r="B186" s="96"/>
    </row>
    <row r="187" spans="1:7" ht="30" x14ac:dyDescent="0.25">
      <c r="A187" s="1" t="s">
        <v>1272</v>
      </c>
      <c r="B187" s="1" t="s">
        <v>1271</v>
      </c>
      <c r="C187" s="6" t="s">
        <v>1270</v>
      </c>
    </row>
    <row r="188" spans="1:7" ht="45" x14ac:dyDescent="0.25">
      <c r="A188" s="1" t="s">
        <v>1269</v>
      </c>
      <c r="B188" s="1" t="s">
        <v>1268</v>
      </c>
      <c r="C188" s="6" t="s">
        <v>1267</v>
      </c>
    </row>
    <row r="189" spans="1:7" ht="45" x14ac:dyDescent="0.25">
      <c r="A189" s="1" t="s">
        <v>1266</v>
      </c>
      <c r="B189" s="1" t="s">
        <v>1265</v>
      </c>
      <c r="C189" s="6" t="s">
        <v>1264</v>
      </c>
    </row>
    <row r="190" spans="1:7" x14ac:dyDescent="0.25">
      <c r="A190" s="1" t="s">
        <v>1263</v>
      </c>
      <c r="B190" s="1" t="s">
        <v>1262</v>
      </c>
      <c r="C190" s="6" t="s">
        <v>1261</v>
      </c>
    </row>
    <row r="191" spans="1:7" x14ac:dyDescent="0.25">
      <c r="A191" s="94" t="s">
        <v>1260</v>
      </c>
      <c r="B191" s="94"/>
      <c r="C191" s="94"/>
      <c r="D191" s="94"/>
    </row>
    <row r="192" spans="1:7" x14ac:dyDescent="0.25">
      <c r="A192" s="95"/>
      <c r="B192" s="95"/>
      <c r="C192" s="95"/>
      <c r="D192" s="95"/>
      <c r="E192" s="95"/>
      <c r="F192" s="95"/>
      <c r="G192" s="95"/>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95"/>
      <c r="B203" s="95"/>
      <c r="C203" s="95"/>
      <c r="D203" s="95"/>
      <c r="E203" s="95"/>
      <c r="F203" s="95"/>
      <c r="G203" s="95"/>
    </row>
    <row r="204" spans="1:7" x14ac:dyDescent="0.25">
      <c r="A204" s="73" t="s">
        <v>1259</v>
      </c>
      <c r="B204" s="76" t="s">
        <v>1258</v>
      </c>
    </row>
    <row r="205" spans="1:7" x14ac:dyDescent="0.25">
      <c r="A205" s="72"/>
      <c r="B205" s="71"/>
    </row>
    <row r="206" spans="1:7" x14ac:dyDescent="0.25">
      <c r="A206" s="1" t="s">
        <v>1257</v>
      </c>
      <c r="B206" s="75">
        <v>27.42</v>
      </c>
    </row>
    <row r="207" spans="1:7" x14ac:dyDescent="0.25">
      <c r="A207" s="1" t="s">
        <v>1256</v>
      </c>
      <c r="B207" s="75">
        <v>47.98</v>
      </c>
    </row>
    <row r="208" spans="1:7" x14ac:dyDescent="0.25">
      <c r="A208" s="1" t="s">
        <v>1255</v>
      </c>
      <c r="B208" s="75">
        <v>24.71</v>
      </c>
    </row>
    <row r="209" spans="1:7" x14ac:dyDescent="0.25">
      <c r="A209" s="1" t="s">
        <v>1254</v>
      </c>
      <c r="B209" s="75">
        <v>2.66</v>
      </c>
    </row>
    <row r="210" spans="1:7" x14ac:dyDescent="0.25">
      <c r="A210" s="1" t="s">
        <v>1253</v>
      </c>
      <c r="B210" s="75">
        <v>22.52</v>
      </c>
    </row>
    <row r="211" spans="1:7" x14ac:dyDescent="0.25">
      <c r="A211" s="95"/>
      <c r="B211" s="95"/>
    </row>
    <row r="212" spans="1:7" x14ac:dyDescent="0.25">
      <c r="A212" s="95"/>
      <c r="B212" s="95"/>
      <c r="C212" s="95"/>
      <c r="D212" s="95"/>
      <c r="E212" s="95"/>
      <c r="F212" s="95"/>
      <c r="G212" s="95"/>
    </row>
    <row r="213" spans="1:7" ht="30" x14ac:dyDescent="0.25">
      <c r="A213" s="72"/>
      <c r="B213" s="71" t="s">
        <v>1252</v>
      </c>
      <c r="C213" s="71" t="s">
        <v>1251</v>
      </c>
      <c r="D213" s="71" t="s">
        <v>1250</v>
      </c>
      <c r="E213" s="71" t="s">
        <v>1249</v>
      </c>
      <c r="F213" s="71" t="s">
        <v>1248</v>
      </c>
    </row>
    <row r="214" spans="1:7" x14ac:dyDescent="0.25">
      <c r="A214" s="1" t="s">
        <v>1247</v>
      </c>
      <c r="B214" s="75">
        <v>1.76</v>
      </c>
      <c r="C214" s="75">
        <v>2.4700000000000002</v>
      </c>
      <c r="D214" s="75">
        <v>7.38</v>
      </c>
      <c r="E214" s="75">
        <v>7.95</v>
      </c>
      <c r="F214" s="75">
        <v>7.68</v>
      </c>
    </row>
    <row r="215" spans="1:7" x14ac:dyDescent="0.25">
      <c r="A215" s="1" t="s">
        <v>1246</v>
      </c>
      <c r="B215" s="75">
        <v>101318580.95</v>
      </c>
      <c r="C215" s="75">
        <v>129563507.97</v>
      </c>
      <c r="D215" s="75">
        <v>414933326.16000003</v>
      </c>
      <c r="E215" s="75">
        <v>435152273.11000001</v>
      </c>
      <c r="F215" s="75">
        <v>427859253.30000001</v>
      </c>
    </row>
    <row r="216" spans="1:7" x14ac:dyDescent="0.25">
      <c r="A216" s="1" t="s">
        <v>1245</v>
      </c>
      <c r="B216" s="75">
        <v>34298823.780000001</v>
      </c>
      <c r="C216" s="75">
        <v>44552702.350000001</v>
      </c>
      <c r="D216" s="75">
        <v>143832417.44</v>
      </c>
      <c r="E216" s="75">
        <v>149548886.25999999</v>
      </c>
      <c r="F216" s="75">
        <v>144361179.09999999</v>
      </c>
    </row>
    <row r="217" spans="1:7" x14ac:dyDescent="0.25">
      <c r="A217" s="95"/>
      <c r="B217" s="95"/>
      <c r="C217" s="95"/>
      <c r="D217" s="95"/>
      <c r="E217" s="95"/>
      <c r="F217" s="95"/>
    </row>
    <row r="218" spans="1:7" x14ac:dyDescent="0.25">
      <c r="A218" s="94" t="s">
        <v>1244</v>
      </c>
      <c r="B218" s="94"/>
      <c r="C218" s="94"/>
      <c r="D218" s="94"/>
    </row>
    <row r="219" spans="1:7" x14ac:dyDescent="0.25">
      <c r="A219" s="72" t="s">
        <v>1243</v>
      </c>
      <c r="B219" s="72" t="s">
        <v>1242</v>
      </c>
      <c r="C219" s="72" t="s">
        <v>1241</v>
      </c>
      <c r="D219" s="72" t="s">
        <v>1240</v>
      </c>
    </row>
    <row r="220" spans="1:7" ht="75" x14ac:dyDescent="0.25">
      <c r="A220" s="1" t="s">
        <v>1230</v>
      </c>
      <c r="B220" s="1" t="s">
        <v>1237</v>
      </c>
      <c r="C220" s="1" t="s">
        <v>1239</v>
      </c>
      <c r="D220" s="1" t="s">
        <v>1238</v>
      </c>
    </row>
    <row r="221" spans="1:7" ht="90" x14ac:dyDescent="0.25">
      <c r="A221" s="1" t="s">
        <v>1230</v>
      </c>
      <c r="B221" s="1" t="s">
        <v>1237</v>
      </c>
      <c r="C221" s="1" t="s">
        <v>1236</v>
      </c>
      <c r="D221" s="1" t="s">
        <v>1235</v>
      </c>
    </row>
    <row r="222" spans="1:7" ht="75" x14ac:dyDescent="0.25">
      <c r="A222" s="1" t="s">
        <v>1230</v>
      </c>
      <c r="B222" s="1" t="s">
        <v>1229</v>
      </c>
      <c r="C222" s="1" t="s">
        <v>1234</v>
      </c>
      <c r="D222" s="1" t="s">
        <v>1233</v>
      </c>
    </row>
    <row r="223" spans="1:7" ht="90" x14ac:dyDescent="0.25">
      <c r="A223" s="1" t="s">
        <v>1230</v>
      </c>
      <c r="B223" s="1" t="s">
        <v>1229</v>
      </c>
      <c r="C223" s="1" t="s">
        <v>1232</v>
      </c>
      <c r="D223" s="1" t="s">
        <v>1231</v>
      </c>
    </row>
    <row r="224" spans="1:7" ht="75" x14ac:dyDescent="0.25">
      <c r="A224" s="1" t="s">
        <v>1230</v>
      </c>
      <c r="B224" s="1" t="s">
        <v>1229</v>
      </c>
      <c r="C224" s="1" t="s">
        <v>1228</v>
      </c>
      <c r="D224" s="1" t="s">
        <v>1227</v>
      </c>
    </row>
    <row r="225" spans="1:7" x14ac:dyDescent="0.25">
      <c r="A225" s="94" t="s">
        <v>1226</v>
      </c>
      <c r="B225" s="94"/>
      <c r="C225" s="94"/>
      <c r="D225" s="94"/>
      <c r="E225" s="94"/>
      <c r="F225" s="94"/>
      <c r="G225" s="94"/>
    </row>
    <row r="226" spans="1:7" ht="90" x14ac:dyDescent="0.25">
      <c r="A226" s="72" t="s">
        <v>1225</v>
      </c>
      <c r="B226" s="72" t="s">
        <v>1224</v>
      </c>
      <c r="C226" s="72" t="s">
        <v>1223</v>
      </c>
      <c r="D226" s="72" t="s">
        <v>1222</v>
      </c>
      <c r="E226" s="72" t="s">
        <v>1221</v>
      </c>
      <c r="F226" s="72" t="s">
        <v>1220</v>
      </c>
      <c r="G226" s="72" t="s">
        <v>1219</v>
      </c>
    </row>
    <row r="227" spans="1:7" ht="30" x14ac:dyDescent="0.25">
      <c r="A227" s="1" t="s">
        <v>1218</v>
      </c>
      <c r="B227" s="1" t="s">
        <v>1217</v>
      </c>
      <c r="C227" s="1" t="s">
        <v>1216</v>
      </c>
      <c r="D227" s="70">
        <v>41387</v>
      </c>
      <c r="E227" s="70">
        <v>45796</v>
      </c>
      <c r="F227" s="1" t="s">
        <v>1215</v>
      </c>
      <c r="G227" s="70">
        <v>41387</v>
      </c>
    </row>
    <row r="228" spans="1:7" x14ac:dyDescent="0.25">
      <c r="A228" s="93" t="s">
        <v>1214</v>
      </c>
      <c r="B228" s="93"/>
      <c r="C228" s="93"/>
      <c r="D228" s="93"/>
      <c r="E228" s="93"/>
      <c r="F228" s="93"/>
      <c r="G228" s="93"/>
    </row>
    <row r="229" spans="1:7" x14ac:dyDescent="0.25">
      <c r="A229" s="94" t="s">
        <v>1213</v>
      </c>
      <c r="B229" s="94"/>
      <c r="C229" s="94"/>
      <c r="D229" s="94"/>
    </row>
    <row r="230" spans="1:7" x14ac:dyDescent="0.25">
      <c r="A230" s="72"/>
      <c r="B230" s="72"/>
      <c r="C230" s="72"/>
      <c r="D230" s="72"/>
    </row>
    <row r="231" spans="1:7" ht="30" x14ac:dyDescent="0.25">
      <c r="A231" s="1" t="s">
        <v>1212</v>
      </c>
      <c r="B231" s="1" t="s">
        <v>1211</v>
      </c>
      <c r="C231" s="1" t="s">
        <v>1210</v>
      </c>
      <c r="D231" s="1" t="s">
        <v>1209</v>
      </c>
    </row>
    <row r="232" spans="1:7" ht="45" x14ac:dyDescent="0.25">
      <c r="A232" s="1" t="s">
        <v>1208</v>
      </c>
      <c r="B232" s="1" t="s">
        <v>1207</v>
      </c>
      <c r="C232" s="1" t="s">
        <v>1206</v>
      </c>
      <c r="D232" s="1" t="s">
        <v>114</v>
      </c>
    </row>
    <row r="233" spans="1:7" ht="30" x14ac:dyDescent="0.25">
      <c r="A233" s="1" t="s">
        <v>1204</v>
      </c>
      <c r="B233" s="1" t="s">
        <v>1203</v>
      </c>
      <c r="C233" s="1" t="s">
        <v>1202</v>
      </c>
      <c r="D233" s="1" t="s">
        <v>1205</v>
      </c>
    </row>
    <row r="234" spans="1:7" ht="30" x14ac:dyDescent="0.25">
      <c r="A234" s="1" t="s">
        <v>1204</v>
      </c>
      <c r="B234" s="1" t="s">
        <v>1203</v>
      </c>
      <c r="C234" s="1" t="s">
        <v>1202</v>
      </c>
      <c r="D234" s="1" t="s">
        <v>1201</v>
      </c>
    </row>
    <row r="235" spans="1:7" ht="30" x14ac:dyDescent="0.25">
      <c r="A235" s="1" t="s">
        <v>1204</v>
      </c>
      <c r="B235" s="1" t="s">
        <v>1203</v>
      </c>
      <c r="C235" s="1" t="s">
        <v>1202</v>
      </c>
      <c r="D235" s="1" t="s">
        <v>1201</v>
      </c>
    </row>
    <row r="237" spans="1:7" x14ac:dyDescent="0.25">
      <c r="A237" s="94" t="s">
        <v>1200</v>
      </c>
      <c r="B237" s="94"/>
      <c r="C237" s="94"/>
      <c r="D237" s="94"/>
      <c r="E237" s="94"/>
      <c r="F237" s="94"/>
    </row>
    <row r="238" spans="1:7" x14ac:dyDescent="0.25">
      <c r="A238" s="96" t="s">
        <v>1199</v>
      </c>
      <c r="B238" s="96"/>
      <c r="C238" s="96"/>
      <c r="D238" s="96"/>
      <c r="E238" s="96"/>
      <c r="F238" s="96"/>
    </row>
    <row r="239" spans="1:7" x14ac:dyDescent="0.25">
      <c r="A239" s="93" t="s">
        <v>1198</v>
      </c>
      <c r="B239" s="93"/>
      <c r="C239" s="93"/>
    </row>
    <row r="240" spans="1:7" x14ac:dyDescent="0.25">
      <c r="A240" s="93" t="s">
        <v>1197</v>
      </c>
      <c r="B240" s="93"/>
      <c r="C240" s="93"/>
    </row>
    <row r="241" spans="1:6" x14ac:dyDescent="0.25">
      <c r="A241" s="93" t="s">
        <v>1196</v>
      </c>
      <c r="B241" s="93"/>
      <c r="C241" s="93"/>
    </row>
    <row r="242" spans="1:6" x14ac:dyDescent="0.25">
      <c r="A242" s="93" t="s">
        <v>1195</v>
      </c>
      <c r="B242" s="93"/>
      <c r="C242" s="93"/>
    </row>
    <row r="243" spans="1:6" x14ac:dyDescent="0.25">
      <c r="A243" s="93" t="s">
        <v>1194</v>
      </c>
      <c r="B243" s="93"/>
      <c r="C243" s="93"/>
    </row>
    <row r="245" spans="1:6" x14ac:dyDescent="0.25">
      <c r="A245" s="96" t="s">
        <v>1193</v>
      </c>
      <c r="B245" s="96"/>
      <c r="C245" s="96"/>
      <c r="D245" s="96"/>
      <c r="E245" s="96"/>
      <c r="F245" s="96"/>
    </row>
    <row r="246" spans="1:6" x14ac:dyDescent="0.25">
      <c r="A246" s="73" t="s">
        <v>1192</v>
      </c>
      <c r="B246" s="74">
        <v>45596.5</v>
      </c>
      <c r="C246" s="73" t="s">
        <v>1191</v>
      </c>
      <c r="D246" s="74">
        <v>45869.5</v>
      </c>
    </row>
    <row r="247" spans="1:6" x14ac:dyDescent="0.25">
      <c r="A247" s="93" t="s">
        <v>1191</v>
      </c>
      <c r="B247" s="93"/>
      <c r="C247" s="93"/>
      <c r="D247" s="70">
        <v>45870</v>
      </c>
    </row>
    <row r="248" spans="1:6" x14ac:dyDescent="0.25">
      <c r="A248" s="93" t="s">
        <v>1190</v>
      </c>
      <c r="B248" s="93"/>
      <c r="C248" s="93"/>
      <c r="D248" s="70">
        <v>45869</v>
      </c>
    </row>
    <row r="249" spans="1:6" x14ac:dyDescent="0.25">
      <c r="A249" s="93" t="s">
        <v>1189</v>
      </c>
      <c r="B249" s="93"/>
      <c r="C249" s="93"/>
      <c r="D249" s="70">
        <v>45869</v>
      </c>
    </row>
    <row r="250" spans="1:6" x14ac:dyDescent="0.25">
      <c r="A250" s="93" t="s">
        <v>1188</v>
      </c>
      <c r="B250" s="93"/>
      <c r="C250" s="93"/>
      <c r="D250" s="70">
        <v>45869</v>
      </c>
    </row>
    <row r="251" spans="1:6" x14ac:dyDescent="0.25">
      <c r="A251" s="93" t="s">
        <v>1187</v>
      </c>
      <c r="B251" s="93"/>
      <c r="C251" s="93"/>
      <c r="D251" s="70">
        <v>45869</v>
      </c>
    </row>
    <row r="252" spans="1:6" x14ac:dyDescent="0.25">
      <c r="A252" s="93" t="s">
        <v>1186</v>
      </c>
      <c r="B252" s="93"/>
      <c r="C252" s="93"/>
      <c r="D252" s="70">
        <v>45763</v>
      </c>
    </row>
    <row r="253" spans="1:6" x14ac:dyDescent="0.25">
      <c r="A253" s="93" t="s">
        <v>1185</v>
      </c>
      <c r="B253" s="93"/>
      <c r="C253" s="93"/>
      <c r="D253" s="70">
        <v>45721</v>
      </c>
    </row>
    <row r="254" spans="1:6" x14ac:dyDescent="0.25">
      <c r="A254" s="93" t="s">
        <v>1184</v>
      </c>
      <c r="B254" s="93"/>
      <c r="C254" s="93"/>
      <c r="D254" s="70">
        <v>45701</v>
      </c>
    </row>
    <row r="255" spans="1:6" x14ac:dyDescent="0.25">
      <c r="A255" s="93" t="s">
        <v>1183</v>
      </c>
      <c r="B255" s="93"/>
      <c r="C255" s="93"/>
      <c r="D255" s="70">
        <v>45667</v>
      </c>
    </row>
    <row r="256" spans="1:6" x14ac:dyDescent="0.25">
      <c r="A256" s="93" t="s">
        <v>1182</v>
      </c>
      <c r="B256" s="93"/>
      <c r="C256" s="93"/>
      <c r="D256" s="70">
        <v>45667</v>
      </c>
    </row>
    <row r="258" spans="1:6" x14ac:dyDescent="0.25">
      <c r="A258" s="96" t="s">
        <v>1181</v>
      </c>
      <c r="B258" s="96"/>
      <c r="C258" s="96"/>
      <c r="D258" s="96"/>
      <c r="E258" s="96"/>
      <c r="F258" s="96"/>
    </row>
    <row r="259" spans="1:6" ht="30" x14ac:dyDescent="0.25">
      <c r="A259" s="1" t="s">
        <v>1180</v>
      </c>
      <c r="B259" s="1" t="s">
        <v>1179</v>
      </c>
      <c r="C259" s="70">
        <v>45870</v>
      </c>
    </row>
    <row r="260" spans="1:6" ht="30" x14ac:dyDescent="0.25">
      <c r="A260" s="1" t="s">
        <v>1178</v>
      </c>
      <c r="B260" s="1" t="s">
        <v>1167</v>
      </c>
      <c r="C260" s="70">
        <v>45869</v>
      </c>
    </row>
    <row r="261" spans="1:6" ht="45" x14ac:dyDescent="0.25">
      <c r="A261" s="1" t="s">
        <v>1177</v>
      </c>
      <c r="B261" s="1" t="s">
        <v>1176</v>
      </c>
      <c r="C261" s="70">
        <v>45869</v>
      </c>
    </row>
    <row r="262" spans="1:6" ht="30" x14ac:dyDescent="0.25">
      <c r="A262" s="1" t="s">
        <v>1175</v>
      </c>
      <c r="B262" s="1" t="s">
        <v>1168</v>
      </c>
      <c r="C262" s="70">
        <v>45869</v>
      </c>
    </row>
    <row r="263" spans="1:6" ht="45" x14ac:dyDescent="0.25">
      <c r="A263" s="1" t="s">
        <v>1174</v>
      </c>
      <c r="B263" s="1" t="s">
        <v>1173</v>
      </c>
      <c r="C263" s="70">
        <v>45869</v>
      </c>
    </row>
    <row r="265" spans="1:6" x14ac:dyDescent="0.25">
      <c r="A265" s="96" t="s">
        <v>1172</v>
      </c>
      <c r="B265" s="96"/>
      <c r="C265" s="96"/>
      <c r="D265" s="96"/>
      <c r="E265" s="96"/>
      <c r="F265" s="96"/>
    </row>
    <row r="266" spans="1:6" x14ac:dyDescent="0.25">
      <c r="A266" s="94" t="s">
        <v>1171</v>
      </c>
      <c r="B266" s="94"/>
      <c r="C266" s="94"/>
    </row>
    <row r="267" spans="1:6" x14ac:dyDescent="0.25">
      <c r="A267" s="1" t="s">
        <v>1170</v>
      </c>
      <c r="B267" s="1"/>
      <c r="C267" s="70">
        <v>45880</v>
      </c>
    </row>
    <row r="268" spans="1:6" x14ac:dyDescent="0.25">
      <c r="A268" s="1" t="s">
        <v>1167</v>
      </c>
      <c r="B268" s="1"/>
      <c r="C268" s="70">
        <v>45960</v>
      </c>
    </row>
    <row r="270" spans="1:6" x14ac:dyDescent="0.25">
      <c r="A270" s="94" t="s">
        <v>1169</v>
      </c>
      <c r="B270" s="94"/>
      <c r="C270" s="94"/>
    </row>
    <row r="271" spans="1:6" x14ac:dyDescent="0.25">
      <c r="A271" s="1" t="s">
        <v>1168</v>
      </c>
      <c r="B271" s="1"/>
      <c r="C271" s="70">
        <v>45869</v>
      </c>
    </row>
    <row r="272" spans="1:6" x14ac:dyDescent="0.25">
      <c r="A272" s="1" t="s">
        <v>1167</v>
      </c>
      <c r="B272" s="1"/>
      <c r="C272" s="70">
        <v>45869</v>
      </c>
    </row>
    <row r="273" spans="1:7" x14ac:dyDescent="0.25">
      <c r="A273" s="1" t="s">
        <v>1166</v>
      </c>
      <c r="B273" s="1"/>
      <c r="C273" s="70">
        <v>45817</v>
      </c>
    </row>
    <row r="274" spans="1:7" x14ac:dyDescent="0.25">
      <c r="A274" s="94" t="s">
        <v>1165</v>
      </c>
      <c r="B274" s="94"/>
      <c r="C274" s="94"/>
      <c r="D274" s="94"/>
      <c r="E274" s="94"/>
    </row>
    <row r="275" spans="1:7" x14ac:dyDescent="0.25">
      <c r="A275" s="72" t="s">
        <v>1164</v>
      </c>
      <c r="B275" s="72" t="s">
        <v>1163</v>
      </c>
      <c r="C275" s="72" t="s">
        <v>1162</v>
      </c>
      <c r="D275" s="72" t="s">
        <v>1161</v>
      </c>
      <c r="E275" s="71" t="s">
        <v>1160</v>
      </c>
    </row>
    <row r="276" spans="1:7" ht="30" x14ac:dyDescent="0.25">
      <c r="A276" s="1" t="s">
        <v>1159</v>
      </c>
      <c r="B276" s="1" t="s">
        <v>1158</v>
      </c>
      <c r="C276" s="1" t="s">
        <v>1150</v>
      </c>
      <c r="D276" s="70">
        <v>43335</v>
      </c>
      <c r="E276" s="6" t="s">
        <v>114</v>
      </c>
    </row>
    <row r="277" spans="1:7" ht="30" x14ac:dyDescent="0.25">
      <c r="A277" s="1" t="s">
        <v>1157</v>
      </c>
      <c r="B277" s="1" t="s">
        <v>1151</v>
      </c>
      <c r="C277" s="1" t="s">
        <v>1150</v>
      </c>
      <c r="D277" s="70">
        <v>43333</v>
      </c>
      <c r="E277" s="6">
        <v>0</v>
      </c>
    </row>
    <row r="278" spans="1:7" ht="30" x14ac:dyDescent="0.25">
      <c r="A278" s="1" t="s">
        <v>1156</v>
      </c>
      <c r="B278" s="1" t="s">
        <v>1155</v>
      </c>
      <c r="C278" s="1" t="s">
        <v>1150</v>
      </c>
      <c r="D278" s="70">
        <v>43125</v>
      </c>
      <c r="E278" s="6">
        <v>0</v>
      </c>
    </row>
    <row r="279" spans="1:7" ht="30" x14ac:dyDescent="0.25">
      <c r="A279" s="1" t="s">
        <v>1154</v>
      </c>
      <c r="B279" s="1" t="s">
        <v>1153</v>
      </c>
      <c r="C279" s="1" t="s">
        <v>1150</v>
      </c>
      <c r="D279" s="70">
        <v>43125</v>
      </c>
      <c r="E279" s="6">
        <v>0</v>
      </c>
    </row>
    <row r="280" spans="1:7" ht="30" x14ac:dyDescent="0.25">
      <c r="A280" s="1" t="s">
        <v>1152</v>
      </c>
      <c r="B280" s="1" t="s">
        <v>1151</v>
      </c>
      <c r="C280" s="1" t="s">
        <v>1150</v>
      </c>
      <c r="D280" s="70">
        <v>43125</v>
      </c>
      <c r="E280" s="6">
        <v>0</v>
      </c>
    </row>
    <row r="281" spans="1:7" x14ac:dyDescent="0.25">
      <c r="A281" s="95"/>
      <c r="B281" s="95"/>
      <c r="C281" s="95"/>
      <c r="D281" s="95"/>
      <c r="E281" s="95"/>
    </row>
    <row r="282" spans="1:7" x14ac:dyDescent="0.25">
      <c r="A282" s="95"/>
      <c r="B282" s="95"/>
      <c r="C282" s="95"/>
      <c r="D282" s="95"/>
      <c r="E282" s="95"/>
      <c r="F282" s="95"/>
      <c r="G282" s="95"/>
    </row>
    <row r="283" spans="1:7" x14ac:dyDescent="0.25">
      <c r="A283" s="94" t="s">
        <v>1149</v>
      </c>
      <c r="B283" s="94"/>
      <c r="C283" s="94"/>
      <c r="D283" s="94"/>
      <c r="E283" s="94"/>
      <c r="F283" s="94"/>
      <c r="G283" s="94"/>
    </row>
    <row r="284" spans="1:7" ht="60" x14ac:dyDescent="0.25">
      <c r="A284" s="69" t="s">
        <v>1148</v>
      </c>
      <c r="B284" s="69" t="s">
        <v>1147</v>
      </c>
      <c r="C284" s="69" t="s">
        <v>1146</v>
      </c>
      <c r="D284" s="69" t="s">
        <v>1145</v>
      </c>
      <c r="E284" s="69" t="s">
        <v>1144</v>
      </c>
      <c r="F284" s="69" t="s">
        <v>1143</v>
      </c>
      <c r="G284" s="69" t="s">
        <v>1142</v>
      </c>
    </row>
    <row r="285" spans="1:7" x14ac:dyDescent="0.25">
      <c r="A285" s="1" t="s">
        <v>1141</v>
      </c>
      <c r="B285" s="1">
        <v>109776</v>
      </c>
      <c r="C285" s="68">
        <v>1415826462</v>
      </c>
      <c r="D285" s="67">
        <v>9.5399999999999991</v>
      </c>
      <c r="E285" s="66">
        <v>286535</v>
      </c>
      <c r="F285" s="1" t="s">
        <v>1136</v>
      </c>
      <c r="G285" s="2"/>
    </row>
    <row r="286" spans="1:7" x14ac:dyDescent="0.25">
      <c r="A286" s="1" t="s">
        <v>1140</v>
      </c>
      <c r="B286" s="1">
        <v>4048287</v>
      </c>
      <c r="C286" s="68">
        <v>1135352984</v>
      </c>
      <c r="D286" s="67">
        <v>7.65</v>
      </c>
      <c r="E286" s="66">
        <v>229772.7</v>
      </c>
      <c r="F286" s="1" t="s">
        <v>1136</v>
      </c>
      <c r="G286" s="2"/>
    </row>
    <row r="287" spans="1:7" x14ac:dyDescent="0.25">
      <c r="A287" s="1" t="s">
        <v>1139</v>
      </c>
      <c r="B287" s="1">
        <v>110652</v>
      </c>
      <c r="C287" s="68">
        <v>596025766</v>
      </c>
      <c r="D287" s="67">
        <v>4.0199999999999996</v>
      </c>
      <c r="E287" s="66">
        <v>120623.7</v>
      </c>
      <c r="F287" s="1" t="s">
        <v>1136</v>
      </c>
      <c r="G287" s="2"/>
    </row>
    <row r="288" spans="1:7" x14ac:dyDescent="0.25">
      <c r="A288" s="1" t="s">
        <v>1138</v>
      </c>
      <c r="B288" s="1">
        <v>4119759</v>
      </c>
      <c r="C288" s="68">
        <v>349807156</v>
      </c>
      <c r="D288" s="67">
        <v>2.36</v>
      </c>
      <c r="E288" s="66">
        <v>70794</v>
      </c>
      <c r="F288" s="1" t="s">
        <v>1136</v>
      </c>
      <c r="G288" s="2"/>
    </row>
    <row r="289" spans="1:10" x14ac:dyDescent="0.25">
      <c r="A289" s="1" t="s">
        <v>1137</v>
      </c>
      <c r="B289" s="1">
        <v>103462</v>
      </c>
      <c r="C289" s="68">
        <v>300000000</v>
      </c>
      <c r="D289" s="67">
        <v>2.02</v>
      </c>
      <c r="E289" s="66">
        <v>60714</v>
      </c>
      <c r="F289" s="1" t="s">
        <v>1136</v>
      </c>
      <c r="G289" s="2"/>
    </row>
    <row r="290" spans="1:10" x14ac:dyDescent="0.25">
      <c r="A290" s="95" t="s">
        <v>1135</v>
      </c>
      <c r="B290" s="95"/>
      <c r="C290" s="95"/>
      <c r="D290" s="95"/>
      <c r="E290" s="95"/>
      <c r="F290" s="95"/>
      <c r="G290" s="95"/>
    </row>
    <row r="292" spans="1:10" x14ac:dyDescent="0.25">
      <c r="A292" s="93" t="s">
        <v>1134</v>
      </c>
      <c r="B292" s="93"/>
      <c r="C292" s="93"/>
      <c r="D292" s="93"/>
      <c r="E292" s="93"/>
      <c r="F292" s="93"/>
      <c r="G292" s="93"/>
      <c r="H292" s="93"/>
      <c r="I292" s="93"/>
      <c r="J292" s="93"/>
    </row>
    <row r="293" spans="1:10" x14ac:dyDescent="0.25">
      <c r="A293" s="93"/>
      <c r="B293" s="93"/>
      <c r="C293" s="93"/>
      <c r="D293" s="93"/>
      <c r="E293" s="93"/>
      <c r="F293" s="93"/>
      <c r="G293" s="93"/>
      <c r="H293" s="93"/>
      <c r="I293" s="93"/>
      <c r="J293" s="93"/>
    </row>
    <row r="295" spans="1:10" x14ac:dyDescent="0.25">
      <c r="A295" s="93" t="s">
        <v>1133</v>
      </c>
      <c r="B295" s="93"/>
      <c r="C295" s="93"/>
      <c r="D295" s="93"/>
      <c r="E295" s="93"/>
      <c r="F295" s="93"/>
      <c r="G295" s="93"/>
      <c r="H295" s="93"/>
      <c r="I295" s="93"/>
      <c r="J295" s="93"/>
    </row>
    <row r="296" spans="1:10" x14ac:dyDescent="0.25">
      <c r="A296" s="93"/>
      <c r="B296" s="93"/>
      <c r="C296" s="93"/>
      <c r="D296" s="93"/>
      <c r="E296" s="93"/>
      <c r="F296" s="93"/>
      <c r="G296" s="93"/>
      <c r="H296" s="93"/>
      <c r="I296" s="93"/>
      <c r="J296" s="93"/>
    </row>
    <row r="298" spans="1:10" x14ac:dyDescent="0.25">
      <c r="A298" s="93"/>
      <c r="B298" s="93"/>
      <c r="C298" s="93"/>
      <c r="D298" s="93"/>
      <c r="E298" s="93"/>
      <c r="F298" s="93"/>
      <c r="G298" s="93"/>
      <c r="H298" s="93"/>
      <c r="I298" s="93"/>
      <c r="J298" s="93"/>
    </row>
    <row r="299" spans="1:10" x14ac:dyDescent="0.25">
      <c r="A299" s="93"/>
      <c r="B299" s="93"/>
      <c r="C299" s="93"/>
      <c r="D299" s="93"/>
      <c r="E299" s="93"/>
      <c r="F299" s="93"/>
      <c r="G299" s="93"/>
      <c r="H299" s="93"/>
      <c r="I299" s="93"/>
      <c r="J299" s="93"/>
    </row>
    <row r="300" spans="1:10" x14ac:dyDescent="0.25">
      <c r="A300" s="93"/>
      <c r="B300" s="93"/>
      <c r="C300" s="93"/>
      <c r="D300" s="93"/>
      <c r="E300" s="93"/>
      <c r="F300" s="93"/>
      <c r="G300" s="93"/>
      <c r="H300" s="93"/>
      <c r="I300" s="93"/>
      <c r="J300" s="93"/>
    </row>
    <row r="301" spans="1:10" x14ac:dyDescent="0.25">
      <c r="A301" s="93"/>
      <c r="B301" s="93"/>
      <c r="C301" s="93"/>
      <c r="D301" s="93"/>
      <c r="E301" s="93"/>
      <c r="F301" s="93"/>
      <c r="G301" s="93"/>
      <c r="H301" s="93"/>
      <c r="I301" s="93"/>
      <c r="J301" s="93"/>
    </row>
    <row r="303" spans="1:10" x14ac:dyDescent="0.25">
      <c r="A303" s="93"/>
      <c r="B303" s="93"/>
      <c r="C303" s="93"/>
      <c r="D303" s="93"/>
      <c r="E303" s="93"/>
      <c r="F303" s="93"/>
      <c r="G303" s="93"/>
      <c r="H303" s="93"/>
      <c r="I303" s="93"/>
      <c r="J303" s="93"/>
    </row>
    <row r="304" spans="1:10" x14ac:dyDescent="0.25">
      <c r="A304" s="93"/>
      <c r="B304" s="93"/>
      <c r="C304" s="93"/>
      <c r="D304" s="93"/>
      <c r="E304" s="93"/>
      <c r="F304" s="93"/>
      <c r="G304" s="93"/>
      <c r="H304" s="93"/>
      <c r="I304" s="93"/>
      <c r="J304" s="93"/>
    </row>
    <row r="305" spans="1:10" x14ac:dyDescent="0.25">
      <c r="A305" s="93"/>
      <c r="B305" s="93"/>
      <c r="C305" s="93"/>
      <c r="D305" s="93"/>
      <c r="E305" s="93"/>
      <c r="F305" s="93"/>
      <c r="G305" s="93"/>
      <c r="H305" s="93"/>
      <c r="I305" s="93"/>
      <c r="J305" s="93"/>
    </row>
    <row r="306" spans="1:10" x14ac:dyDescent="0.25">
      <c r="A306" s="93"/>
      <c r="B306" s="93"/>
      <c r="C306" s="93"/>
      <c r="D306" s="93"/>
      <c r="E306" s="93"/>
      <c r="F306" s="93"/>
      <c r="G306" s="93"/>
      <c r="H306" s="93"/>
      <c r="I306" s="93"/>
      <c r="J306" s="93"/>
    </row>
  </sheetData>
  <mergeCells count="137">
    <mergeCell ref="A18:C36"/>
    <mergeCell ref="A38:B38"/>
    <mergeCell ref="A44:B44"/>
    <mergeCell ref="A1:D1"/>
    <mergeCell ref="A3:G3"/>
    <mergeCell ref="A5:G5"/>
    <mergeCell ref="A6:B6"/>
    <mergeCell ref="A7:B7"/>
    <mergeCell ref="A17:C17"/>
    <mergeCell ref="B45:C45"/>
    <mergeCell ref="B46:C46"/>
    <mergeCell ref="B47:C47"/>
    <mergeCell ref="B48:C48"/>
    <mergeCell ref="B49:C49"/>
    <mergeCell ref="A51:B51"/>
    <mergeCell ref="A52:E52"/>
    <mergeCell ref="B53:E53"/>
    <mergeCell ref="C54:E54"/>
    <mergeCell ref="B55:E55"/>
    <mergeCell ref="C56:E56"/>
    <mergeCell ref="C57:E57"/>
    <mergeCell ref="B58:E58"/>
    <mergeCell ref="C59:E59"/>
    <mergeCell ref="D60:E60"/>
    <mergeCell ref="A61:E61"/>
    <mergeCell ref="B62:E62"/>
    <mergeCell ref="C63:E63"/>
    <mergeCell ref="D64:E64"/>
    <mergeCell ref="B67:E67"/>
    <mergeCell ref="C68:E68"/>
    <mergeCell ref="D69:E69"/>
    <mergeCell ref="C74:E74"/>
    <mergeCell ref="D75:E75"/>
    <mergeCell ref="A79:E79"/>
    <mergeCell ref="B80:E80"/>
    <mergeCell ref="C81:E81"/>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A107:C107"/>
    <mergeCell ref="A108:C108"/>
    <mergeCell ref="A110:E110"/>
    <mergeCell ref="A111:B111"/>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54:E154"/>
    <mergeCell ref="A155:E155"/>
    <mergeCell ref="A170:B170"/>
    <mergeCell ref="A171:B171"/>
    <mergeCell ref="A186:B186"/>
    <mergeCell ref="A191:D191"/>
    <mergeCell ref="A192:G192"/>
    <mergeCell ref="A203:G203"/>
    <mergeCell ref="A211:B211"/>
    <mergeCell ref="A212:G212"/>
    <mergeCell ref="A217:F217"/>
    <mergeCell ref="A218:D218"/>
    <mergeCell ref="A225:G225"/>
    <mergeCell ref="A228:G228"/>
    <mergeCell ref="A229:D229"/>
    <mergeCell ref="A237:F237"/>
    <mergeCell ref="A238:F238"/>
    <mergeCell ref="A239:C239"/>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303:J306"/>
    <mergeCell ref="A270:C270"/>
    <mergeCell ref="A274:E274"/>
    <mergeCell ref="A281:E281"/>
    <mergeCell ref="A282:G282"/>
    <mergeCell ref="A283:G283"/>
    <mergeCell ref="A290:G290"/>
    <mergeCell ref="A292:J293"/>
    <mergeCell ref="A295:J296"/>
    <mergeCell ref="A298:J301"/>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2" sqref="A2:M2"/>
    </sheetView>
  </sheetViews>
  <sheetFormatPr defaultRowHeight="15" x14ac:dyDescent="0.25"/>
  <cols>
    <col min="1" max="1" width="25.7109375" customWidth="1"/>
    <col min="2" max="13" width="16.140625" customWidth="1"/>
  </cols>
  <sheetData>
    <row r="1" spans="1:13" ht="39.950000000000003" customHeight="1" x14ac:dyDescent="0.25">
      <c r="A1" s="98"/>
      <c r="B1" s="98"/>
      <c r="C1" s="98"/>
      <c r="D1" s="98"/>
    </row>
    <row r="2" spans="1:13" ht="30" customHeight="1" x14ac:dyDescent="0.3">
      <c r="A2" s="100" t="s">
        <v>1131</v>
      </c>
      <c r="B2" s="100"/>
      <c r="C2" s="100"/>
      <c r="D2" s="100"/>
      <c r="E2" s="100"/>
      <c r="F2" s="100"/>
      <c r="G2" s="100"/>
      <c r="H2" s="100"/>
      <c r="I2" s="100"/>
      <c r="J2" s="100"/>
      <c r="K2" s="100"/>
      <c r="L2" s="100"/>
      <c r="M2" s="100"/>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95" t="s">
        <v>11</v>
      </c>
      <c r="B15" s="95"/>
      <c r="C15" s="95"/>
      <c r="D15" s="95"/>
      <c r="E15" s="95"/>
      <c r="F15" s="95"/>
      <c r="G15" s="95"/>
      <c r="H15" s="95"/>
      <c r="I15" s="95"/>
      <c r="J15" s="95"/>
      <c r="K15" s="95"/>
      <c r="L15" s="95"/>
      <c r="M15" s="95"/>
    </row>
    <row r="16" spans="1:13" x14ac:dyDescent="0.25">
      <c r="A16" s="93"/>
      <c r="B16" s="93"/>
      <c r="C16" s="93"/>
      <c r="D16" s="93"/>
      <c r="E16" s="93"/>
      <c r="F16" s="93"/>
      <c r="G16" s="93"/>
      <c r="H16" s="93"/>
      <c r="I16" s="93"/>
      <c r="J16" s="93"/>
      <c r="K16" s="93"/>
      <c r="L16" s="93"/>
      <c r="M16" s="93"/>
    </row>
    <row r="17" spans="1:13" x14ac:dyDescent="0.25">
      <c r="A17" s="99"/>
      <c r="B17" s="99"/>
      <c r="C17" s="99"/>
      <c r="D17" s="99"/>
      <c r="E17" s="99"/>
      <c r="F17" s="99"/>
      <c r="G17" s="99"/>
      <c r="H17" s="99"/>
      <c r="I17" s="99"/>
      <c r="J17" s="99"/>
      <c r="K17" s="99"/>
      <c r="L17" s="99"/>
      <c r="M17" s="99"/>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99"/>
      <c r="B93" s="99"/>
      <c r="C93" s="99"/>
      <c r="D93" s="99"/>
      <c r="E93" s="99"/>
      <c r="F93" s="99"/>
      <c r="G93" s="99"/>
      <c r="H93" s="99"/>
      <c r="I93" s="99"/>
      <c r="J93" s="99"/>
      <c r="K93" s="99"/>
      <c r="L93" s="99"/>
      <c r="M93" s="99"/>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93"/>
      <c r="B276" s="93"/>
      <c r="C276" s="93"/>
      <c r="D276" s="93"/>
      <c r="E276" s="93"/>
      <c r="F276" s="93"/>
      <c r="G276" s="93"/>
      <c r="H276" s="93"/>
      <c r="I276" s="93"/>
      <c r="J276" s="93"/>
      <c r="K276" s="93"/>
      <c r="L276" s="93"/>
      <c r="M276" s="93"/>
    </row>
    <row r="277" spans="1:13" x14ac:dyDescent="0.25">
      <c r="A277" s="93"/>
      <c r="B277" s="93"/>
      <c r="C277" s="93"/>
      <c r="D277" s="93"/>
      <c r="E277" s="93"/>
      <c r="F277" s="93"/>
      <c r="G277" s="93"/>
      <c r="H277" s="93"/>
      <c r="I277" s="93"/>
      <c r="J277" s="93"/>
      <c r="K277" s="93"/>
      <c r="L277" s="93"/>
      <c r="M277" s="93"/>
    </row>
    <row r="278" spans="1:13" x14ac:dyDescent="0.25">
      <c r="A278" s="93" t="s">
        <v>1128</v>
      </c>
      <c r="B278" s="93"/>
      <c r="C278" s="93"/>
      <c r="D278" s="93"/>
      <c r="E278" s="93"/>
      <c r="F278" s="93"/>
      <c r="G278" s="93"/>
      <c r="H278" s="93"/>
      <c r="I278" s="93"/>
      <c r="J278" s="93"/>
      <c r="K278" s="93"/>
      <c r="L278" s="93"/>
      <c r="M278" s="93"/>
    </row>
    <row r="279" spans="1:13" x14ac:dyDescent="0.25">
      <c r="A279" s="93" t="s">
        <v>1129</v>
      </c>
      <c r="B279" s="93"/>
      <c r="C279" s="93"/>
      <c r="D279" s="93"/>
      <c r="E279" s="93"/>
      <c r="F279" s="93"/>
      <c r="G279" s="93"/>
      <c r="H279" s="93"/>
      <c r="I279" s="93"/>
      <c r="J279" s="93"/>
      <c r="K279" s="93"/>
      <c r="L279" s="93"/>
      <c r="M279" s="93"/>
    </row>
    <row r="280" spans="1:13" x14ac:dyDescent="0.25">
      <c r="A280" s="93" t="s">
        <v>1130</v>
      </c>
      <c r="B280" s="93"/>
      <c r="C280" s="93"/>
      <c r="D280" s="93"/>
      <c r="E280" s="93"/>
      <c r="F280" s="93"/>
      <c r="G280" s="93"/>
      <c r="H280" s="93"/>
      <c r="I280" s="93"/>
      <c r="J280" s="93"/>
      <c r="K280" s="93"/>
      <c r="L280" s="93"/>
      <c r="M280" s="93"/>
    </row>
    <row r="281" spans="1:13" x14ac:dyDescent="0.25">
      <c r="A281" s="93"/>
      <c r="B281" s="93"/>
      <c r="C281" s="93"/>
      <c r="D281" s="93"/>
      <c r="E281" s="93"/>
      <c r="F281" s="93"/>
      <c r="G281" s="93"/>
      <c r="H281" s="93"/>
      <c r="I281" s="93"/>
      <c r="J281" s="93"/>
      <c r="K281" s="93"/>
      <c r="L281" s="93"/>
      <c r="M281" s="93"/>
    </row>
  </sheetData>
  <mergeCells count="11">
    <mergeCell ref="A276:M276"/>
    <mergeCell ref="A277:M277"/>
    <mergeCell ref="A278:M278"/>
    <mergeCell ref="A279:M279"/>
    <mergeCell ref="A280:M281"/>
    <mergeCell ref="A1:D1"/>
    <mergeCell ref="A15:M15"/>
    <mergeCell ref="A16:M16"/>
    <mergeCell ref="A17:M17"/>
    <mergeCell ref="A93:M93"/>
    <mergeCell ref="A2:M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70" zoomScaleNormal="85" workbookViewId="0">
      <selection activeCell="A14" sqref="A14"/>
    </sheetView>
  </sheetViews>
  <sheetFormatPr defaultColWidth="15.7109375" defaultRowHeight="15" outlineLevelRow="1" x14ac:dyDescent="0.25"/>
  <cols>
    <col min="1" max="1" width="1.7109375" style="8" customWidth="1"/>
    <col min="2" max="2" width="1.7109375" style="18"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42" customFormat="1" ht="18.75" x14ac:dyDescent="0.3">
      <c r="A2" s="41"/>
      <c r="B2" s="41"/>
      <c r="C2" s="11" t="str" cm="1">
        <f t="array" aca="1" ref="C2" ca="1">_xlfn.TEXTBEFORE(INDIRECT("Consensus!A2"),"|")&amp;"- Financial Model"</f>
        <v>Apple Inc. - Financial Model</v>
      </c>
      <c r="D2" s="42" cm="1">
        <f t="array" aca="1" ref="D2:R2" ca="1">--(D9:OFFSET(D9,0,F6-D9)&lt;($D$6+3))</f>
        <v>1</v>
      </c>
      <c r="E2" s="42">
        <f ca="1"/>
        <v>1</v>
      </c>
      <c r="F2" s="42">
        <f ca="1"/>
        <v>1</v>
      </c>
      <c r="G2" s="42">
        <f ca="1"/>
        <v>1</v>
      </c>
      <c r="H2" s="42">
        <f ca="1"/>
        <v>1</v>
      </c>
      <c r="I2" s="42">
        <f ca="1"/>
        <v>1</v>
      </c>
      <c r="J2" s="42">
        <f ca="1"/>
        <v>1</v>
      </c>
      <c r="K2" s="42">
        <f ca="1"/>
        <v>1</v>
      </c>
      <c r="L2" s="42">
        <f ca="1"/>
        <v>0</v>
      </c>
      <c r="M2" s="42">
        <f ca="1"/>
        <v>0</v>
      </c>
      <c r="N2" s="42">
        <f ca="1"/>
        <v>0</v>
      </c>
      <c r="O2" s="42">
        <f ca="1"/>
        <v>0</v>
      </c>
      <c r="P2" s="42">
        <f ca="1"/>
        <v>0</v>
      </c>
      <c r="Q2" s="42">
        <f ca="1"/>
        <v>0</v>
      </c>
      <c r="R2" s="42">
        <f ca="1"/>
        <v>0</v>
      </c>
    </row>
    <row r="3" spans="1:19" s="18" customFormat="1" x14ac:dyDescent="0.25">
      <c r="A3" s="26"/>
      <c r="C3" s="27" t="str" cm="1">
        <f t="array" aca="1" ref="C3" ca="1">INDIRECT("Consensus!A3")</f>
        <v>NASDAQGS:AAPL (MI KEY: 4004205; SPCIQ KEY: 24937)</v>
      </c>
      <c r="D3" s="18" t="str">
        <f ca="1">TRIM(_xlfn.TEXTBEFORE(_xlfn.TEXTAFTER(C3,":")," "))</f>
        <v>AAPL</v>
      </c>
      <c r="E3" s="18">
        <f ca="1">1-(DATE(C6,MONTH(D7),DAY(D7))&lt;D12)</f>
        <v>0</v>
      </c>
      <c r="F3" s="18" cm="1">
        <f t="array" ref="F3">_xlfn.XLOOKUP(F8,H5:K5,_xlfn.ANCHORARRAY(D5))</f>
        <v>2</v>
      </c>
      <c r="G3" s="38" cm="1">
        <f t="array" ref="G3:R3">_xlfn.SEQUENCE(,12)</f>
        <v>1</v>
      </c>
      <c r="H3" s="38">
        <v>2</v>
      </c>
      <c r="I3" s="38">
        <v>3</v>
      </c>
      <c r="J3" s="38">
        <v>4</v>
      </c>
      <c r="K3" s="38">
        <v>5</v>
      </c>
      <c r="L3" s="38">
        <v>6</v>
      </c>
      <c r="M3" s="38">
        <v>7</v>
      </c>
      <c r="N3" s="38">
        <v>8</v>
      </c>
      <c r="O3" s="38">
        <v>9</v>
      </c>
      <c r="P3" s="38">
        <v>10</v>
      </c>
      <c r="Q3" s="38">
        <v>11</v>
      </c>
      <c r="R3" s="38">
        <v>12</v>
      </c>
    </row>
    <row r="4" spans="1:19" s="18" customFormat="1" x14ac:dyDescent="0.25">
      <c r="A4" s="26"/>
      <c r="C4" s="28" t="str" cm="1">
        <f t="array" aca="1" ref="C4" ca="1">_xlfn.TEXTBEFORE(INDIRECT("Consensus!A11")," (")&amp;", Except for per share data"</f>
        <v>Magnitude Millions, Except for per share data</v>
      </c>
      <c r="E4" s="25">
        <f ca="1">YEARFRAC(DATE(D6-1,MONTH(D12),DAY(D12)),D7,3)</f>
        <v>0.84657534246575339</v>
      </c>
      <c r="F4" s="25">
        <f ca="1">YEARFRAC(D7,DATE(D6,MONTH(D12),DAY(D12)),3)</f>
        <v>0.15342465753424658</v>
      </c>
      <c r="G4" s="38" t="str">
        <f>"Jan"</f>
        <v>Jan</v>
      </c>
      <c r="H4" s="38" t="str">
        <f>"Feb"</f>
        <v>Feb</v>
      </c>
      <c r="I4" s="38" t="str">
        <f>"Mar"</f>
        <v>Mar</v>
      </c>
      <c r="J4" s="38" t="str">
        <f>"Apr"</f>
        <v>Apr</v>
      </c>
      <c r="K4" s="38" t="str">
        <f>"May"</f>
        <v>May</v>
      </c>
      <c r="L4" s="38" t="str">
        <f>"Jun"</f>
        <v>Jun</v>
      </c>
      <c r="M4" s="38" t="str">
        <f>"Jul"</f>
        <v>Jul</v>
      </c>
      <c r="N4" s="38" t="str">
        <f>"Aug"</f>
        <v>Aug</v>
      </c>
      <c r="O4" s="38" t="str">
        <f>"Sep"</f>
        <v>Sep</v>
      </c>
      <c r="P4" s="38" t="str">
        <f>"Oct"</f>
        <v>Oct</v>
      </c>
      <c r="Q4" s="38" t="str">
        <f>"Nov"</f>
        <v>Nov</v>
      </c>
      <c r="R4" s="38" t="str">
        <f>"Dec"</f>
        <v>Dec</v>
      </c>
    </row>
    <row r="5" spans="1:19" s="26" customFormat="1" x14ac:dyDescent="0.25">
      <c r="B5" s="18"/>
      <c r="C5" s="2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8" t="str">
        <f>C190</f>
        <v>Conservative Case</v>
      </c>
      <c r="L5" s="26" t="str">
        <f>"Current Share Price"</f>
        <v>Current Share Price</v>
      </c>
      <c r="N5" s="63">
        <f ca="1">IF(O5,O5,AVERAGE(S6:S8))</f>
        <v>203.23749999999998</v>
      </c>
      <c r="O5" s="90"/>
      <c r="P5" s="26" t="str">
        <f>"Exit Multiple (EBITDA)"</f>
        <v>Exit Multiple (EBITDA)</v>
      </c>
      <c r="R5" s="49" cm="1">
        <f t="array" aca="1" ref="R5" ca="1">IFERROR(INDEX(_xlfn.ANCHORARRAY(D72),,COUNTA(_xlfn.ANCHORARRAY(D72))),8)</f>
        <v>13.893558639054831</v>
      </c>
    </row>
    <row r="6" spans="1:19" s="26" customFormat="1" x14ac:dyDescent="0.25">
      <c r="B6" s="18"/>
      <c r="C6" s="18" cm="1">
        <f t="array" aca="1" ref="C6" ca="1">IF(G8,G8,_xlfn.NUMBERVALUE(_xlfn.TEXTBEFORE(_xlfn.TEXTAFTER(INDIRECT("Consensus!B18"),"FY ")," ")))</f>
        <v>2020</v>
      </c>
      <c r="D6" s="18">
        <f ca="1">MIN(_xlfn.NUMBERVALUE(_xlfn.TEXTBEFORE(_xlfn.TEXTAFTER(C5,"FY "),")"))+E3,_xlfn.XLOOKUP(D7,_xlfn.ANCHORARRAY(D13),$D$9:OFFSET($D$9,0,$F$6-$D$9)))</f>
        <v>2025</v>
      </c>
      <c r="E6" s="18" cm="1">
        <f t="array" aca="1" ref="E6" ca="1">_xlfn.NUMBERVALUE(_xlfn.TEXTBEFORE(_xlfn.TEXTAFTER(OFFSET(INDIRECT("Consensus!A18"),0,COUNTA(INDIRECT("Consensus!18:18"))-1),"FY ")," "))</f>
        <v>2031</v>
      </c>
      <c r="F6" s="18">
        <f ca="1">IF(I8,I8,D6+9)</f>
        <v>2034</v>
      </c>
      <c r="G6" s="18" cm="1">
        <f t="array" aca="1" ref="G6" ca="1">_xlfn.NUMBERVALUE(INDEX(_xlfn.TEXTSPLIT(C5,"-"),,2))</f>
        <v>30</v>
      </c>
      <c r="H6" s="18" cm="1">
        <f t="array" aca="1" ref="H6" ca="1">_xlfn.XLOOKUP(_xlfn.TEXTAFTER(_xlfn.TEXTBEFORE(C5,"-"),": "),$G$4:$R$4,_xlfn.ANCHORARRAY($G$3))</f>
        <v>9</v>
      </c>
      <c r="I6" s="18" t="s">
        <v>1348</v>
      </c>
      <c r="J6" s="18">
        <f ca="1">_xlfn.XMATCH(I6,INDIRECT("'Public Company'!A:A"))</f>
        <v>98</v>
      </c>
      <c r="K6" s="18" cm="1">
        <f t="array" aca="1" ref="K6" ca="1">INDIRECT("'Public Company'!C"&amp;J6)</f>
        <v>203.125</v>
      </c>
      <c r="L6" s="26" t="str">
        <f>"DCF ("&amp;_xlfn.TEXTAFTER(C229,"(")</f>
        <v>DCF (Exit Multiple)</v>
      </c>
      <c r="N6" s="63">
        <f ca="1">D243</f>
        <v>190.83934276585686</v>
      </c>
      <c r="O6" s="64">
        <f ca="1">D245</f>
        <v>-6.1003295327600071E-2</v>
      </c>
      <c r="P6" s="26" t="str">
        <f>"Terminal Growth Rate"</f>
        <v>Terminal Growth Rate</v>
      </c>
      <c r="R6" s="43">
        <f>2.5%</f>
        <v>2.5000000000000001E-2</v>
      </c>
      <c r="S6" s="18" cm="1">
        <f t="array" aca="1" ref="S6" ca="1">IF(SUM(--(ISNUMBER(S7:S8)))&gt;0,AVERAGE(S7:S8),IFERROR(_xlfn.XLOOKUP(D7,13:13,68:68),"NA"))</f>
        <v>203.23750000000001</v>
      </c>
    </row>
    <row r="7" spans="1:19" s="26" customFormat="1" x14ac:dyDescent="0.25">
      <c r="B7" s="18"/>
      <c r="C7" s="26" t="str">
        <f>"Valuation Date"</f>
        <v>Valuation Date</v>
      </c>
      <c r="D7" s="30">
        <f ca="1">TODAY()</f>
        <v>45874</v>
      </c>
      <c r="E7" s="18" t="str" cm="1">
        <f t="array" aca="1" ref="E7" ca="1">_xlfn.TEXTBEFORE(ADDRESS(1,_xlfn.XMATCH(C6,_xlfn.NUMBERVALUE(_xlfn.TEXTBEFORE(_xlfn.TEXTAFTER(INDIRECT("Consensus!18:18"),"FY ")," "))),4),1)</f>
        <v>B</v>
      </c>
      <c r="F7" s="40" t="str">
        <f>"Scenario"</f>
        <v>Scenario</v>
      </c>
      <c r="G7" s="31" t="str">
        <f>"Actuals Start"</f>
        <v>Actuals Start</v>
      </c>
      <c r="H7" s="31" t="str">
        <f>"Estimates Start"</f>
        <v>Estimates Start</v>
      </c>
      <c r="I7" s="31" t="str">
        <f>"Estimates End"</f>
        <v>Estimates End</v>
      </c>
      <c r="J7" s="33" t="str">
        <f>"Default: All actuals, 10Y estimates"</f>
        <v>Default: All actuals, 10Y estimates</v>
      </c>
      <c r="L7" s="26" t="str">
        <f>"DCF ("&amp;_xlfn.TEXTAFTER(C247,"(")</f>
        <v>DCF (Perpetuity)</v>
      </c>
      <c r="N7" s="63">
        <f ca="1">D261</f>
        <v>183.836069305199</v>
      </c>
      <c r="O7" s="64">
        <f ca="1">D263</f>
        <v>-9.5461864541735553E-2</v>
      </c>
      <c r="P7" s="26" t="str">
        <f>"Nebt Debt"</f>
        <v>Nebt Debt</v>
      </c>
      <c r="R7" s="44">
        <f ca="1">_xlfn.XLOOKUP(D7,13:13,58:58)</f>
        <v>-41934.131369863018</v>
      </c>
      <c r="S7" s="18">
        <f ca="1">IFERROR(K6,"NA")</f>
        <v>203.125</v>
      </c>
    </row>
    <row r="8" spans="1:19" s="26" customFormat="1" x14ac:dyDescent="0.25">
      <c r="B8" s="18"/>
      <c r="C8" s="26" t="str">
        <f>"Weighted-Average Cost of Capital"</f>
        <v>Weighted-Average Cost of Capital</v>
      </c>
      <c r="D8" s="32">
        <f ca="1">IF(N8,N8,D288)</f>
        <v>9.6440940418482793E-2</v>
      </c>
      <c r="E8" s="18" t="str" cm="1">
        <f t="array" aca="1" ref="E8" ca="1">_xlfn.TEXTBEFORE(ADDRESS(1,_xlfn.XMATCH(C6,_xlfn.NUMBERVALUE(_xlfn.TEXTBEFORE(_xlfn.TEXTAFTER(INDIRECT("Consensus!18:18"),"FY ")," ")))+F6-D9,4),1)</f>
        <v>P</v>
      </c>
      <c r="F8" s="20" t="str">
        <f>"Street Case"</f>
        <v>Street Case</v>
      </c>
      <c r="G8" s="20"/>
      <c r="H8" s="21"/>
      <c r="I8" s="21"/>
      <c r="J8" s="33" t="str">
        <f>"Overwrite years"</f>
        <v>Overwrite years</v>
      </c>
      <c r="L8" s="26" t="str">
        <f>"WACC (Overwrite)"</f>
        <v>WACC (Overwrite)</v>
      </c>
      <c r="N8" s="65">
        <f ca="1">IFERROR(D288,10%)</f>
        <v>9.6440940418482793E-2</v>
      </c>
      <c r="P8" s="26" t="str">
        <f>"Diluted Shares"</f>
        <v>Diluted Shares</v>
      </c>
      <c r="R8" s="44">
        <f ca="1">_xlfn.XLOOKUP(D7,13:13,53:53)</f>
        <v>14875.08487671233</v>
      </c>
      <c r="S8" s="18" cm="1" vm="1">
        <f t="array" aca="1" ref="S8" ca="1">IFERROR(_xlfn.LET(_xlpm.x,TRANSPOSE(_xlfn.STOCKHISTORY(TRIM(_xlfn.TEXTBEFORE(_xlfn.TEXTAFTER(C3,":")," ")), D7-7, D7,0,0,1)),INDEX(_xlpm.x,,COUNTA(_xlpm.x))),"NA")</f>
        <v>203.35</v>
      </c>
    </row>
    <row r="9" spans="1:19" s="18" customFormat="1" x14ac:dyDescent="0.25">
      <c r="D9" s="18">
        <f ca="1">C6</f>
        <v>2020</v>
      </c>
      <c r="E9" s="18" cm="1">
        <f t="array" aca="1" ref="E9:R9" ca="1">_xlfn.SEQUENCE(,F6-D9)+D9</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26"/>
      <c r="C10" s="27" t="str">
        <f>"Consensus Estimates"</f>
        <v>Consensus Estimates</v>
      </c>
      <c r="D10" s="18" cm="1">
        <f t="array" aca="1" ref="D10:R10" ca="1">--(D9:OFFSET(D9,0,F6-D9)&lt;$D$6)</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2" customFormat="1" x14ac:dyDescent="0.25">
      <c r="B11" s="23"/>
      <c r="C11" s="17"/>
      <c r="D11" s="22" t="str" cm="1">
        <f t="array" aca="1" ref="D11:R11" ca="1">IF($D$9:OFFSET($D$9,0,$F$6-$D$9)&lt;$D$6,TEXT($D$9:OFFSET($D$9,0,$F$6-$D$9),"0A"),TEXT($D$9:OFFSET($D$9,0,$F$6-$D$9),"0")&amp;"E")</f>
        <v>2020A</v>
      </c>
      <c r="E11" s="22" t="str">
        <f ca="1"/>
        <v>2021A</v>
      </c>
      <c r="F11" s="22" t="str">
        <f ca="1"/>
        <v>2022A</v>
      </c>
      <c r="G11" s="22" t="str">
        <f ca="1"/>
        <v>2023A</v>
      </c>
      <c r="H11" s="22" t="str">
        <f ca="1"/>
        <v>2024A</v>
      </c>
      <c r="I11" s="22" t="str">
        <f ca="1"/>
        <v>2025E</v>
      </c>
      <c r="J11" s="22" t="str">
        <f ca="1"/>
        <v>2026E</v>
      </c>
      <c r="K11" s="22" t="str">
        <f ca="1"/>
        <v>2027E</v>
      </c>
      <c r="L11" s="22" t="str">
        <f ca="1"/>
        <v>2028E</v>
      </c>
      <c r="M11" s="22" t="str">
        <f ca="1"/>
        <v>2029E</v>
      </c>
      <c r="N11" s="22" t="str">
        <f ca="1"/>
        <v>2030E</v>
      </c>
      <c r="O11" s="22" t="str">
        <f ca="1"/>
        <v>2031E</v>
      </c>
      <c r="P11" s="22" t="str">
        <f ca="1"/>
        <v>2032E</v>
      </c>
      <c r="Q11" s="22" t="str">
        <f ca="1"/>
        <v>2033E</v>
      </c>
      <c r="R11" s="22" t="str">
        <f ca="1"/>
        <v>2034E</v>
      </c>
    </row>
    <row r="12" spans="1:19" s="15" customFormat="1" x14ac:dyDescent="0.25">
      <c r="B12" s="24"/>
      <c r="C12" s="10" t="str">
        <f>"Fiscal Year"</f>
        <v>Fiscal Year</v>
      </c>
      <c r="D12" s="15" cm="1">
        <f t="array" aca="1" ref="D12:R12" ca="1">DATE($D$9:OFFSET($D$9,0,$F$6-$D$9),_xlfn.XLOOKUP(_xlfn.TEXTAFTER(_xlfn.TEXTBEFORE($C$5,"-"),": "),$G$4:$R$4,_xlfn.ANCHORARRAY($G$3)),$G$6)</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B13" s="24"/>
      <c r="C13" s="10" t="str">
        <f>"Valuation Date"</f>
        <v>Valuation Date</v>
      </c>
      <c r="D13" s="15" cm="1">
        <f t="array" aca="1" ref="D13:R13" ca="1">DATE(D9:OFFSET(D9,0,F6-D9)-E3,MONTH(D7),DAY(D7))</f>
        <v>44048</v>
      </c>
      <c r="E13" s="15">
        <f ca="1"/>
        <v>44413</v>
      </c>
      <c r="F13" s="15">
        <f ca="1"/>
        <v>44778</v>
      </c>
      <c r="G13" s="15">
        <f ca="1"/>
        <v>45143</v>
      </c>
      <c r="H13" s="15">
        <f ca="1"/>
        <v>45509</v>
      </c>
      <c r="I13" s="15">
        <f ca="1"/>
        <v>45874</v>
      </c>
      <c r="J13" s="15">
        <f ca="1"/>
        <v>46239</v>
      </c>
      <c r="K13" s="15">
        <f ca="1"/>
        <v>46604</v>
      </c>
      <c r="L13" s="15">
        <f ca="1"/>
        <v>46970</v>
      </c>
      <c r="M13" s="15">
        <f ca="1"/>
        <v>47335</v>
      </c>
      <c r="N13" s="15">
        <f ca="1"/>
        <v>47700</v>
      </c>
      <c r="O13" s="15">
        <f ca="1"/>
        <v>48065</v>
      </c>
      <c r="P13" s="15">
        <f ca="1"/>
        <v>48431</v>
      </c>
      <c r="Q13" s="15">
        <f ca="1"/>
        <v>48796</v>
      </c>
      <c r="R13" s="15">
        <f ca="1"/>
        <v>49161</v>
      </c>
    </row>
    <row r="15" spans="1:19" s="13" customFormat="1" x14ac:dyDescent="0.25">
      <c r="A15" s="8"/>
      <c r="B15" s="18"/>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12"/>
      <c r="B16" s="18">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
      <c r="B17" s="18"/>
      <c r="C17" s="8"/>
    </row>
    <row r="18" spans="1:18" s="13" customFormat="1" x14ac:dyDescent="0.25">
      <c r="A18" s="8"/>
      <c r="B18" s="18"/>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12"/>
      <c r="B19" s="18">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
      <c r="B20" s="18"/>
      <c r="C20" s="8"/>
    </row>
    <row r="21" spans="1:18" s="13" customFormat="1" x14ac:dyDescent="0.25">
      <c r="A21" s="8"/>
      <c r="B21" s="18"/>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12"/>
      <c r="B22" s="18">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
      <c r="B23" s="18"/>
      <c r="C23" s="8"/>
    </row>
    <row r="24" spans="1:18" s="13" customFormat="1" x14ac:dyDescent="0.25">
      <c r="A24" s="8"/>
      <c r="B24" s="18"/>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12"/>
      <c r="B25" s="18">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
      <c r="B26" s="18"/>
      <c r="C26" s="8"/>
    </row>
    <row r="27" spans="1:18" s="13" customFormat="1" x14ac:dyDescent="0.25">
      <c r="A27" s="8"/>
      <c r="B27" s="18"/>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12"/>
      <c r="B28" s="18">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
      <c r="B29" s="18"/>
      <c r="C29" s="8"/>
    </row>
    <row r="30" spans="1:18" s="13" customFormat="1" x14ac:dyDescent="0.25">
      <c r="A30" s="8"/>
      <c r="B30" s="18"/>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12"/>
      <c r="B31" s="18"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
      <c r="B32" s="18"/>
      <c r="C32" s="8"/>
    </row>
    <row r="33" spans="1:18" s="13" customFormat="1" x14ac:dyDescent="0.25">
      <c r="A33" s="8"/>
      <c r="B33" s="18"/>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12"/>
      <c r="B34" s="18">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
      <c r="B35" s="18"/>
      <c r="C35" s="8"/>
    </row>
    <row r="36" spans="1:18" s="13" customFormat="1" x14ac:dyDescent="0.25">
      <c r="A36" s="8"/>
      <c r="B36" s="18"/>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12"/>
      <c r="B37" s="18"/>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12"/>
      <c r="B38" s="25"/>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
      <c r="B39" s="18"/>
      <c r="C39" s="8"/>
    </row>
    <row r="40" spans="1:18" s="13" customFormat="1" x14ac:dyDescent="0.25">
      <c r="A40" s="8"/>
      <c r="B40" s="18"/>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12"/>
      <c r="B41" s="25"/>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
      <c r="B42" s="18">
        <f ca="1">_xlfn.XMATCH(C41,INDIRECT("Consensus!A:A"))</f>
        <v>167</v>
      </c>
      <c r="C42" s="8"/>
    </row>
    <row r="43" spans="1:18" s="13" customFormat="1" x14ac:dyDescent="0.25">
      <c r="A43" s="8"/>
      <c r="B43" s="18"/>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12"/>
      <c r="B44" s="25"/>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
      <c r="B45" s="18"/>
      <c r="C45" s="8"/>
    </row>
    <row r="46" spans="1:18" s="13" customFormat="1" x14ac:dyDescent="0.25">
      <c r="A46" s="8"/>
      <c r="B46" s="18"/>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12"/>
      <c r="B47" s="25"/>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
      <c r="B48" s="18"/>
      <c r="C48" s="8"/>
    </row>
    <row r="49" spans="1:18" s="13" customFormat="1" x14ac:dyDescent="0.25">
      <c r="A49" s="8"/>
      <c r="B49" s="18"/>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
      <c r="B50" s="18">
        <f ca="1">_xlfn.XMATCH(C49,INDIRECT("Consensus!A:A"))</f>
        <v>83</v>
      </c>
      <c r="C50" s="8"/>
    </row>
    <row r="51" spans="1:18" s="13" customFormat="1" x14ac:dyDescent="0.25">
      <c r="A51" s="8"/>
      <c r="B51" s="18"/>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
      <c r="B52" s="18"/>
      <c r="C52" s="8"/>
    </row>
    <row r="53" spans="1:18" s="13" customFormat="1" x14ac:dyDescent="0.25">
      <c r="A53" s="8"/>
      <c r="B53" s="18"/>
      <c r="C53" s="8" t="str">
        <f>"Diluted Shares Outstanding as of Valuation Date"</f>
        <v>Diluted Shares Outstanding as of Valuation Date</v>
      </c>
      <c r="D53" s="13" t="str" cm="1">
        <f t="array" aca="1" ref="D53:R53" ca="1">IFERROR(C51:OFFSET(C51,0,$F$6-$D$9)*(1-$E$4)+D51:OFFSET(D51,0,$F$6-$D$9)*(1-$F$4),"NA")</f>
        <v>NA</v>
      </c>
      <c r="E53" s="13" t="str">
        <f ca="1"/>
        <v>NA</v>
      </c>
      <c r="F53" s="13" t="str">
        <f ca="1"/>
        <v>NA</v>
      </c>
      <c r="G53" s="13" t="str">
        <f ca="1"/>
        <v>NA</v>
      </c>
      <c r="H53" s="13">
        <f ca="1"/>
        <v>15197.120794520546</v>
      </c>
      <c r="I53" s="13">
        <f ca="1"/>
        <v>14875.08487671233</v>
      </c>
      <c r="J53" s="13">
        <f ca="1"/>
        <v>14517.090027397262</v>
      </c>
      <c r="K53" s="13">
        <f ca="1"/>
        <v>13911.989438356166</v>
      </c>
      <c r="L53" s="13">
        <f ca="1"/>
        <v>13157.254520547944</v>
      </c>
      <c r="M53" s="13" t="str">
        <f ca="1"/>
        <v>NA</v>
      </c>
      <c r="N53" s="13" t="str">
        <f ca="1"/>
        <v>NA</v>
      </c>
      <c r="O53" s="13" t="str">
        <f ca="1"/>
        <v>NA</v>
      </c>
      <c r="P53" s="13" t="str">
        <f ca="1"/>
        <v>NA</v>
      </c>
      <c r="Q53" s="13" t="str">
        <f ca="1"/>
        <v>NA</v>
      </c>
      <c r="R53" s="13" t="str">
        <f ca="1"/>
        <v>NA</v>
      </c>
    </row>
    <row r="54" spans="1:18" s="13" customFormat="1" x14ac:dyDescent="0.25">
      <c r="A54" s="8"/>
      <c r="B54" s="18"/>
      <c r="C54" s="8"/>
    </row>
    <row r="55" spans="1:18" s="13" customFormat="1" x14ac:dyDescent="0.25">
      <c r="A55" s="8"/>
      <c r="B55" s="18"/>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12"/>
      <c r="B56" s="18">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
      <c r="B57" s="18"/>
      <c r="C57" s="8"/>
    </row>
    <row r="58" spans="1:18" s="13" customFormat="1" x14ac:dyDescent="0.25">
      <c r="A58" s="8"/>
      <c r="B58" s="18"/>
      <c r="C58" s="8" t="str">
        <f>"Net Debt as of Valuation Date"</f>
        <v>Net Debt as of Valuation Date</v>
      </c>
      <c r="D58" s="13" t="str" cm="1">
        <f t="array" aca="1" ref="D58:R58" ca="1">IFERROR(C55:OFFSET(C55,0,$F$6-$D$9)*(1-$E$4)+D55:OFFSET(D55,0,$F$6-$D$9)*(1-$F$4),"NA")</f>
        <v>NA</v>
      </c>
      <c r="E58" s="13">
        <f ca="1"/>
        <v>-67883.115068493149</v>
      </c>
      <c r="F58" s="13">
        <f ca="1"/>
        <v>-51610.936986301371</v>
      </c>
      <c r="G58" s="13">
        <f ca="1"/>
        <v>-50708.6</v>
      </c>
      <c r="H58" s="13">
        <f ca="1"/>
        <v>-50172.890410958906</v>
      </c>
      <c r="I58" s="13">
        <f ca="1"/>
        <v>-41934.131369863018</v>
      </c>
      <c r="J58" s="13">
        <f ca="1"/>
        <v>-36129.4704109589</v>
      </c>
      <c r="K58" s="13">
        <f ca="1"/>
        <v>-31795.458301369865</v>
      </c>
      <c r="L58" s="13" t="str">
        <f ca="1"/>
        <v>NA</v>
      </c>
      <c r="M58" s="13" t="str">
        <f ca="1"/>
        <v>NA</v>
      </c>
      <c r="N58" s="13" t="str">
        <f ca="1"/>
        <v>NA</v>
      </c>
      <c r="O58" s="13" t="str">
        <f ca="1"/>
        <v>NA</v>
      </c>
      <c r="P58" s="13" t="str">
        <f ca="1"/>
        <v>NA</v>
      </c>
      <c r="Q58" s="13" t="str">
        <f ca="1"/>
        <v>NA</v>
      </c>
      <c r="R58" s="13" t="str">
        <f ca="1"/>
        <v>NA</v>
      </c>
    </row>
    <row r="59" spans="1:18" s="13" customFormat="1" x14ac:dyDescent="0.25">
      <c r="A59" s="8"/>
      <c r="B59" s="18"/>
      <c r="C59" s="8"/>
    </row>
    <row r="60" spans="1:18" s="13" customFormat="1" x14ac:dyDescent="0.25">
      <c r="A60" s="8"/>
      <c r="B60" s="18"/>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
      <c r="B61" s="18">
        <f ca="1">_xlfn.XMATCH(C60,INDIRECT("Consensus!A:A"))</f>
        <v>140</v>
      </c>
      <c r="C61" s="8"/>
    </row>
    <row r="62" spans="1:18" s="13" customFormat="1" x14ac:dyDescent="0.25">
      <c r="A62" s="8"/>
      <c r="B62" s="18"/>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
      <c r="B63" s="18">
        <f ca="1">_xlfn.XMATCH(C62,INDIRECT("Consensus!A:A"))</f>
        <v>203</v>
      </c>
      <c r="C63" s="8"/>
    </row>
    <row r="64" spans="1:18" s="13" customFormat="1" x14ac:dyDescent="0.25">
      <c r="A64" s="8"/>
      <c r="B64" s="18"/>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
      <c r="B65" s="18"/>
      <c r="C65" s="8"/>
    </row>
    <row r="66" spans="1:18" s="13" customFormat="1" x14ac:dyDescent="0.25">
      <c r="A66" s="8"/>
      <c r="B66" s="18"/>
      <c r="C66" s="8" t="str">
        <f>"Equity Value as of Valuation Date"</f>
        <v>Equity Value as of Valuation Date</v>
      </c>
      <c r="D66" s="13" t="str" cm="1">
        <f t="array" aca="1" ref="D66:R66" ca="1">IFERROR(C64:OFFSET(C64,0,$F$6-$D$9)*(1-$E$4)+D64:OFFSET(D64,0,$F$6-$D$9)*(1-$F$4),"NA")</f>
        <v>NA</v>
      </c>
      <c r="E66" s="13">
        <f ca="1"/>
        <v>2302752.1769863013</v>
      </c>
      <c r="F66" s="13">
        <f ca="1"/>
        <v>2417943.1491780821</v>
      </c>
      <c r="G66" s="13">
        <f ca="1"/>
        <v>2593489.4565753425</v>
      </c>
      <c r="H66" s="13">
        <f ca="1"/>
        <v>3160173.1272876714</v>
      </c>
      <c r="I66" s="13">
        <f ca="1"/>
        <v>3146107.7378356159</v>
      </c>
      <c r="J66" s="13">
        <f ca="1"/>
        <v>3117202.3943561646</v>
      </c>
      <c r="K66" s="13">
        <f ca="1"/>
        <v>3115879.7815616438</v>
      </c>
      <c r="L66" s="13" t="str">
        <f ca="1"/>
        <v>NA</v>
      </c>
      <c r="M66" s="13" t="str">
        <f ca="1"/>
        <v>NA</v>
      </c>
      <c r="N66" s="13" t="str">
        <f ca="1"/>
        <v>NA</v>
      </c>
      <c r="O66" s="13" t="str">
        <f ca="1"/>
        <v>NA</v>
      </c>
      <c r="P66" s="13" t="str">
        <f ca="1"/>
        <v>NA</v>
      </c>
      <c r="Q66" s="13" t="str">
        <f ca="1"/>
        <v>NA</v>
      </c>
      <c r="R66" s="13" t="str">
        <f ca="1"/>
        <v>NA</v>
      </c>
    </row>
    <row r="67" spans="1:18" s="13" customFormat="1" x14ac:dyDescent="0.25">
      <c r="A67" s="8"/>
      <c r="B67" s="18"/>
      <c r="C67" s="8"/>
    </row>
    <row r="68" spans="1:18" s="91" customFormat="1" x14ac:dyDescent="0.25">
      <c r="A68" s="8"/>
      <c r="B68" s="8"/>
      <c r="C68" s="8" t="str">
        <f>"Implied Share Price"</f>
        <v>Implied Share Price</v>
      </c>
      <c r="D68" s="91" t="str" cm="1">
        <f t="array" aca="1" ref="D68:R68" ca="1">IFERROR(_xlfn.ANCHORARRAY(D66)/_xlfn.ANCHORARRAY(D53),"NA ")</f>
        <v xml:space="preserve">NA </v>
      </c>
      <c r="E68" s="91" t="str">
        <f ca="1"/>
        <v xml:space="preserve">NA </v>
      </c>
      <c r="F68" s="91" t="str">
        <f ca="1"/>
        <v xml:space="preserve">NA </v>
      </c>
      <c r="G68" s="91" t="str">
        <f ca="1"/>
        <v xml:space="preserve">NA </v>
      </c>
      <c r="H68" s="91">
        <f ca="1"/>
        <v>207.94551612875904</v>
      </c>
      <c r="I68" s="91">
        <f ca="1"/>
        <v>211.5018343701017</v>
      </c>
      <c r="J68" s="91">
        <f ca="1"/>
        <v>214.72639409642355</v>
      </c>
      <c r="K68" s="91">
        <f ca="1"/>
        <v>223.97082713209812</v>
      </c>
      <c r="L68" s="91" t="str">
        <f ca="1"/>
        <v xml:space="preserve">NA </v>
      </c>
      <c r="M68" s="91" t="str">
        <f ca="1"/>
        <v xml:space="preserve">NA </v>
      </c>
      <c r="N68" s="91" t="str">
        <f ca="1"/>
        <v xml:space="preserve">NA </v>
      </c>
      <c r="O68" s="91" t="str">
        <f ca="1"/>
        <v xml:space="preserve">NA </v>
      </c>
      <c r="P68" s="91" t="str">
        <f ca="1"/>
        <v xml:space="preserve">NA </v>
      </c>
      <c r="Q68" s="91" t="str">
        <f ca="1"/>
        <v xml:space="preserve">NA </v>
      </c>
      <c r="R68" s="91" t="str">
        <f ca="1"/>
        <v xml:space="preserve">NA </v>
      </c>
    </row>
    <row r="69" spans="1:18" s="91" customFormat="1" x14ac:dyDescent="0.25">
      <c r="A69" s="8"/>
      <c r="B69" s="8"/>
      <c r="C69" s="8"/>
    </row>
    <row r="70" spans="1:18" s="92" customFormat="1" x14ac:dyDescent="0.25">
      <c r="A70" s="50"/>
      <c r="B70" s="50"/>
      <c r="C70" s="50" t="str">
        <f>"Implied EV/EBITDA Multiple"</f>
        <v>Implied EV/EBITDA Multiple</v>
      </c>
      <c r="D70" s="92" cm="1">
        <f t="array" aca="1" ref="D70:R70" ca="1">IFERROR(_xlfn.ANCHORARRAY(D62)/_xlfn.ANCHORARRAY(D18),"NA")</f>
        <v>22.701909650393048</v>
      </c>
      <c r="E70" s="92">
        <f ca="1"/>
        <v>19.309843387422752</v>
      </c>
      <c r="F70" s="92">
        <f ca="1"/>
        <v>18.189108785745475</v>
      </c>
      <c r="G70" s="92">
        <f ca="1"/>
        <v>20.452170163725956</v>
      </c>
      <c r="H70" s="92">
        <f ca="1"/>
        <v>23.81734681904932</v>
      </c>
      <c r="I70" s="92">
        <f ca="1"/>
        <v>21.45197779471415</v>
      </c>
      <c r="J70" s="92">
        <f ca="1"/>
        <v>20.597093298385563</v>
      </c>
      <c r="K70" s="92">
        <f ca="1"/>
        <v>19.11649661349972</v>
      </c>
      <c r="L70" s="92">
        <f ca="1"/>
        <v>19.636919613760153</v>
      </c>
      <c r="M70" s="92">
        <f ca="1"/>
        <v>18.02383110429037</v>
      </c>
      <c r="N70" s="92">
        <f ca="1"/>
        <v>14.678404457295741</v>
      </c>
      <c r="O70" s="92">
        <f ca="1"/>
        <v>13.751321209211818</v>
      </c>
      <c r="P70" s="92" t="str">
        <f ca="1"/>
        <v>NA</v>
      </c>
      <c r="Q70" s="92" t="str">
        <f ca="1"/>
        <v>NA</v>
      </c>
      <c r="R70" s="92" t="str">
        <f ca="1"/>
        <v>NA</v>
      </c>
    </row>
    <row r="71" spans="1:18" s="92" customFormat="1" x14ac:dyDescent="0.25">
      <c r="A71" s="50"/>
      <c r="B71" s="50"/>
      <c r="C71" s="50"/>
    </row>
    <row r="72" spans="1:18" s="92" customFormat="1" x14ac:dyDescent="0.25">
      <c r="A72" s="50"/>
      <c r="B72" s="50"/>
      <c r="C72" s="8" t="str">
        <f>"EV/EBITDA Multiple as of Valuation Date"</f>
        <v>EV/EBITDA Multiple as of Valuation Date</v>
      </c>
      <c r="D72" s="92"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92">
        <f ca="1"/>
        <v>19.830269992152445</v>
      </c>
      <c r="F72" s="92">
        <f ca="1"/>
        <v>18.361057108194593</v>
      </c>
      <c r="G72" s="92">
        <f ca="1"/>
        <v>20.104960746830322</v>
      </c>
      <c r="H72" s="92">
        <f ca="1"/>
        <v>23.301045743164089</v>
      </c>
      <c r="I72" s="92">
        <f ca="1"/>
        <v>21.814883727214887</v>
      </c>
      <c r="J72" s="92">
        <f ca="1"/>
        <v>20.728253659466112</v>
      </c>
      <c r="K72" s="92">
        <f ca="1"/>
        <v>19.34365665282467</v>
      </c>
      <c r="L72" s="92">
        <f ca="1"/>
        <v>19.557073893172252</v>
      </c>
      <c r="M72" s="92">
        <f ca="1"/>
        <v>18.2713186564282</v>
      </c>
      <c r="N72" s="92">
        <f ca="1"/>
        <v>15.191675394916835</v>
      </c>
      <c r="O72" s="92">
        <f ca="1"/>
        <v>13.893558639054831</v>
      </c>
      <c r="P72" s="92">
        <f ca="1"/>
        <v>13.893558639054831</v>
      </c>
      <c r="Q72" s="92">
        <f ca="1"/>
        <v>13.893558639054831</v>
      </c>
      <c r="R72" s="92">
        <f ca="1"/>
        <v>13.893558639054831</v>
      </c>
    </row>
    <row r="73" spans="1:18" s="13" customFormat="1" x14ac:dyDescent="0.25">
      <c r="A73" s="8"/>
      <c r="B73" s="18"/>
      <c r="C73" s="8"/>
    </row>
    <row r="74" spans="1:18" x14ac:dyDescent="0.25">
      <c r="C74" s="9" t="str">
        <f>"Discounted Cash Flow - "&amp;F8</f>
        <v>Discounted Cash Flow - Street Case</v>
      </c>
    </row>
    <row r="75" spans="1:18" s="22" customFormat="1" x14ac:dyDescent="0.25">
      <c r="B75" s="23"/>
      <c r="C75" s="17"/>
      <c r="D75" s="22" t="str" cm="1">
        <f t="array" aca="1" ref="D75:R75" ca="1">IF($D$9:OFFSET($D$9,0,$F$6-$D$9)&lt;$D$6,TEXT($D$9:OFFSET($D$9,0,$F$6-$D$9),"0A"),TEXT($D$9:OFFSET($D$9,0,$F$6-$D$9),"0")&amp;"E")</f>
        <v>2020A</v>
      </c>
      <c r="E75" s="22" t="str">
        <f ca="1"/>
        <v>2021A</v>
      </c>
      <c r="F75" s="22" t="str">
        <f ca="1"/>
        <v>2022A</v>
      </c>
      <c r="G75" s="22" t="str">
        <f ca="1"/>
        <v>2023A</v>
      </c>
      <c r="H75" s="22" t="str">
        <f ca="1"/>
        <v>2024A</v>
      </c>
      <c r="I75" s="22" t="str">
        <f ca="1"/>
        <v>2025E</v>
      </c>
      <c r="J75" s="22" t="str">
        <f ca="1"/>
        <v>2026E</v>
      </c>
      <c r="K75" s="22" t="str">
        <f ca="1"/>
        <v>2027E</v>
      </c>
      <c r="L75" s="22" t="str">
        <f ca="1"/>
        <v>2028E</v>
      </c>
      <c r="M75" s="22" t="str">
        <f ca="1"/>
        <v>2029E</v>
      </c>
      <c r="N75" s="22" t="str">
        <f ca="1"/>
        <v>2030E</v>
      </c>
      <c r="O75" s="22" t="str">
        <f ca="1"/>
        <v>2031E</v>
      </c>
      <c r="P75" s="22" t="str">
        <f ca="1"/>
        <v>2032E</v>
      </c>
      <c r="Q75" s="22" t="str">
        <f ca="1"/>
        <v>2033E</v>
      </c>
      <c r="R75" s="22" t="str">
        <f ca="1"/>
        <v>2034E</v>
      </c>
    </row>
    <row r="76" spans="1:18" s="15" customFormat="1" x14ac:dyDescent="0.25">
      <c r="B76" s="24"/>
      <c r="C76" s="10" t="str">
        <f>"Fiscal Year"</f>
        <v>Fiscal Year</v>
      </c>
      <c r="D76" s="15" cm="1">
        <f t="array" aca="1" ref="D76:R76" ca="1">DATE($D$9:OFFSET($D$9,0,$F$6-$D$9),_xlfn.XLOOKUP(_xlfn.TEXTAFTER(_xlfn.TEXTBEFORE($C$5,"-"),": "),$G$4:$R$4,_xlfn.ANCHORARRAY($G$3)),$G$6)</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9" customFormat="1" x14ac:dyDescent="0.25">
      <c r="A78" s="26"/>
      <c r="B78" s="18"/>
      <c r="C78" s="26" t="str">
        <f>$C$15</f>
        <v>Revenue</v>
      </c>
      <c r="D78" s="29">
        <f ca="1">CHOOSE($F$3,D107,D136,D165,D194)</f>
        <v>274515</v>
      </c>
      <c r="E78" s="29" cm="1">
        <f t="array" aca="1" ref="E78:R78" ca="1">CHOOSE($F$3,_xlfn.ANCHORARRAY(E107),_xlfn.ANCHORARRAY(E136),_xlfn.ANCHORARRAY(E165),_xlfn.ANCHORARRAY(E194))</f>
        <v>365817</v>
      </c>
      <c r="F78" s="29">
        <f ca="1"/>
        <v>394328</v>
      </c>
      <c r="G78" s="29">
        <f ca="1"/>
        <v>383285</v>
      </c>
      <c r="H78" s="29">
        <f ca="1"/>
        <v>391034.99999999994</v>
      </c>
      <c r="I78" s="29">
        <f ca="1"/>
        <v>414909.04999999987</v>
      </c>
      <c r="J78" s="29">
        <f ca="1"/>
        <v>435293.34999999986</v>
      </c>
      <c r="K78" s="29">
        <f ca="1"/>
        <v>463392.14999999991</v>
      </c>
      <c r="L78" s="29">
        <f ca="1"/>
        <v>489893.49999999983</v>
      </c>
      <c r="M78" s="29">
        <f ca="1"/>
        <v>533328.99999999988</v>
      </c>
      <c r="N78" s="29">
        <f ca="1"/>
        <v>569146.99999999988</v>
      </c>
      <c r="O78" s="29">
        <f ca="1"/>
        <v>596417.99999999988</v>
      </c>
      <c r="P78" s="29">
        <f ca="1"/>
        <v>624995.70536961441</v>
      </c>
      <c r="Q78" s="29">
        <f ca="1"/>
        <v>654942.72763474926</v>
      </c>
      <c r="R78" s="29">
        <f ca="1"/>
        <v>686324.67838794168</v>
      </c>
    </row>
    <row r="79" spans="1:18" s="19" customFormat="1" x14ac:dyDescent="0.25">
      <c r="A79" s="12"/>
      <c r="B79" s="18"/>
      <c r="C79" s="16" t="str">
        <f>$C$16</f>
        <v>% growth</v>
      </c>
      <c r="D79" s="39"/>
      <c r="E79" s="39" cm="1">
        <f t="array" aca="1" ref="E79:R79" ca="1">CHOOSE($F$3,_xlfn.ANCHORARRAY(E108),_xlfn.ANCHORARRAY(E137),_xlfn.ANCHORARRAY(E166),_xlfn.ANCHORARRAY(E195))</f>
        <v>0.33259384733074704</v>
      </c>
      <c r="F79" s="39">
        <f ca="1"/>
        <v>7.7937876041846099E-2</v>
      </c>
      <c r="G79" s="39">
        <f ca="1"/>
        <v>-2.800460530319937E-2</v>
      </c>
      <c r="H79" s="39">
        <f ca="1"/>
        <v>2.021994077514111E-2</v>
      </c>
      <c r="I79" s="39">
        <f ca="1"/>
        <v>6.1053486260820522E-2</v>
      </c>
      <c r="J79" s="39">
        <f ca="1"/>
        <v>4.9129562249847325E-2</v>
      </c>
      <c r="K79" s="39">
        <f ca="1"/>
        <v>6.4551411134583292E-2</v>
      </c>
      <c r="L79" s="39">
        <f ca="1"/>
        <v>5.7189898447783216E-2</v>
      </c>
      <c r="M79" s="39">
        <f ca="1"/>
        <v>8.8663148214867205E-2</v>
      </c>
      <c r="N79" s="39">
        <f ca="1"/>
        <v>6.7159295669277252E-2</v>
      </c>
      <c r="O79" s="39">
        <f ca="1"/>
        <v>4.791556487164117E-2</v>
      </c>
      <c r="P79" s="39">
        <f ca="1"/>
        <v>4.791556487164117E-2</v>
      </c>
      <c r="Q79" s="39">
        <f ca="1"/>
        <v>4.791556487164117E-2</v>
      </c>
      <c r="R79" s="39">
        <f ca="1"/>
        <v>4.791556487164117E-2</v>
      </c>
    </row>
    <row r="80" spans="1:18" s="13" customFormat="1" x14ac:dyDescent="0.25">
      <c r="A80" s="8"/>
      <c r="B80" s="18"/>
      <c r="C80" s="8"/>
      <c r="D80" s="29"/>
      <c r="E80" s="29"/>
      <c r="F80" s="29"/>
      <c r="G80" s="29"/>
      <c r="H80" s="29"/>
      <c r="I80" s="29"/>
      <c r="J80" s="29"/>
      <c r="K80" s="29"/>
      <c r="L80" s="29"/>
      <c r="M80" s="29"/>
      <c r="N80" s="29"/>
      <c r="O80" s="29"/>
      <c r="P80" s="29"/>
      <c r="Q80" s="29"/>
      <c r="R80" s="29"/>
    </row>
    <row r="81" spans="1:18" s="13" customFormat="1" x14ac:dyDescent="0.25">
      <c r="A81" s="8"/>
      <c r="B81" s="18"/>
      <c r="C81" s="8" t="str">
        <f>$C$21</f>
        <v>EBIT</v>
      </c>
      <c r="D81" s="29" cm="1">
        <f t="array" aca="1" ref="D81:R81" ca="1">CHOOSE($F$3,_xlfn.ANCHORARRAY(D110),_xlfn.ANCHORARRAY(D139),_xlfn.ANCHORARRAY(D168),_xlfn.ANCHORARRAY(D197))</f>
        <v>66288</v>
      </c>
      <c r="E81" s="29">
        <f ca="1"/>
        <v>108949</v>
      </c>
      <c r="F81" s="29">
        <f ca="1"/>
        <v>119437</v>
      </c>
      <c r="G81" s="29">
        <f ca="1"/>
        <v>114301</v>
      </c>
      <c r="H81" s="29">
        <f ca="1"/>
        <v>123215.99999999997</v>
      </c>
      <c r="I81" s="29">
        <f ca="1"/>
        <v>132012.79999999996</v>
      </c>
      <c r="J81" s="29">
        <f ca="1"/>
        <v>138295.30999999994</v>
      </c>
      <c r="K81" s="29">
        <f ca="1"/>
        <v>148068.09999999995</v>
      </c>
      <c r="L81" s="29">
        <f ca="1"/>
        <v>162985.49999999994</v>
      </c>
      <c r="M81" s="29">
        <f ca="1"/>
        <v>182518.49999999994</v>
      </c>
      <c r="N81" s="29">
        <f ca="1"/>
        <v>202401.99999999997</v>
      </c>
      <c r="O81" s="29">
        <f ca="1"/>
        <v>217276.99999999997</v>
      </c>
      <c r="P81" s="29">
        <f ca="1"/>
        <v>227687.95018861556</v>
      </c>
      <c r="Q81" s="29">
        <f ca="1"/>
        <v>238597.74693636916</v>
      </c>
      <c r="R81" s="29">
        <f ca="1"/>
        <v>250030.29275792619</v>
      </c>
    </row>
    <row r="82" spans="1:18" s="19" customFormat="1" x14ac:dyDescent="0.25">
      <c r="A82" s="12"/>
      <c r="B82" s="18"/>
      <c r="C82" s="16" t="str">
        <f>$C$22</f>
        <v>% of Revenue</v>
      </c>
      <c r="D82" s="39" cm="1">
        <f t="array" aca="1" ref="D82:R82" ca="1">CHOOSE($F$3,_xlfn.ANCHORARRAY(D111),_xlfn.ANCHORARRAY(D140),_xlfn.ANCHORARRAY(D169),_xlfn.ANCHORARRAY(D198))</f>
        <v>0.24147314354406862</v>
      </c>
      <c r="E82" s="39">
        <f ca="1"/>
        <v>0.29782377527561593</v>
      </c>
      <c r="F82" s="39">
        <f ca="1"/>
        <v>0.30288744395528594</v>
      </c>
      <c r="G82" s="39">
        <f ca="1"/>
        <v>0.29821412265024722</v>
      </c>
      <c r="H82" s="39">
        <f ca="1"/>
        <v>0.31510222870075566</v>
      </c>
      <c r="I82" s="39">
        <f ca="1"/>
        <v>0.31817286222125063</v>
      </c>
      <c r="J82" s="39">
        <f ca="1"/>
        <v>0.31770600217072004</v>
      </c>
      <c r="K82" s="39">
        <f ca="1"/>
        <v>0.31953087681783127</v>
      </c>
      <c r="L82" s="39">
        <f ca="1"/>
        <v>0.33269577979703752</v>
      </c>
      <c r="M82" s="39">
        <f ca="1"/>
        <v>0.34222496807786562</v>
      </c>
      <c r="N82" s="39">
        <f ca="1"/>
        <v>0.35562341539180564</v>
      </c>
      <c r="O82" s="39">
        <f ca="1"/>
        <v>0.36430322357809458</v>
      </c>
      <c r="P82" s="39">
        <f ca="1"/>
        <v>0.36430322357809458</v>
      </c>
      <c r="Q82" s="39">
        <f ca="1"/>
        <v>0.36430322357809458</v>
      </c>
      <c r="R82" s="39">
        <f ca="1"/>
        <v>0.36430322357809458</v>
      </c>
    </row>
    <row r="83" spans="1:18" s="13" customFormat="1" x14ac:dyDescent="0.25">
      <c r="A83" s="8"/>
      <c r="B83" s="18"/>
      <c r="C83" s="8"/>
      <c r="D83" s="29"/>
      <c r="E83" s="29"/>
      <c r="F83" s="29"/>
      <c r="G83" s="29"/>
      <c r="H83" s="29"/>
      <c r="I83" s="29"/>
      <c r="J83" s="29"/>
      <c r="K83" s="29"/>
      <c r="L83" s="29"/>
      <c r="M83" s="29"/>
      <c r="N83" s="29"/>
      <c r="O83" s="29"/>
      <c r="P83" s="29"/>
      <c r="Q83" s="29"/>
      <c r="R83" s="29"/>
    </row>
    <row r="84" spans="1:18" s="13" customFormat="1" x14ac:dyDescent="0.25">
      <c r="A84" s="8"/>
      <c r="B84" s="18"/>
      <c r="C84" s="8" t="str">
        <f>$C$24</f>
        <v>Depreciation &amp; Amortization</v>
      </c>
      <c r="D84" s="29" cm="1">
        <f t="array" aca="1" ref="D84:R84" ca="1">CHOOSE($F$3,_xlfn.ANCHORARRAY(D113),_xlfn.ANCHORARRAY(D142),_xlfn.ANCHORARRAY(D171),_xlfn.ANCHORARRAY(D200))</f>
        <v>11056</v>
      </c>
      <c r="E84" s="29">
        <f ca="1"/>
        <v>11284</v>
      </c>
      <c r="F84" s="29">
        <f ca="1"/>
        <v>11104</v>
      </c>
      <c r="G84" s="29">
        <f ca="1"/>
        <v>11519</v>
      </c>
      <c r="H84" s="29">
        <f ca="1"/>
        <v>11444.999999999998</v>
      </c>
      <c r="I84" s="29">
        <f ca="1"/>
        <v>11618.779999999997</v>
      </c>
      <c r="J84" s="29">
        <f ca="1"/>
        <v>12021.489999999996</v>
      </c>
      <c r="K84" s="29">
        <f ca="1"/>
        <v>12323.989999999998</v>
      </c>
      <c r="L84" s="29">
        <f ca="1"/>
        <v>11093.999999999996</v>
      </c>
      <c r="M84" s="29">
        <f ca="1"/>
        <v>11600.999999999998</v>
      </c>
      <c r="N84" s="29">
        <f ca="1"/>
        <v>15128.999999999998</v>
      </c>
      <c r="O84" s="29">
        <f ca="1"/>
        <v>16031.999999999996</v>
      </c>
      <c r="P84" s="29">
        <f ca="1"/>
        <v>16800.18233602215</v>
      </c>
      <c r="Q84" s="29">
        <f ca="1"/>
        <v>17605.172562599219</v>
      </c>
      <c r="R84" s="29">
        <f ca="1"/>
        <v>18448.734350598876</v>
      </c>
    </row>
    <row r="85" spans="1:18" s="19" customFormat="1" x14ac:dyDescent="0.25">
      <c r="A85" s="12"/>
      <c r="B85" s="18"/>
      <c r="C85" s="16" t="str">
        <f>$C$25</f>
        <v>% of Revenue</v>
      </c>
      <c r="D85" s="39" cm="1">
        <f t="array" aca="1" ref="D85:R85" ca="1">CHOOSE($F$3,_xlfn.ANCHORARRAY(D114),_xlfn.ANCHORARRAY(D143),_xlfn.ANCHORARRAY(D172),_xlfn.ANCHORARRAY(D201))</f>
        <v>4.0274666229532081E-2</v>
      </c>
      <c r="E85" s="39">
        <f ca="1"/>
        <v>3.084602410494865E-2</v>
      </c>
      <c r="F85" s="39">
        <f ca="1"/>
        <v>2.8159298857803657E-2</v>
      </c>
      <c r="G85" s="39">
        <f ca="1"/>
        <v>3.0053354553400212E-2</v>
      </c>
      <c r="H85" s="39">
        <f ca="1"/>
        <v>2.9268479803598143E-2</v>
      </c>
      <c r="I85" s="39">
        <f ca="1"/>
        <v>2.8003197327221473E-2</v>
      </c>
      <c r="J85" s="39">
        <f ca="1"/>
        <v>2.7616985189413072E-2</v>
      </c>
      <c r="K85" s="39">
        <f ca="1"/>
        <v>2.6595163513236035E-2</v>
      </c>
      <c r="L85" s="39">
        <f ca="1"/>
        <v>2.2645738308428261E-2</v>
      </c>
      <c r="M85" s="39">
        <f ca="1"/>
        <v>2.1752051735420351E-2</v>
      </c>
      <c r="N85" s="39">
        <f ca="1"/>
        <v>2.6581884820617522E-2</v>
      </c>
      <c r="O85" s="39">
        <f ca="1"/>
        <v>2.6880476444372907E-2</v>
      </c>
      <c r="P85" s="39">
        <f ca="1"/>
        <v>2.6880476444372907E-2</v>
      </c>
      <c r="Q85" s="39">
        <f ca="1"/>
        <v>2.6880476444372907E-2</v>
      </c>
      <c r="R85" s="39">
        <f ca="1"/>
        <v>2.6880476444372907E-2</v>
      </c>
    </row>
    <row r="86" spans="1:18" s="13" customFormat="1" x14ac:dyDescent="0.25">
      <c r="A86" s="8"/>
      <c r="B86" s="18"/>
      <c r="C86" s="8"/>
      <c r="D86" s="29"/>
      <c r="E86" s="29"/>
      <c r="F86" s="29"/>
      <c r="G86" s="29"/>
      <c r="H86" s="29"/>
      <c r="I86" s="29"/>
      <c r="J86" s="29"/>
      <c r="K86" s="29"/>
      <c r="L86" s="29"/>
      <c r="M86" s="29"/>
      <c r="N86" s="29"/>
      <c r="O86" s="29"/>
      <c r="P86" s="29"/>
      <c r="Q86" s="29"/>
      <c r="R86" s="29"/>
    </row>
    <row r="87" spans="1:18" s="13" customFormat="1" x14ac:dyDescent="0.25">
      <c r="A87" s="8"/>
      <c r="B87" s="18"/>
      <c r="C87" s="8" t="str">
        <f>$C$27</f>
        <v>Capital Expenditures</v>
      </c>
      <c r="D87" s="29" cm="1">
        <f t="array" aca="1" ref="D87:R87" ca="1">CHOOSE($F$3,_xlfn.ANCHORARRAY(D116),_xlfn.ANCHORARRAY(D145),_xlfn.ANCHORARRAY(D174),_xlfn.ANCHORARRAY(D203))</f>
        <v>-7309</v>
      </c>
      <c r="E87" s="29">
        <f ca="1"/>
        <v>-11085</v>
      </c>
      <c r="F87" s="29">
        <f ca="1"/>
        <v>-10708</v>
      </c>
      <c r="G87" s="29">
        <f ca="1"/>
        <v>-10959</v>
      </c>
      <c r="H87" s="29">
        <f ca="1"/>
        <v>-9446.9999999999982</v>
      </c>
      <c r="I87" s="29">
        <f ca="1"/>
        <v>-11813.409999999996</v>
      </c>
      <c r="J87" s="29">
        <f ca="1"/>
        <v>-12949.409999999996</v>
      </c>
      <c r="K87" s="29">
        <f ca="1"/>
        <v>-12658.629999999996</v>
      </c>
      <c r="L87" s="29">
        <f ca="1"/>
        <v>-14597.999999999995</v>
      </c>
      <c r="M87" s="29">
        <f ca="1"/>
        <v>-15749.999999999996</v>
      </c>
      <c r="N87" s="29">
        <f ca="1"/>
        <v>-15128.999999999998</v>
      </c>
      <c r="O87" s="29">
        <f ca="1"/>
        <v>-16031.999999999996</v>
      </c>
      <c r="P87" s="29">
        <f ca="1"/>
        <v>-16800.18233602215</v>
      </c>
      <c r="Q87" s="29">
        <f ca="1"/>
        <v>-17605.172562599219</v>
      </c>
      <c r="R87" s="29">
        <f ca="1"/>
        <v>-18448.734350598876</v>
      </c>
    </row>
    <row r="88" spans="1:18" s="19" customFormat="1" x14ac:dyDescent="0.25">
      <c r="A88" s="12"/>
      <c r="B88" s="18"/>
      <c r="C88" s="16" t="str">
        <f>$C$28</f>
        <v>% of Revenue</v>
      </c>
      <c r="D88" s="39" cm="1">
        <f t="array" aca="1" ref="D88:R88" ca="1">CHOOSE($F$3,_xlfn.ANCHORARRAY(D117),_xlfn.ANCHORARRAY(D146),_xlfn.ANCHORARRAY(D175),_xlfn.ANCHORARRAY(D204))</f>
        <v>2.6625138881299748E-2</v>
      </c>
      <c r="E88" s="39">
        <f ca="1"/>
        <v>3.0302036264033657E-2</v>
      </c>
      <c r="F88" s="39">
        <f ca="1"/>
        <v>2.7155058732831552E-2</v>
      </c>
      <c r="G88" s="39">
        <f ca="1"/>
        <v>2.859230076835775E-2</v>
      </c>
      <c r="H88" s="39">
        <f ca="1"/>
        <v>2.415896275269477E-2</v>
      </c>
      <c r="I88" s="39">
        <f ca="1"/>
        <v>2.8472288083376346E-2</v>
      </c>
      <c r="J88" s="39">
        <f ca="1"/>
        <v>2.9748697056823866E-2</v>
      </c>
      <c r="K88" s="39">
        <f ca="1"/>
        <v>2.7317316445692914E-2</v>
      </c>
      <c r="L88" s="39">
        <f ca="1"/>
        <v>2.9798313306871799E-2</v>
      </c>
      <c r="M88" s="39">
        <f ca="1"/>
        <v>2.953148994335579E-2</v>
      </c>
      <c r="N88" s="39">
        <f ca="1"/>
        <v>2.6581884820617522E-2</v>
      </c>
      <c r="O88" s="39">
        <f ca="1"/>
        <v>2.6880476444372907E-2</v>
      </c>
      <c r="P88" s="39">
        <f ca="1"/>
        <v>2.6880476444372907E-2</v>
      </c>
      <c r="Q88" s="39">
        <f ca="1"/>
        <v>2.6880476444372907E-2</v>
      </c>
      <c r="R88" s="39">
        <f ca="1"/>
        <v>2.6880476444372907E-2</v>
      </c>
    </row>
    <row r="89" spans="1:18" s="13" customFormat="1" x14ac:dyDescent="0.25">
      <c r="A89" s="8"/>
      <c r="B89" s="18"/>
      <c r="C89" s="8"/>
      <c r="D89" s="29"/>
      <c r="E89" s="29"/>
      <c r="F89" s="29"/>
      <c r="G89" s="29"/>
      <c r="H89" s="29"/>
      <c r="I89" s="29"/>
      <c r="J89" s="29"/>
      <c r="K89" s="29"/>
      <c r="L89" s="29"/>
      <c r="M89" s="29"/>
      <c r="N89" s="29"/>
      <c r="O89" s="29"/>
      <c r="P89" s="29"/>
      <c r="Q89" s="29"/>
      <c r="R89" s="29"/>
    </row>
    <row r="90" spans="1:18" s="13" customFormat="1" x14ac:dyDescent="0.25">
      <c r="A90" s="8"/>
      <c r="B90" s="18"/>
      <c r="C90" s="8" t="str">
        <f>$C$36</f>
        <v>Change in Working Capital &amp; Other Non-Cash Expenses</v>
      </c>
      <c r="D90" s="29" cm="1">
        <f t="array" aca="1" ref="D90:R90" ca="1">CHOOSE($F$3,_xlfn.ANCHORARRAY(D119),_xlfn.ANCHORARRAY(D148),_xlfn.ANCHORARRAY(D177),_xlfn.ANCHORARRAY(D206))</f>
        <v>12207</v>
      </c>
      <c r="E90" s="29">
        <f ca="1"/>
        <v>-1926</v>
      </c>
      <c r="F90" s="29">
        <f ca="1"/>
        <v>11244</v>
      </c>
      <c r="G90" s="29">
        <f ca="1"/>
        <v>2028.9999999999998</v>
      </c>
      <c r="H90" s="29">
        <f ca="1"/>
        <v>13072.999999999998</v>
      </c>
      <c r="I90" s="29">
        <f ca="1"/>
        <v>1406.6999999999948</v>
      </c>
      <c r="J90" s="29">
        <f ca="1"/>
        <v>13902.929999999995</v>
      </c>
      <c r="K90" s="29">
        <f ca="1"/>
        <v>13156.390000000001</v>
      </c>
      <c r="L90" s="29">
        <f ca="1"/>
        <v>31119.499999999989</v>
      </c>
      <c r="M90" s="29">
        <f ca="1"/>
        <v>34790.499999999993</v>
      </c>
      <c r="N90" s="29">
        <f ca="1"/>
        <v>22317.999999999996</v>
      </c>
      <c r="O90" s="29">
        <f ca="1"/>
        <v>27239.999999999993</v>
      </c>
      <c r="P90" s="29">
        <f ca="1"/>
        <v>28545.219987103501</v>
      </c>
      <c r="Q90" s="29">
        <f ca="1"/>
        <v>29912.980327170822</v>
      </c>
      <c r="R90" s="29">
        <f ca="1"/>
        <v>31346.277676541504</v>
      </c>
    </row>
    <row r="91" spans="1:18" s="19" customFormat="1" x14ac:dyDescent="0.25">
      <c r="A91" s="12"/>
      <c r="B91" s="18"/>
      <c r="C91" s="16" t="str">
        <f>$C$37</f>
        <v>% of Revenue</v>
      </c>
      <c r="D91" s="39" cm="1">
        <f t="array" aca="1" ref="D91:R91" ca="1">CHOOSE($F$3,_xlfn.ANCHORARRAY(D120),_xlfn.ANCHORARRAY(D149),_xlfn.ANCHORARRAY(D178),_xlfn.ANCHORARRAY(D207))</f>
        <v>4.4467515436314956E-2</v>
      </c>
      <c r="E91" s="39">
        <f ca="1"/>
        <v>-5.2649275457400833E-3</v>
      </c>
      <c r="F91" s="39">
        <f ca="1"/>
        <v>2.8514333245420055E-2</v>
      </c>
      <c r="G91" s="39">
        <f ca="1"/>
        <v>5.2937109461627767E-3</v>
      </c>
      <c r="H91" s="39">
        <f ca="1"/>
        <v>3.3431789993223111E-2</v>
      </c>
      <c r="I91" s="39">
        <f ca="1"/>
        <v>3.3903815788062356E-3</v>
      </c>
      <c r="J91" s="39">
        <f ca="1"/>
        <v>3.193921983875931E-2</v>
      </c>
      <c r="K91" s="39">
        <f ca="1"/>
        <v>2.8391482246732068E-2</v>
      </c>
      <c r="L91" s="39">
        <f ca="1"/>
        <v>6.3522990200931426E-2</v>
      </c>
      <c r="M91" s="39">
        <f ca="1"/>
        <v>6.5232717515829819E-2</v>
      </c>
      <c r="N91" s="39">
        <f ca="1"/>
        <v>3.9213067977165832E-2</v>
      </c>
      <c r="O91" s="39">
        <f ca="1"/>
        <v>4.5672665814915039E-2</v>
      </c>
      <c r="P91" s="39">
        <f ca="1"/>
        <v>4.5672665814915039E-2</v>
      </c>
      <c r="Q91" s="39">
        <f ca="1"/>
        <v>4.5672665814915039E-2</v>
      </c>
      <c r="R91" s="39">
        <f ca="1"/>
        <v>4.5672665814915039E-2</v>
      </c>
    </row>
    <row r="92" spans="1:18" s="19" customFormat="1" x14ac:dyDescent="0.25">
      <c r="A92" s="12"/>
      <c r="B92" s="25"/>
      <c r="C92" s="16" t="str">
        <f>$C$38</f>
        <v>% of Change in Revenue</v>
      </c>
      <c r="D92" s="39"/>
      <c r="E92" s="39" cm="1">
        <f t="array" aca="1" ref="E92:R92" ca="1">CHOOSE($F$3,_xlfn.ANCHORARRAY(E121),_xlfn.ANCHORARRAY(E150),_xlfn.ANCHORARRAY(E179),_xlfn.ANCHORARRAY(E208))</f>
        <v>-2.1094828152723927E-2</v>
      </c>
      <c r="F92" s="39">
        <f ca="1"/>
        <v>0.39437410122408895</v>
      </c>
      <c r="G92" s="39">
        <f ca="1"/>
        <v>-0.1837363035407045</v>
      </c>
      <c r="H92" s="39">
        <f ca="1"/>
        <v>1.6868387096774318</v>
      </c>
      <c r="I92" s="39">
        <f ca="1"/>
        <v>5.8921716256772477E-2</v>
      </c>
      <c r="J92" s="39">
        <f ca="1"/>
        <v>0.68204108063558733</v>
      </c>
      <c r="K92" s="39">
        <f ca="1"/>
        <v>0.46821892749868249</v>
      </c>
      <c r="L92" s="39">
        <f ca="1"/>
        <v>1.1742609338769567</v>
      </c>
      <c r="M92" s="39">
        <f ca="1"/>
        <v>0.80096925326058055</v>
      </c>
      <c r="N92" s="39">
        <f ca="1"/>
        <v>0.62309453347478916</v>
      </c>
      <c r="O92" s="39">
        <f ca="1"/>
        <v>0.99886326133988457</v>
      </c>
      <c r="P92" s="39">
        <f ca="1"/>
        <v>0.99886326133988457</v>
      </c>
      <c r="Q92" s="39">
        <f ca="1"/>
        <v>0.99886326133988768</v>
      </c>
      <c r="R92" s="39">
        <f ca="1"/>
        <v>0.99886326133988712</v>
      </c>
    </row>
    <row r="93" spans="1:18" s="13" customFormat="1" x14ac:dyDescent="0.25">
      <c r="A93" s="8"/>
      <c r="B93" s="18"/>
      <c r="C93" s="8"/>
      <c r="D93" s="29"/>
      <c r="E93" s="29"/>
      <c r="F93" s="29"/>
      <c r="G93" s="29"/>
      <c r="H93" s="29"/>
      <c r="I93" s="29"/>
      <c r="J93" s="29"/>
      <c r="K93" s="29"/>
      <c r="L93" s="29"/>
      <c r="M93" s="29"/>
      <c r="N93" s="29"/>
      <c r="O93" s="29"/>
      <c r="P93" s="29"/>
      <c r="Q93" s="29"/>
      <c r="R93" s="29"/>
    </row>
    <row r="94" spans="1:18" s="13" customFormat="1" x14ac:dyDescent="0.25">
      <c r="A94" s="8"/>
      <c r="B94" s="18"/>
      <c r="C94" s="8" t="str">
        <f>$C$40</f>
        <v>Normalized Taxes</v>
      </c>
      <c r="D94" s="29" cm="1">
        <f t="array" aca="1" ref="D94:R94" ca="1">CHOOSE($F$3,_xlfn.ANCHORARRAY(D123),_xlfn.ANCHORARRAY(D152),_xlfn.ANCHORARRAY(D181),_xlfn.ANCHORARRAY(D210))</f>
        <v>-9565.3583999999992</v>
      </c>
      <c r="E94" s="29">
        <f ca="1"/>
        <v>-14490.217000000001</v>
      </c>
      <c r="F94" s="29">
        <f ca="1"/>
        <v>-19348.794000000002</v>
      </c>
      <c r="G94" s="29">
        <f ca="1"/>
        <v>-16825.107199999999</v>
      </c>
      <c r="H94" s="29">
        <f ca="1"/>
        <v>-29682.734399999994</v>
      </c>
      <c r="I94" s="29">
        <f ca="1"/>
        <v>-20831.619839999992</v>
      </c>
      <c r="J94" s="29">
        <f ca="1"/>
        <v>-22265.54490999999</v>
      </c>
      <c r="K94" s="29">
        <f ca="1"/>
        <v>-23483.600659999989</v>
      </c>
      <c r="L94" s="29">
        <f ca="1"/>
        <v>-25262.752499999991</v>
      </c>
      <c r="M94" s="29">
        <f ca="1"/>
        <v>-28290.367499999989</v>
      </c>
      <c r="N94" s="29">
        <f ca="1"/>
        <v>-30360.299999999996</v>
      </c>
      <c r="O94" s="29">
        <f ca="1"/>
        <v>-32591.549999999996</v>
      </c>
      <c r="P94" s="29">
        <f ca="1"/>
        <v>-34153.192528292333</v>
      </c>
      <c r="Q94" s="29">
        <f ca="1"/>
        <v>-35789.662040455376</v>
      </c>
      <c r="R94" s="29">
        <f ca="1"/>
        <v>-37504.543913688925</v>
      </c>
    </row>
    <row r="95" spans="1:18" s="19" customFormat="1" x14ac:dyDescent="0.25">
      <c r="A95" s="12"/>
      <c r="B95" s="25"/>
      <c r="C95" s="16" t="str">
        <f>$C$41</f>
        <v>Effective Tax Rate (%)</v>
      </c>
      <c r="D95" s="39" cm="1">
        <f t="array" aca="1" ref="D95:R95" ca="1">CHOOSE($F$3,_xlfn.ANCHORARRAY(D124),_xlfn.ANCHORARRAY(D153),_xlfn.ANCHORARRAY(D182),_xlfn.ANCHORARRAY(D211))</f>
        <v>0.14429999999999998</v>
      </c>
      <c r="E95" s="39">
        <f ca="1"/>
        <v>0.13300000000000001</v>
      </c>
      <c r="F95" s="39">
        <f ca="1"/>
        <v>0.16200000000000001</v>
      </c>
      <c r="G95" s="39">
        <f ca="1"/>
        <v>0.1472</v>
      </c>
      <c r="H95" s="39">
        <f ca="1"/>
        <v>0.2409</v>
      </c>
      <c r="I95" s="39">
        <f ca="1"/>
        <v>0.1578</v>
      </c>
      <c r="J95" s="39">
        <f ca="1"/>
        <v>0.161</v>
      </c>
      <c r="K95" s="39">
        <f ca="1"/>
        <v>0.15859999999999999</v>
      </c>
      <c r="L95" s="39">
        <f ca="1"/>
        <v>0.155</v>
      </c>
      <c r="M95" s="39">
        <f ca="1"/>
        <v>0.155</v>
      </c>
      <c r="N95" s="39">
        <f ca="1"/>
        <v>0.15</v>
      </c>
      <c r="O95" s="39">
        <f ca="1"/>
        <v>0.15</v>
      </c>
      <c r="P95" s="39">
        <f ca="1"/>
        <v>0.15</v>
      </c>
      <c r="Q95" s="39">
        <f ca="1"/>
        <v>0.15</v>
      </c>
      <c r="R95" s="39">
        <f ca="1"/>
        <v>0.15</v>
      </c>
    </row>
    <row r="96" spans="1:18" s="13" customFormat="1" x14ac:dyDescent="0.25">
      <c r="A96" s="8"/>
      <c r="B96" s="18"/>
      <c r="C96" s="8"/>
      <c r="D96" s="29"/>
      <c r="E96" s="29"/>
      <c r="F96" s="29"/>
      <c r="G96" s="29"/>
      <c r="H96" s="29"/>
      <c r="I96" s="29"/>
      <c r="J96" s="29"/>
      <c r="K96" s="29"/>
      <c r="L96" s="29"/>
      <c r="M96" s="29"/>
      <c r="N96" s="29"/>
      <c r="O96" s="29"/>
      <c r="P96" s="29"/>
      <c r="Q96" s="29"/>
      <c r="R96" s="29"/>
    </row>
    <row r="97" spans="1:18" s="13" customFormat="1" x14ac:dyDescent="0.25">
      <c r="A97" s="8"/>
      <c r="B97" s="18"/>
      <c r="C97" s="8" t="str">
        <f>$C$43</f>
        <v>EBIAT/NOPAT</v>
      </c>
      <c r="D97" s="29" cm="1">
        <f t="array" aca="1" ref="D97:R97" ca="1">CHOOSE($F$3,_xlfn.ANCHORARRAY(D126),_xlfn.ANCHORARRAY(D155),_xlfn.ANCHORARRAY(D184),_xlfn.ANCHORARRAY(D213))</f>
        <v>56722.641600000003</v>
      </c>
      <c r="E97" s="29">
        <f ca="1"/>
        <v>94458.782999999996</v>
      </c>
      <c r="F97" s="29">
        <f ca="1"/>
        <v>100088.20600000001</v>
      </c>
      <c r="G97" s="29">
        <f ca="1"/>
        <v>97475.892800000001</v>
      </c>
      <c r="H97" s="29">
        <f ca="1"/>
        <v>93533.265599999984</v>
      </c>
      <c r="I97" s="29">
        <f ca="1"/>
        <v>111181.18015999996</v>
      </c>
      <c r="J97" s="29">
        <f ca="1"/>
        <v>116029.76508999994</v>
      </c>
      <c r="K97" s="29">
        <f ca="1"/>
        <v>124584.49933999995</v>
      </c>
      <c r="L97" s="29">
        <f ca="1"/>
        <v>137722.74749999994</v>
      </c>
      <c r="M97" s="29">
        <f ca="1"/>
        <v>154228.13249999995</v>
      </c>
      <c r="N97" s="29">
        <f ca="1"/>
        <v>172041.69999999998</v>
      </c>
      <c r="O97" s="29">
        <f ca="1"/>
        <v>184685.44999999998</v>
      </c>
      <c r="P97" s="29">
        <f ca="1"/>
        <v>193534.75766032323</v>
      </c>
      <c r="Q97" s="29">
        <f ca="1"/>
        <v>202808.08489591378</v>
      </c>
      <c r="R97" s="29">
        <f ca="1"/>
        <v>212525.74884423727</v>
      </c>
    </row>
    <row r="98" spans="1:18" s="19" customFormat="1" x14ac:dyDescent="0.25">
      <c r="A98" s="12"/>
      <c r="B98" s="25"/>
      <c r="C98" s="16" t="str">
        <f>$C$44</f>
        <v>% of Revenue</v>
      </c>
      <c r="D98" s="39" cm="1">
        <f t="array" aca="1" ref="D98:R98" ca="1">CHOOSE($F$3,_xlfn.ANCHORARRAY(D127),_xlfn.ANCHORARRAY(D156),_xlfn.ANCHORARRAY(D185),_xlfn.ANCHORARRAY(D214))</f>
        <v>0.20662856893065953</v>
      </c>
      <c r="E98" s="39">
        <f ca="1"/>
        <v>0.25821321316395901</v>
      </c>
      <c r="F98" s="39">
        <f ca="1"/>
        <v>0.25381967803452965</v>
      </c>
      <c r="G98" s="39">
        <f ca="1"/>
        <v>0.25431700379613081</v>
      </c>
      <c r="H98" s="39">
        <f ca="1"/>
        <v>0.23919410180674364</v>
      </c>
      <c r="I98" s="39">
        <f ca="1"/>
        <v>0.26796518456273727</v>
      </c>
      <c r="J98" s="39">
        <f ca="1"/>
        <v>0.26655533582123409</v>
      </c>
      <c r="K98" s="39">
        <f ca="1"/>
        <v>0.26885327975452322</v>
      </c>
      <c r="L98" s="39">
        <f ca="1"/>
        <v>0.28112793392849666</v>
      </c>
      <c r="M98" s="39">
        <f ca="1"/>
        <v>0.28918009802579642</v>
      </c>
      <c r="N98" s="39">
        <f ca="1"/>
        <v>0.30227990308303482</v>
      </c>
      <c r="O98" s="39">
        <f ca="1"/>
        <v>0.30965774004138041</v>
      </c>
      <c r="P98" s="39">
        <f ca="1"/>
        <v>0.30965774004138041</v>
      </c>
      <c r="Q98" s="39">
        <f ca="1"/>
        <v>0.30965774004138036</v>
      </c>
      <c r="R98" s="39">
        <f ca="1"/>
        <v>0.30965774004138041</v>
      </c>
    </row>
    <row r="99" spans="1:18" s="13" customFormat="1" x14ac:dyDescent="0.25">
      <c r="A99" s="8"/>
      <c r="B99" s="18"/>
      <c r="C99" s="8"/>
      <c r="D99" s="29"/>
      <c r="E99" s="29"/>
      <c r="F99" s="29"/>
      <c r="G99" s="29"/>
      <c r="H99" s="29"/>
      <c r="I99" s="29"/>
      <c r="J99" s="29"/>
      <c r="K99" s="29"/>
      <c r="L99" s="29"/>
      <c r="M99" s="29"/>
      <c r="N99" s="29"/>
      <c r="O99" s="29"/>
      <c r="P99" s="29"/>
      <c r="Q99" s="29"/>
      <c r="R99" s="29"/>
    </row>
    <row r="100" spans="1:18" s="13" customFormat="1" x14ac:dyDescent="0.25">
      <c r="A100" s="8"/>
      <c r="B100" s="18"/>
      <c r="C100" s="8" t="str">
        <f>$C$46</f>
        <v>Unlevered Free Cash Flow</v>
      </c>
      <c r="D100" s="29" cm="1">
        <f t="array" aca="1" ref="D100:R100" ca="1">CHOOSE($F$3,_xlfn.ANCHORARRAY(D129),_xlfn.ANCHORARRAY(D158),_xlfn.ANCHORARRAY(D187),_xlfn.ANCHORARRAY(D216))</f>
        <v>72676.641600000003</v>
      </c>
      <c r="E100" s="29">
        <f ca="1"/>
        <v>92731.782999999996</v>
      </c>
      <c r="F100" s="29">
        <f ca="1"/>
        <v>111728.20600000001</v>
      </c>
      <c r="G100" s="29">
        <f ca="1"/>
        <v>100064.8928</v>
      </c>
      <c r="H100" s="29">
        <f ca="1"/>
        <v>108604.26559999998</v>
      </c>
      <c r="I100" s="29">
        <f ca="1"/>
        <v>112393.25015999997</v>
      </c>
      <c r="J100" s="29">
        <f ca="1"/>
        <v>129004.77508999992</v>
      </c>
      <c r="K100" s="29">
        <f ca="1"/>
        <v>137406.24933999998</v>
      </c>
      <c r="L100" s="29">
        <f ca="1"/>
        <v>165338.24749999994</v>
      </c>
      <c r="M100" s="29">
        <f ca="1"/>
        <v>184869.63249999995</v>
      </c>
      <c r="N100" s="29">
        <f ca="1"/>
        <v>194359.69999999998</v>
      </c>
      <c r="O100" s="29">
        <f ca="1"/>
        <v>211925.44999999998</v>
      </c>
      <c r="P100" s="29">
        <f ca="1"/>
        <v>222079.97764742674</v>
      </c>
      <c r="Q100" s="29">
        <f ca="1"/>
        <v>232721.06522308459</v>
      </c>
      <c r="R100" s="29">
        <f ca="1"/>
        <v>243872.02652077877</v>
      </c>
    </row>
    <row r="101" spans="1:18" s="19" customFormat="1" x14ac:dyDescent="0.25">
      <c r="A101" s="12"/>
      <c r="B101" s="25"/>
      <c r="C101" s="16" t="str">
        <f>$C$47</f>
        <v>% of Revenue</v>
      </c>
      <c r="D101" s="39" cm="1">
        <f t="array" aca="1" ref="D101:R101" ca="1">CHOOSE($F$3,_xlfn.ANCHORARRAY(D130),_xlfn.ANCHORARRAY(D159),_xlfn.ANCHORARRAY(D188),_xlfn.ANCHORARRAY(D217))</f>
        <v>0.26474561171520683</v>
      </c>
      <c r="E101" s="39">
        <f ca="1"/>
        <v>0.25349227345913394</v>
      </c>
      <c r="F101" s="39">
        <f ca="1"/>
        <v>0.2833382514049218</v>
      </c>
      <c r="G101" s="39">
        <f ca="1"/>
        <v>0.26107176852733605</v>
      </c>
      <c r="H101" s="39">
        <f ca="1"/>
        <v>0.27773540885087011</v>
      </c>
      <c r="I101" s="39">
        <f ca="1"/>
        <v>0.27088647538538868</v>
      </c>
      <c r="J101" s="39">
        <f ca="1"/>
        <v>0.29636284379258254</v>
      </c>
      <c r="K101" s="39">
        <f ca="1"/>
        <v>0.29652260906879846</v>
      </c>
      <c r="L101" s="39">
        <f ca="1"/>
        <v>0.33749834913098459</v>
      </c>
      <c r="M101" s="39">
        <f ca="1"/>
        <v>0.34663337733369082</v>
      </c>
      <c r="N101" s="39">
        <f ca="1"/>
        <v>0.34149297106020066</v>
      </c>
      <c r="O101" s="39">
        <f ca="1"/>
        <v>0.35533040585629544</v>
      </c>
      <c r="P101" s="39">
        <f ca="1"/>
        <v>0.35533040585629544</v>
      </c>
      <c r="Q101" s="39">
        <f ca="1"/>
        <v>0.35533040585629538</v>
      </c>
      <c r="R101" s="39">
        <f ca="1"/>
        <v>0.35533040585629549</v>
      </c>
    </row>
    <row r="103" spans="1:18" outlineLevel="1" x14ac:dyDescent="0.25">
      <c r="C103" s="9" t="str">
        <f>"Analyst's Case"</f>
        <v>Analyst's Case</v>
      </c>
    </row>
    <row r="104" spans="1:18" s="22" customFormat="1" outlineLevel="1" x14ac:dyDescent="0.25">
      <c r="B104" s="23"/>
      <c r="C104" s="14"/>
      <c r="D104" s="22" t="str" cm="1">
        <f t="array" aca="1" ref="D104:R104" ca="1">IF($D$9:OFFSET($D$9,0,$F$6-$D$9)&lt;$D$6,TEXT($D$9:OFFSET($D$9,0,$F$6-$D$9),"0A"),TEXT($D$9:OFFSET($D$9,0,$F$6-$D$9),"0")&amp;"E")</f>
        <v>2020A</v>
      </c>
      <c r="E104" s="22" t="str">
        <f ca="1"/>
        <v>2021A</v>
      </c>
      <c r="F104" s="22" t="str">
        <f ca="1"/>
        <v>2022A</v>
      </c>
      <c r="G104" s="22" t="str">
        <f ca="1"/>
        <v>2023A</v>
      </c>
      <c r="H104" s="22" t="str">
        <f ca="1"/>
        <v>2024A</v>
      </c>
      <c r="I104" s="22" t="str">
        <f ca="1"/>
        <v>2025E</v>
      </c>
      <c r="J104" s="22" t="str">
        <f ca="1"/>
        <v>2026E</v>
      </c>
      <c r="K104" s="22" t="str">
        <f ca="1"/>
        <v>2027E</v>
      </c>
      <c r="L104" s="22" t="str">
        <f ca="1"/>
        <v>2028E</v>
      </c>
      <c r="M104" s="22" t="str">
        <f ca="1"/>
        <v>2029E</v>
      </c>
      <c r="N104" s="22" t="str">
        <f ca="1"/>
        <v>2030E</v>
      </c>
      <c r="O104" s="22" t="str">
        <f ca="1"/>
        <v>2031E</v>
      </c>
      <c r="P104" s="22" t="str">
        <f ca="1"/>
        <v>2032E</v>
      </c>
      <c r="Q104" s="22" t="str">
        <f ca="1"/>
        <v>2033E</v>
      </c>
      <c r="R104" s="22" t="str">
        <f ca="1"/>
        <v>2034E</v>
      </c>
    </row>
    <row r="105" spans="1:18" s="15" customFormat="1" outlineLevel="1" x14ac:dyDescent="0.25">
      <c r="B105" s="24"/>
      <c r="C105" s="10" t="str">
        <f>"Fiscal Year"</f>
        <v>Fiscal Year</v>
      </c>
      <c r="D105" s="15" cm="1">
        <f t="array" aca="1" ref="D105:R105" ca="1">DATE($D$9:OFFSET($D$9,0,$F$6-$D$9),_xlfn.XLOOKUP(_xlfn.TEXTAFTER(_xlfn.TEXTBEFORE($C$5,"-"),": "),$G$4:$R$4,_xlfn.ANCHORARRAY($G$3)),$G$6)</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outlineLevel="1" x14ac:dyDescent="0.25"/>
    <row r="107" spans="1:18" s="13" customFormat="1" outlineLevel="1" x14ac:dyDescent="0.25">
      <c r="A107" s="8"/>
      <c r="B107" s="18"/>
      <c r="C107" s="8" t="str">
        <f>$C$15</f>
        <v>Revenue</v>
      </c>
      <c r="D107" s="13">
        <f ca="1">D136</f>
        <v>274515</v>
      </c>
      <c r="E107" s="13" cm="1">
        <f t="array" aca="1" ref="E107:R107" ca="1">_xlfn.LET(
  _xlpm.base, D107,
  _xlpm.growths,_xlfn.ANCHORARRAY( E108),
  _xlpm.result, _xlfn.SCAN(_xlpm.base, _xlpm.growths, _xlfn.LAMBDA(_xlpm.a,_xlpm.b, _xlpm.a * (1 + _xlpm.b))),
  _xlpm.result
)</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outlineLevel="1" x14ac:dyDescent="0.25">
      <c r="A108" s="12"/>
      <c r="B108" s="18"/>
      <c r="C108" s="16" t="str">
        <f>$C$16</f>
        <v>% growth</v>
      </c>
      <c r="E108" s="19" cm="1">
        <f t="array" aca="1" ref="E108:R108" ca="1">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outlineLevel="1" x14ac:dyDescent="0.25">
      <c r="A109" s="12"/>
      <c r="B109" s="25"/>
      <c r="C109" s="12"/>
    </row>
    <row r="110" spans="1:18" s="13" customFormat="1" outlineLevel="1" x14ac:dyDescent="0.25">
      <c r="A110" s="8"/>
      <c r="B110" s="18"/>
      <c r="C110" s="8" t="str">
        <f>$C$21</f>
        <v>EBIT</v>
      </c>
      <c r="D110" s="13" cm="1">
        <f t="array" aca="1" ref="D110:R110" ca="1">_xlfn.ANCHORARRAY(D111)*D$107:OFFSET(D$107,0,$F$6-$D$9)</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outlineLevel="1" x14ac:dyDescent="0.25">
      <c r="A111" s="12"/>
      <c r="B111" s="18"/>
      <c r="C111" s="16" t="str">
        <f>$C$22</f>
        <v>% of Revenue</v>
      </c>
      <c r="D111" s="19" cm="1">
        <f t="array" aca="1" ref="D111:R111" ca="1">_xlfn.ANCHORARRAY(D140)</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outlineLevel="1" x14ac:dyDescent="0.25">
      <c r="A112" s="8"/>
      <c r="B112" s="18"/>
      <c r="C112" s="36"/>
    </row>
    <row r="113" spans="1:18" s="13" customFormat="1" outlineLevel="1" x14ac:dyDescent="0.25">
      <c r="A113" s="8"/>
      <c r="B113" s="18"/>
      <c r="C113" s="8" t="str">
        <f>$C$24</f>
        <v>Depreciation &amp; Amortization</v>
      </c>
      <c r="D113" s="13" cm="1">
        <f t="array" aca="1" ref="D113:R113" ca="1">_xlfn.ANCHORARRAY(D114)*D$107:OFFSET(D$107,0,$F$6-$D$9)</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outlineLevel="1" x14ac:dyDescent="0.25">
      <c r="A114" s="12"/>
      <c r="B114" s="18"/>
      <c r="C114" s="16" t="str">
        <f>$C$25</f>
        <v>% of Revenue</v>
      </c>
      <c r="D114" s="19" cm="1">
        <f t="array" aca="1" ref="D114:R114" ca="1">_xlfn.ANCHORARRAY(D143)</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outlineLevel="1" x14ac:dyDescent="0.25">
      <c r="A115" s="8"/>
      <c r="B115" s="18"/>
      <c r="C115" s="8"/>
    </row>
    <row r="116" spans="1:18" s="13" customFormat="1" outlineLevel="1" x14ac:dyDescent="0.25">
      <c r="A116" s="8"/>
      <c r="B116" s="18"/>
      <c r="C116" s="8" t="str">
        <f>$C$27</f>
        <v>Capital Expenditures</v>
      </c>
      <c r="D116" s="13" cm="1">
        <f t="array" aca="1" ref="D116:R116" ca="1">-_xlfn.ANCHORARRAY(D117)*D$107:OFFSET(D$107,0,$F$6-$D$9)</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outlineLevel="1" x14ac:dyDescent="0.25">
      <c r="A117" s="12"/>
      <c r="B117" s="18"/>
      <c r="C117" s="16" t="str">
        <f>$C$28</f>
        <v>% of Revenue</v>
      </c>
      <c r="D117" s="19" cm="1">
        <f t="array" aca="1" ref="D117:R117" ca="1">_xlfn.ANCHORARRAY(D146)</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outlineLevel="1" x14ac:dyDescent="0.25">
      <c r="A118" s="8"/>
      <c r="B118" s="18"/>
      <c r="C118" s="8"/>
    </row>
    <row r="119" spans="1:18" s="13" customFormat="1" outlineLevel="1" x14ac:dyDescent="0.25">
      <c r="A119" s="8"/>
      <c r="B119" s="18"/>
      <c r="C119" s="8" t="str">
        <f>$C$36</f>
        <v>Change in Working Capital &amp; Other Non-Cash Expenses</v>
      </c>
      <c r="D119" s="13" cm="1">
        <f t="array" aca="1" ref="D119:R119" ca="1">_xlfn.ANCHORARRAY(D120)*D$107:OFFSET(D$107,0,$F$6-$D$9)</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outlineLevel="1" x14ac:dyDescent="0.25">
      <c r="A120" s="12"/>
      <c r="B120" s="18"/>
      <c r="C120" s="16" t="str">
        <f>$C$37</f>
        <v>% of Revenue</v>
      </c>
      <c r="D120" s="19" cm="1">
        <f t="array" aca="1" ref="D120:R120" ca="1">_xlfn.ANCHORARRAY(D149)</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outlineLevel="1" x14ac:dyDescent="0.25">
      <c r="A121" s="12"/>
      <c r="B121" s="25"/>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outlineLevel="1" x14ac:dyDescent="0.25">
      <c r="A122" s="8"/>
      <c r="B122" s="18"/>
      <c r="C122" s="8"/>
    </row>
    <row r="123" spans="1:18" s="13" customFormat="1" outlineLevel="1" x14ac:dyDescent="0.25">
      <c r="A123" s="8"/>
      <c r="B123" s="18"/>
      <c r="C123" s="8" t="str">
        <f>$C$40</f>
        <v>Normalized Taxes</v>
      </c>
      <c r="D123" s="13" cm="1">
        <f t="array" aca="1" ref="D123:R123" ca="1">-_xlfn.ANCHORARRAY(D211)*D$110:OFFSET(D$110,0,$F$6-$D$9)</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outlineLevel="1" x14ac:dyDescent="0.25">
      <c r="A124" s="12"/>
      <c r="B124" s="25"/>
      <c r="C124" s="16" t="str">
        <f>$C$41</f>
        <v>Effective Tax Rate (%)</v>
      </c>
      <c r="D124" s="19" cm="1">
        <f t="array" aca="1" ref="D124:R124" ca="1">_xlfn.ANCHORARRAY(D153)</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outlineLevel="1" x14ac:dyDescent="0.25">
      <c r="A125" s="8"/>
      <c r="B125" s="18"/>
      <c r="C125" s="8"/>
    </row>
    <row r="126" spans="1:18" s="13" customFormat="1" outlineLevel="1" x14ac:dyDescent="0.25">
      <c r="A126" s="8"/>
      <c r="B126" s="18"/>
      <c r="C126" s="8" t="str">
        <f>$C$43</f>
        <v>EBIAT/NOPAT</v>
      </c>
      <c r="D126" s="13" cm="1">
        <f t="array" aca="1" ref="D126:R126" ca="1">_xlfn.ANCHORARRAY(D110)+_xlfn.ANCHORARRAY(D123)</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outlineLevel="1" x14ac:dyDescent="0.25">
      <c r="A127" s="12"/>
      <c r="B127" s="18" t="e">
        <f ca="1">_xlfn.XMATCH(C126,INDIRECT("Consensus!A:A"))</f>
        <v>#N/A</v>
      </c>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outlineLevel="1" x14ac:dyDescent="0.25">
      <c r="A128" s="12"/>
      <c r="B128" s="25"/>
      <c r="C128" s="12"/>
    </row>
    <row r="129" spans="1:18" s="13" customFormat="1" outlineLevel="1" x14ac:dyDescent="0.25">
      <c r="A129" s="8"/>
      <c r="B129" s="18"/>
      <c r="C129" s="8" t="str">
        <f>$C$46</f>
        <v>Unlevered Free Cash Flow</v>
      </c>
      <c r="D129" s="13" cm="1">
        <f t="array" aca="1" ref="D129:R129" ca="1">_xlfn.ANCHORARRAY(D126)+_xlfn.ANCHORARRAY(D119)+_xlfn.ANCHORARRAY(D116)+_xlfn.ANCHORARRAY(D113)</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outlineLevel="1" x14ac:dyDescent="0.25">
      <c r="A130" s="12"/>
      <c r="B130" s="18" t="e">
        <f ca="1">_xlfn.XMATCH(C129,INDIRECT("Consensus!A:A"))</f>
        <v>#N/A</v>
      </c>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outlineLevel="1" x14ac:dyDescent="0.25"/>
    <row r="132" spans="1:18" outlineLevel="1" x14ac:dyDescent="0.25">
      <c r="C132" s="9" t="str">
        <f>"Street Case"</f>
        <v>Street Case</v>
      </c>
    </row>
    <row r="133" spans="1:18" s="22" customFormat="1" outlineLevel="1" x14ac:dyDescent="0.25">
      <c r="B133" s="23"/>
      <c r="C133" s="14"/>
      <c r="D133" s="22" t="str" cm="1">
        <f t="array" aca="1" ref="D133:R133" ca="1">IF($D$9:OFFSET($D$9,0,$F$6-$D$9)&lt;$D$6,TEXT($D$9:OFFSET($D$9,0,$F$6-$D$9),"0A"),TEXT($D$9:OFFSET($D$9,0,$F$6-$D$9),"0")&amp;"E")</f>
        <v>2020A</v>
      </c>
      <c r="E133" s="22" t="str">
        <f ca="1"/>
        <v>2021A</v>
      </c>
      <c r="F133" s="22" t="str">
        <f ca="1"/>
        <v>2022A</v>
      </c>
      <c r="G133" s="22" t="str">
        <f ca="1"/>
        <v>2023A</v>
      </c>
      <c r="H133" s="22" t="str">
        <f ca="1"/>
        <v>2024A</v>
      </c>
      <c r="I133" s="22" t="str">
        <f ca="1"/>
        <v>2025E</v>
      </c>
      <c r="J133" s="22" t="str">
        <f ca="1"/>
        <v>2026E</v>
      </c>
      <c r="K133" s="22" t="str">
        <f ca="1"/>
        <v>2027E</v>
      </c>
      <c r="L133" s="22" t="str">
        <f ca="1"/>
        <v>2028E</v>
      </c>
      <c r="M133" s="22" t="str">
        <f ca="1"/>
        <v>2029E</v>
      </c>
      <c r="N133" s="22" t="str">
        <f ca="1"/>
        <v>2030E</v>
      </c>
      <c r="O133" s="22" t="str">
        <f ca="1"/>
        <v>2031E</v>
      </c>
      <c r="P133" s="22" t="str">
        <f ca="1"/>
        <v>2032E</v>
      </c>
      <c r="Q133" s="22" t="str">
        <f ca="1"/>
        <v>2033E</v>
      </c>
      <c r="R133" s="22" t="str">
        <f ca="1"/>
        <v>2034E</v>
      </c>
    </row>
    <row r="134" spans="1:18" s="15" customFormat="1" outlineLevel="1" x14ac:dyDescent="0.25">
      <c r="B134" s="24"/>
      <c r="C134" s="10" t="str">
        <f>"Fiscal Year"</f>
        <v>Fiscal Year</v>
      </c>
      <c r="D134" s="15" cm="1">
        <f t="array" aca="1" ref="D134:R134" ca="1">DATE($D$9:OFFSET($D$9,0,$F$6-$D$9),_xlfn.XLOOKUP(_xlfn.TEXTAFTER(_xlfn.TEXTBEFORE($C$5,"-"),": "),$G$4:$R$4,_xlfn.ANCHORARRAY($G$3)),$G$6)</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outlineLevel="1" x14ac:dyDescent="0.25"/>
    <row r="136" spans="1:18" s="13" customFormat="1" outlineLevel="1" x14ac:dyDescent="0.25">
      <c r="A136" s="8"/>
      <c r="B136" s="18"/>
      <c r="C136" s="8" t="str">
        <f>$C$15</f>
        <v>Revenue</v>
      </c>
      <c r="D136" s="13">
        <f ca="1">D15</f>
        <v>274515</v>
      </c>
      <c r="E136" s="13" cm="1">
        <f t="array" aca="1" ref="E136:R136" ca="1">_xlfn.LET(
  _xlpm.base, D136,
  _xlpm.growths,_xlfn.ANCHORARRAY( E137),
  _xlpm.result, _xlfn.SCAN(_xlpm.base, _xlpm.growths, _xlfn.LAMBDA(_xlpm.a,_xlpm.b, _xlpm.a * (1 + _xlpm.b))),
  _xlpm.result
)</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outlineLevel="1" x14ac:dyDescent="0.25">
      <c r="A137" s="12"/>
      <c r="B137" s="18"/>
      <c r="C137" s="16" t="str">
        <f>$C$16</f>
        <v>% growth</v>
      </c>
      <c r="D137" s="34"/>
      <c r="E137" s="19" cm="1">
        <f t="array" aca="1" ref="E137:R137" ca="1">IF(_xlfn.ANCHORARRAY(E16)="NA ",LOOKUP(2,1/(ISNUMBER(_xlfn.ANCHORARRAY(E16))),_xlfn.ANCHORARRAY(E16)),_xlfn.ANCHORARRAY(E16))</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outlineLevel="1" x14ac:dyDescent="0.25">
      <c r="A138" s="8"/>
      <c r="B138" s="18"/>
      <c r="C138" s="8"/>
    </row>
    <row r="139" spans="1:18" s="13" customFormat="1" outlineLevel="1" x14ac:dyDescent="0.25">
      <c r="A139" s="8"/>
      <c r="B139" s="18"/>
      <c r="C139" s="8" t="str">
        <f>$C$21</f>
        <v>EBIT</v>
      </c>
      <c r="D139" s="13" cm="1">
        <f t="array" aca="1" ref="D139:R139" ca="1">_xlfn.ANCHORARRAY(D140)*D$136:OFFSET(D$136,0,$F$6-$D$9)</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outlineLevel="1" x14ac:dyDescent="0.25">
      <c r="A140" s="12"/>
      <c r="B140" s="18"/>
      <c r="C140" s="16" t="str">
        <f>$C$22</f>
        <v>% of Revenue</v>
      </c>
      <c r="D140" s="19" cm="1">
        <f t="array" aca="1" ref="D140:R140" ca="1">IF(_xlfn.ANCHORARRAY(D22)="NA ",LOOKUP(2,1/(ISNUMBER(_xlfn.ANCHORARRAY(D22))),_xlfn.ANCHORARRAY(D22)),_xlfn.ANCHORARRAY(D22))</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outlineLevel="1" x14ac:dyDescent="0.25">
      <c r="A141" s="8"/>
      <c r="B141" s="18"/>
      <c r="C141" s="8"/>
    </row>
    <row r="142" spans="1:18" s="13" customFormat="1" outlineLevel="1" x14ac:dyDescent="0.25">
      <c r="A142" s="8"/>
      <c r="B142" s="18"/>
      <c r="C142" s="8" t="str">
        <f>$C$24</f>
        <v>Depreciation &amp; Amortization</v>
      </c>
      <c r="D142" s="13" cm="1">
        <f t="array" aca="1" ref="D142:R142" ca="1">_xlfn.ANCHORARRAY(D143)*D$136:OFFSET(D$136,0,$F$6-$D$9)</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outlineLevel="1" x14ac:dyDescent="0.25">
      <c r="A143" s="12"/>
      <c r="B143" s="18"/>
      <c r="C143" s="16" t="str">
        <f>$C$25</f>
        <v>% of Revenue</v>
      </c>
      <c r="D143" s="19" cm="1">
        <f t="array" aca="1" ref="D143:R143" ca="1">IF(_xlfn.ANCHORARRAY(D25)="NA ",LOOKUP(2,1/(ISNUMBER(_xlfn.ANCHORARRAY(D25))),_xlfn.ANCHORARRAY(D25)),_xlfn.ANCHORARRAY(D25))</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outlineLevel="1" x14ac:dyDescent="0.25">
      <c r="A144" s="8"/>
      <c r="B144" s="18"/>
      <c r="C144" s="8"/>
    </row>
    <row r="145" spans="1:18" s="13" customFormat="1" outlineLevel="1" x14ac:dyDescent="0.25">
      <c r="A145" s="8"/>
      <c r="B145" s="18"/>
      <c r="C145" s="8" t="str">
        <f>$C$27</f>
        <v>Capital Expenditures</v>
      </c>
      <c r="D145" s="13" cm="1">
        <f t="array" aca="1" ref="D145:R145" ca="1">-_xlfn.ANCHORARRAY(D146)*D$136:OFFSET(D$136,0,$F$6-$D$9)</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outlineLevel="1" x14ac:dyDescent="0.25">
      <c r="A146" s="12"/>
      <c r="B146" s="18"/>
      <c r="C146" s="16" t="str">
        <f>$C$28</f>
        <v>% of Revenue</v>
      </c>
      <c r="D146" s="19" cm="1">
        <f t="array" aca="1" ref="D146:R146" ca="1">IF(_xlfn.ANCHORARRAY(D28)="NA ",LOOKUP(2,1/(ISNUMBER(_xlfn.ANCHORARRAY(D28))),_xlfn.ANCHORARRAY(D28)),_xlfn.ANCHORARRAY(D28))</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outlineLevel="1" x14ac:dyDescent="0.25">
      <c r="A147" s="8"/>
      <c r="B147" s="18"/>
      <c r="C147" s="8"/>
    </row>
    <row r="148" spans="1:18" s="13" customFormat="1" outlineLevel="1" x14ac:dyDescent="0.25">
      <c r="A148" s="8"/>
      <c r="B148" s="18"/>
      <c r="C148" s="8" t="str">
        <f>$C$36</f>
        <v>Change in Working Capital &amp; Other Non-Cash Expenses</v>
      </c>
      <c r="D148" s="13" cm="1">
        <f t="array" aca="1" ref="D148:R148" ca="1">_xlfn.ANCHORARRAY(D149)*D$136:OFFSET(D$136,0,$F$6-$D$9)</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outlineLevel="1" x14ac:dyDescent="0.25">
      <c r="A149" s="12"/>
      <c r="B149" s="18"/>
      <c r="C149" s="16" t="str">
        <f>$C$37</f>
        <v>% of Revenue</v>
      </c>
      <c r="D149" s="19" cm="1">
        <f t="array" aca="1" ref="D149:R149" ca="1">IF(_xlfn.ANCHORARRAY(D37)="NA ",LOOKUP(2,1/(ISNUMBER(_xlfn.ANCHORARRAY(D37))),_xlfn.ANCHORARRAY(D37)),_xlfn.ANCHORARRAY(D37))</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outlineLevel="1" x14ac:dyDescent="0.25">
      <c r="A150" s="12"/>
      <c r="B150" s="25"/>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outlineLevel="1" x14ac:dyDescent="0.25">
      <c r="A151" s="8"/>
      <c r="B151" s="18"/>
      <c r="C151" s="8"/>
    </row>
    <row r="152" spans="1:18" s="13" customFormat="1" outlineLevel="1" x14ac:dyDescent="0.25">
      <c r="A152" s="8"/>
      <c r="B152" s="18"/>
      <c r="C152" s="8" t="str">
        <f>$C$40</f>
        <v>Normalized Taxes</v>
      </c>
      <c r="D152" s="13" cm="1">
        <f t="array" aca="1" ref="D152:R152" ca="1">-_xlfn.ANCHORARRAY(D153)*D$139:OFFSET(D$139,0,$F$6-$D$9)</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outlineLevel="1" x14ac:dyDescent="0.25">
      <c r="A153" s="12"/>
      <c r="B153" s="25"/>
      <c r="C153" s="16" t="str">
        <f>$C$41</f>
        <v>Effective Tax Rate (%)</v>
      </c>
      <c r="D153" s="19" cm="1">
        <f t="array" aca="1" ref="D153:R153" ca="1">IF(_xlfn.ANCHORARRAY(D41)="NA ",LOOKUP(2,1/(ISNUMBER(_xlfn.ANCHORARRAY(D41))),_xlfn.ANCHORARRAY(D41)),_xlfn.ANCHORARRAY(D41))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outlineLevel="1" x14ac:dyDescent="0.25">
      <c r="A154" s="8"/>
      <c r="B154" s="18"/>
      <c r="C154" s="8"/>
    </row>
    <row r="155" spans="1:18" s="13" customFormat="1" outlineLevel="1" x14ac:dyDescent="0.25">
      <c r="A155" s="8"/>
      <c r="B155" s="18"/>
      <c r="C155" s="8" t="str">
        <f>$C$43</f>
        <v>EBIAT/NOPAT</v>
      </c>
      <c r="D155" s="13" cm="1">
        <f t="array" aca="1" ref="D155:R155" ca="1">_xlfn.ANCHORARRAY(D139)+_xlfn.ANCHORARRAY(D152)</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outlineLevel="1" x14ac:dyDescent="0.25">
      <c r="A156" s="12"/>
      <c r="B156" s="18" t="e">
        <f ca="1">_xlfn.XMATCH(C155,INDIRECT("Consensus!A:A"))</f>
        <v>#N/A</v>
      </c>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outlineLevel="1" x14ac:dyDescent="0.25">
      <c r="A157" s="8"/>
      <c r="B157" s="18"/>
      <c r="C157" s="8"/>
    </row>
    <row r="158" spans="1:18" s="13" customFormat="1" outlineLevel="1" x14ac:dyDescent="0.25">
      <c r="A158" s="8"/>
      <c r="B158" s="18"/>
      <c r="C158" s="8" t="str">
        <f>$C$46</f>
        <v>Unlevered Free Cash Flow</v>
      </c>
      <c r="D158" s="13" cm="1">
        <f t="array" aca="1" ref="D158:R158" ca="1">_xlfn.ANCHORARRAY(D155)+_xlfn.ANCHORARRAY(D148)+_xlfn.ANCHORARRAY(D145)+_xlfn.ANCHORARRAY(D142)</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outlineLevel="1" x14ac:dyDescent="0.25">
      <c r="A159" s="12"/>
      <c r="B159" s="18" t="e">
        <f ca="1">_xlfn.XMATCH(C158,INDIRECT("Consensus!A:A"))</f>
        <v>#N/A</v>
      </c>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outlineLevel="1" x14ac:dyDescent="0.25"/>
    <row r="161" spans="1:18" outlineLevel="1" x14ac:dyDescent="0.25">
      <c r="C161" s="9" t="str">
        <f>"Optimistic Case"</f>
        <v>Optimistic Case</v>
      </c>
    </row>
    <row r="162" spans="1:18" s="22" customFormat="1" outlineLevel="1" x14ac:dyDescent="0.25">
      <c r="B162" s="23"/>
      <c r="C162" s="14"/>
      <c r="D162" s="22" t="str" cm="1">
        <f t="array" aca="1" ref="D162:R162" ca="1">IF($D$9:OFFSET($D$9,0,$F$6-$D$9)&lt;$D$6,TEXT($D$9:OFFSET($D$9,0,$F$6-$D$9),"0A"),TEXT($D$9:OFFSET($D$9,0,$F$6-$D$9),"0")&amp;"E")</f>
        <v>2020A</v>
      </c>
      <c r="E162" s="22" t="str">
        <f ca="1"/>
        <v>2021A</v>
      </c>
      <c r="F162" s="22" t="str">
        <f ca="1"/>
        <v>2022A</v>
      </c>
      <c r="G162" s="22" t="str">
        <f ca="1"/>
        <v>2023A</v>
      </c>
      <c r="H162" s="22" t="str">
        <f ca="1"/>
        <v>2024A</v>
      </c>
      <c r="I162" s="22" t="str">
        <f ca="1"/>
        <v>2025E</v>
      </c>
      <c r="J162" s="22" t="str">
        <f ca="1"/>
        <v>2026E</v>
      </c>
      <c r="K162" s="22" t="str">
        <f ca="1"/>
        <v>2027E</v>
      </c>
      <c r="L162" s="22" t="str">
        <f ca="1"/>
        <v>2028E</v>
      </c>
      <c r="M162" s="22" t="str">
        <f ca="1"/>
        <v>2029E</v>
      </c>
      <c r="N162" s="22" t="str">
        <f ca="1"/>
        <v>2030E</v>
      </c>
      <c r="O162" s="22" t="str">
        <f ca="1"/>
        <v>2031E</v>
      </c>
      <c r="P162" s="22" t="str">
        <f ca="1"/>
        <v>2032E</v>
      </c>
      <c r="Q162" s="22" t="str">
        <f ca="1"/>
        <v>2033E</v>
      </c>
      <c r="R162" s="22" t="str">
        <f ca="1"/>
        <v>2034E</v>
      </c>
    </row>
    <row r="163" spans="1:18" s="15" customFormat="1" outlineLevel="1" x14ac:dyDescent="0.25">
      <c r="B163" s="24"/>
      <c r="C163" s="10" t="str">
        <f>"Fiscal Year"</f>
        <v>Fiscal Year</v>
      </c>
      <c r="D163" s="15" cm="1">
        <f t="array" aca="1" ref="D163:R163" ca="1">DATE($D$9:OFFSET($D$9,0,$F$6-$D$9),_xlfn.XLOOKUP(_xlfn.TEXTAFTER(_xlfn.TEXTBEFORE($C$5,"-"),": "),$G$4:$R$4,_xlfn.ANCHORARRAY($G$3)),$G$6)</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outlineLevel="1" x14ac:dyDescent="0.25"/>
    <row r="165" spans="1:18" s="13" customFormat="1" outlineLevel="1" x14ac:dyDescent="0.25">
      <c r="A165" s="8"/>
      <c r="B165" s="18"/>
      <c r="C165" s="8" t="str">
        <f>$C$15</f>
        <v>Revenue</v>
      </c>
      <c r="D165" s="13">
        <f ca="1">D136</f>
        <v>274515</v>
      </c>
      <c r="E165" s="13" cm="1">
        <f t="array" aca="1" ref="E165:R165" ca="1">_xlfn.LET(
  _xlpm.base, D165,
  _xlpm.growths,_xlfn.ANCHORARRAY( E166),
  _xlpm.result, _xlfn.SCAN(_xlpm.base, _xlpm.growths, _xlfn.LAMBDA(_xlpm.a,_xlpm.b, _xlpm.a * (1 + _xlpm.b))),
  _xlpm.result
)</f>
        <v>365817</v>
      </c>
      <c r="F165" s="13">
        <f ca="1"/>
        <v>394328</v>
      </c>
      <c r="G165" s="13">
        <f ca="1"/>
        <v>383285</v>
      </c>
      <c r="H165" s="13">
        <f ca="1"/>
        <v>391034.99999999994</v>
      </c>
      <c r="I165" s="13">
        <f ca="1"/>
        <v>421742.28011324123</v>
      </c>
      <c r="J165" s="13">
        <f ca="1"/>
        <v>449832.12518649932</v>
      </c>
      <c r="K165" s="13">
        <f ca="1"/>
        <v>486730.1175014234</v>
      </c>
      <c r="L165" s="13">
        <f ca="1"/>
        <v>523071.63971854735</v>
      </c>
      <c r="M165" s="13">
        <f ca="1"/>
        <v>578589.352465534</v>
      </c>
      <c r="N165" s="13">
        <f ca="1"/>
        <v>627557.69719459536</v>
      </c>
      <c r="O165" s="13">
        <f ca="1"/>
        <v>668593.87856689014</v>
      </c>
      <c r="P165" s="13">
        <f ca="1"/>
        <v>712313.42784168664</v>
      </c>
      <c r="Q165" s="13">
        <f ca="1"/>
        <v>758891.81123098091</v>
      </c>
      <c r="R165" s="13">
        <f ca="1"/>
        <v>808515.96873369289</v>
      </c>
    </row>
    <row r="166" spans="1:18" s="19" customFormat="1" outlineLevel="1" x14ac:dyDescent="0.25">
      <c r="A166" s="12"/>
      <c r="B166" s="18"/>
      <c r="C166" s="16" t="str">
        <f>$C$16</f>
        <v>% growth</v>
      </c>
      <c r="E166" s="19" cm="1">
        <f t="array" aca="1" ref="E166:R166" ca="1">_xlfn.ANCHORARRAY(E137)+E167:OFFSET(E167,,$F$6-$C$6-1)</f>
        <v>0.33259384733074704</v>
      </c>
      <c r="F166" s="19">
        <f ca="1"/>
        <v>7.7937876041846099E-2</v>
      </c>
      <c r="G166" s="19">
        <f ca="1"/>
        <v>-2.800460530319937E-2</v>
      </c>
      <c r="H166" s="19">
        <f ca="1"/>
        <v>2.021994077514111E-2</v>
      </c>
      <c r="I166" s="19">
        <f ca="1"/>
        <v>7.8528213876612796E-2</v>
      </c>
      <c r="J166" s="19">
        <f ca="1"/>
        <v>6.6604289865639599E-2</v>
      </c>
      <c r="K166" s="19">
        <f ca="1"/>
        <v>8.2026138750375566E-2</v>
      </c>
      <c r="L166" s="19">
        <f ca="1"/>
        <v>7.466462606357549E-2</v>
      </c>
      <c r="M166" s="19">
        <f ca="1"/>
        <v>0.10613787583065948</v>
      </c>
      <c r="N166" s="19">
        <f ca="1"/>
        <v>8.4634023285069526E-2</v>
      </c>
      <c r="O166" s="19">
        <f ca="1"/>
        <v>6.5390292487433443E-2</v>
      </c>
      <c r="P166" s="19">
        <f ca="1"/>
        <v>6.5390292487433443E-2</v>
      </c>
      <c r="Q166" s="19">
        <f ca="1"/>
        <v>6.5390292487433443E-2</v>
      </c>
      <c r="R166" s="19">
        <f ca="1"/>
        <v>6.5390292487433443E-2</v>
      </c>
    </row>
    <row r="167" spans="1:18" s="38" customFormat="1" outlineLevel="1" x14ac:dyDescent="0.25">
      <c r="A167" s="18"/>
      <c r="B167" s="18"/>
      <c r="C167" s="3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34" cm="1">
        <f t="array" aca="1" ref="D167:R167" ca="1">(1-_xlfn.ANCHORARRAY($D$10))*C167</f>
        <v>0</v>
      </c>
      <c r="E167" s="34">
        <f ca="1"/>
        <v>0</v>
      </c>
      <c r="F167" s="34">
        <f ca="1"/>
        <v>0</v>
      </c>
      <c r="G167" s="34">
        <f ca="1"/>
        <v>0</v>
      </c>
      <c r="H167" s="34">
        <f ca="1"/>
        <v>0</v>
      </c>
      <c r="I167" s="34">
        <f ca="1"/>
        <v>1.7474727615792277E-2</v>
      </c>
      <c r="J167" s="34">
        <f ca="1"/>
        <v>1.7474727615792277E-2</v>
      </c>
      <c r="K167" s="34">
        <f ca="1"/>
        <v>1.7474727615792277E-2</v>
      </c>
      <c r="L167" s="34">
        <f ca="1"/>
        <v>1.7474727615792277E-2</v>
      </c>
      <c r="M167" s="34">
        <f ca="1"/>
        <v>1.7474727615792277E-2</v>
      </c>
      <c r="N167" s="34">
        <f ca="1"/>
        <v>1.7474727615792277E-2</v>
      </c>
      <c r="O167" s="34">
        <f ca="1"/>
        <v>1.7474727615792277E-2</v>
      </c>
      <c r="P167" s="34">
        <f ca="1"/>
        <v>1.7474727615792277E-2</v>
      </c>
      <c r="Q167" s="34">
        <f ca="1"/>
        <v>1.7474727615792277E-2</v>
      </c>
      <c r="R167" s="34">
        <f ca="1"/>
        <v>1.7474727615792277E-2</v>
      </c>
    </row>
    <row r="168" spans="1:18" s="13" customFormat="1" outlineLevel="1" x14ac:dyDescent="0.25">
      <c r="A168" s="8"/>
      <c r="B168" s="18"/>
      <c r="C168" s="8" t="str">
        <f>$C$21</f>
        <v>EBIT</v>
      </c>
      <c r="D168" s="13" cm="1">
        <f t="array" aca="1" ref="D168:R168" ca="1">_xlfn.ANCHORARRAY(D169)*D$165:OFFSET(D$165,0,$F$6-$D$9)</f>
        <v>66288</v>
      </c>
      <c r="E168" s="13">
        <f ca="1"/>
        <v>108949</v>
      </c>
      <c r="F168" s="13">
        <f ca="1"/>
        <v>119437</v>
      </c>
      <c r="G168" s="13">
        <f ca="1"/>
        <v>114301</v>
      </c>
      <c r="H168" s="13">
        <f ca="1"/>
        <v>123215.99999999997</v>
      </c>
      <c r="I168" s="13">
        <f ca="1"/>
        <v>148702.64345717453</v>
      </c>
      <c r="J168" s="13">
        <f ca="1"/>
        <v>158396.86877708821</v>
      </c>
      <c r="K168" s="13">
        <f ca="1"/>
        <v>172277.77376443648</v>
      </c>
      <c r="L168" s="13">
        <f ca="1"/>
        <v>192027.01670969237</v>
      </c>
      <c r="M168" s="13">
        <f ca="1"/>
        <v>217921.84324228417</v>
      </c>
      <c r="N168" s="13">
        <f ca="1"/>
        <v>244773.74433989625</v>
      </c>
      <c r="O168" s="13">
        <f ca="1"/>
        <v>266582.83769601391</v>
      </c>
      <c r="P168" s="13">
        <f ca="1"/>
        <v>284014.76742508623</v>
      </c>
      <c r="Q168" s="13">
        <f ca="1"/>
        <v>302586.57613776304</v>
      </c>
      <c r="R168" s="13">
        <f ca="1"/>
        <v>322372.80085418245</v>
      </c>
    </row>
    <row r="169" spans="1:18" s="19" customFormat="1" outlineLevel="1" x14ac:dyDescent="0.25">
      <c r="A169" s="12"/>
      <c r="B169" s="18"/>
      <c r="C169" s="16" t="str">
        <f>$C$22</f>
        <v>% of Revenue</v>
      </c>
      <c r="D169" s="19" cm="1">
        <f t="array" aca="1" ref="D169:R169" ca="1">_xlfn.ANCHORARRAY(D140)+_xlfn.ANCHORARRAY(D170)</f>
        <v>0.24147314354406862</v>
      </c>
      <c r="E169" s="19">
        <f ca="1"/>
        <v>0.29782377527561593</v>
      </c>
      <c r="F169" s="19">
        <f ca="1"/>
        <v>0.30288744395528594</v>
      </c>
      <c r="G169" s="19">
        <f ca="1"/>
        <v>0.29821412265024722</v>
      </c>
      <c r="H169" s="19">
        <f ca="1"/>
        <v>0.31510222870075566</v>
      </c>
      <c r="I169" s="19">
        <f ca="1"/>
        <v>0.35259126359644727</v>
      </c>
      <c r="J169" s="19">
        <f ca="1"/>
        <v>0.35212440354591668</v>
      </c>
      <c r="K169" s="19">
        <f ca="1"/>
        <v>0.35394927819302791</v>
      </c>
      <c r="L169" s="19">
        <f ca="1"/>
        <v>0.36711418117223416</v>
      </c>
      <c r="M169" s="19">
        <f ca="1"/>
        <v>0.37664336945306226</v>
      </c>
      <c r="N169" s="19">
        <f ca="1"/>
        <v>0.39004181676700228</v>
      </c>
      <c r="O169" s="19">
        <f ca="1"/>
        <v>0.39872162495329122</v>
      </c>
      <c r="P169" s="19">
        <f ca="1"/>
        <v>0.39872162495329122</v>
      </c>
      <c r="Q169" s="19">
        <f ca="1"/>
        <v>0.39872162495329122</v>
      </c>
      <c r="R169" s="19">
        <f ca="1"/>
        <v>0.39872162495329122</v>
      </c>
    </row>
    <row r="170" spans="1:18" s="38" customFormat="1" outlineLevel="1" x14ac:dyDescent="0.25">
      <c r="A170" s="18"/>
      <c r="B170" s="18"/>
      <c r="C170" s="3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34" cm="1">
        <f t="array" aca="1" ref="D170:R170" ca="1">(1-_xlfn.ANCHORARRAY($D$10))*C170</f>
        <v>0</v>
      </c>
      <c r="E170" s="34">
        <f ca="1"/>
        <v>0</v>
      </c>
      <c r="F170" s="34">
        <f ca="1"/>
        <v>0</v>
      </c>
      <c r="G170" s="34">
        <f ca="1"/>
        <v>0</v>
      </c>
      <c r="H170" s="34">
        <f ca="1"/>
        <v>0</v>
      </c>
      <c r="I170" s="34">
        <f ca="1"/>
        <v>3.4418401375196646E-2</v>
      </c>
      <c r="J170" s="34">
        <f ca="1"/>
        <v>3.4418401375196646E-2</v>
      </c>
      <c r="K170" s="34">
        <f ca="1"/>
        <v>3.4418401375196646E-2</v>
      </c>
      <c r="L170" s="34">
        <f ca="1"/>
        <v>3.4418401375196646E-2</v>
      </c>
      <c r="M170" s="34">
        <f ca="1"/>
        <v>3.4418401375196646E-2</v>
      </c>
      <c r="N170" s="34">
        <f ca="1"/>
        <v>3.4418401375196646E-2</v>
      </c>
      <c r="O170" s="34">
        <f ca="1"/>
        <v>3.4418401375196646E-2</v>
      </c>
      <c r="P170" s="34">
        <f ca="1"/>
        <v>3.4418401375196646E-2</v>
      </c>
      <c r="Q170" s="34">
        <f ca="1"/>
        <v>3.4418401375196646E-2</v>
      </c>
      <c r="R170" s="34">
        <f ca="1"/>
        <v>3.4418401375196646E-2</v>
      </c>
    </row>
    <row r="171" spans="1:18" s="13" customFormat="1" outlineLevel="1" x14ac:dyDescent="0.25">
      <c r="A171" s="8"/>
      <c r="B171" s="18"/>
      <c r="C171" s="8" t="str">
        <f>$C$24</f>
        <v>Depreciation &amp; Amortization</v>
      </c>
      <c r="D171" s="13" cm="1">
        <f t="array" aca="1" ref="D171:R171" ca="1">_xlfn.ANCHORARRAY(D172)*D$165:OFFSET(D$165,0,$F$6-$D$9)</f>
        <v>11056</v>
      </c>
      <c r="E171" s="13">
        <f ca="1"/>
        <v>11284</v>
      </c>
      <c r="F171" s="13">
        <f ca="1"/>
        <v>11104</v>
      </c>
      <c r="G171" s="13">
        <f ca="1"/>
        <v>11519</v>
      </c>
      <c r="H171" s="13">
        <f ca="1"/>
        <v>11444.999999999998</v>
      </c>
      <c r="I171" s="13">
        <f ca="1"/>
        <v>12419.207633544569</v>
      </c>
      <c r="J171" s="13">
        <f ca="1"/>
        <v>13072.649511947562</v>
      </c>
      <c r="K171" s="13">
        <f ca="1"/>
        <v>13647.59709013845</v>
      </c>
      <c r="L171" s="13">
        <f ca="1"/>
        <v>12600.757505715417</v>
      </c>
      <c r="M171" s="13">
        <f ca="1"/>
        <v>13421.097605645502</v>
      </c>
      <c r="N171" s="13">
        <f ca="1"/>
        <v>17587.9780216935</v>
      </c>
      <c r="O171" s="13">
        <f ca="1"/>
        <v>18937.697580628788</v>
      </c>
      <c r="P171" s="13">
        <f ca="1"/>
        <v>20176.039164464662</v>
      </c>
      <c r="Q171" s="13">
        <f ca="1"/>
        <v>21495.356266666924</v>
      </c>
      <c r="R171" s="13">
        <f ca="1"/>
        <v>22900.943900065857</v>
      </c>
    </row>
    <row r="172" spans="1:18" s="19" customFormat="1" outlineLevel="1" x14ac:dyDescent="0.25">
      <c r="A172" s="12"/>
      <c r="B172" s="18"/>
      <c r="C172" s="16" t="str">
        <f>$C$25</f>
        <v>% of Revenue</v>
      </c>
      <c r="D172" s="19" cm="1">
        <f t="array" aca="1" ref="D172:R172" ca="1">_xlfn.ANCHORARRAY(D143)+_xlfn.ANCHORARRAY(D173)</f>
        <v>4.0274666229532081E-2</v>
      </c>
      <c r="E172" s="19">
        <f ca="1"/>
        <v>3.084602410494865E-2</v>
      </c>
      <c r="F172" s="19">
        <f ca="1"/>
        <v>2.8159298857803657E-2</v>
      </c>
      <c r="G172" s="19">
        <f ca="1"/>
        <v>3.0053354553400212E-2</v>
      </c>
      <c r="H172" s="19">
        <f ca="1"/>
        <v>2.9268479803598143E-2</v>
      </c>
      <c r="I172" s="19">
        <f ca="1"/>
        <v>2.9447385806824752E-2</v>
      </c>
      <c r="J172" s="19">
        <f ca="1"/>
        <v>2.9061173669016352E-2</v>
      </c>
      <c r="K172" s="19">
        <f ca="1"/>
        <v>2.8039351992839315E-2</v>
      </c>
      <c r="L172" s="19">
        <f ca="1"/>
        <v>2.408992678803154E-2</v>
      </c>
      <c r="M172" s="19">
        <f ca="1"/>
        <v>2.3196240215023631E-2</v>
      </c>
      <c r="N172" s="19">
        <f ca="1"/>
        <v>2.8026073300220802E-2</v>
      </c>
      <c r="O172" s="19">
        <f ca="1"/>
        <v>2.8324664923976187E-2</v>
      </c>
      <c r="P172" s="19">
        <f ca="1"/>
        <v>2.8324664923976187E-2</v>
      </c>
      <c r="Q172" s="19">
        <f ca="1"/>
        <v>2.8324664923976187E-2</v>
      </c>
      <c r="R172" s="19">
        <f ca="1"/>
        <v>2.8324664923976187E-2</v>
      </c>
    </row>
    <row r="173" spans="1:18" s="38" customFormat="1" outlineLevel="1" x14ac:dyDescent="0.25">
      <c r="A173" s="18"/>
      <c r="B173" s="18"/>
      <c r="C173" s="3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34" cm="1">
        <f t="array" aca="1" ref="D173:R173" ca="1">(1-_xlfn.ANCHORARRAY($D$10))*C173</f>
        <v>0</v>
      </c>
      <c r="E173" s="34">
        <f ca="1"/>
        <v>0</v>
      </c>
      <c r="F173" s="34">
        <f ca="1"/>
        <v>0</v>
      </c>
      <c r="G173" s="34">
        <f ca="1"/>
        <v>0</v>
      </c>
      <c r="H173" s="34">
        <f ca="1"/>
        <v>0</v>
      </c>
      <c r="I173" s="34">
        <f ca="1"/>
        <v>1.4441884796032789E-3</v>
      </c>
      <c r="J173" s="34">
        <f ca="1"/>
        <v>1.4441884796032789E-3</v>
      </c>
      <c r="K173" s="34">
        <f ca="1"/>
        <v>1.4441884796032789E-3</v>
      </c>
      <c r="L173" s="34">
        <f ca="1"/>
        <v>1.4441884796032789E-3</v>
      </c>
      <c r="M173" s="34">
        <f ca="1"/>
        <v>1.4441884796032789E-3</v>
      </c>
      <c r="N173" s="34">
        <f ca="1"/>
        <v>1.4441884796032789E-3</v>
      </c>
      <c r="O173" s="34">
        <f ca="1"/>
        <v>1.4441884796032789E-3</v>
      </c>
      <c r="P173" s="34">
        <f ca="1"/>
        <v>1.4441884796032789E-3</v>
      </c>
      <c r="Q173" s="34">
        <f ca="1"/>
        <v>1.4441884796032789E-3</v>
      </c>
      <c r="R173" s="34">
        <f ca="1"/>
        <v>1.4441884796032789E-3</v>
      </c>
    </row>
    <row r="174" spans="1:18" s="13" customFormat="1" outlineLevel="1" x14ac:dyDescent="0.25">
      <c r="A174" s="8"/>
      <c r="B174" s="18"/>
      <c r="C174" s="8" t="str">
        <f>$C$27</f>
        <v>Capital Expenditures</v>
      </c>
      <c r="D174" s="13" cm="1">
        <f t="array" aca="1" ref="D174:R174" ca="1">-_xlfn.ANCHORARRAY(D175)*D$165:OFFSET(D$165,0,$F$6-$D$9)</f>
        <v>-7309</v>
      </c>
      <c r="E174" s="13">
        <f ca="1"/>
        <v>-11085</v>
      </c>
      <c r="F174" s="13">
        <f ca="1"/>
        <v>-10708</v>
      </c>
      <c r="G174" s="13">
        <f ca="1"/>
        <v>-10959</v>
      </c>
      <c r="H174" s="13">
        <f ca="1"/>
        <v>-9446.9999999999982</v>
      </c>
      <c r="I174" s="13">
        <f ca="1"/>
        <v>-11311.447162256869</v>
      </c>
      <c r="J174" s="13">
        <f ca="1"/>
        <v>-12639.00782898471</v>
      </c>
      <c r="K174" s="13">
        <f ca="1"/>
        <v>-12492.31066828564</v>
      </c>
      <c r="L174" s="13">
        <f ca="1"/>
        <v>-14722.783469316611</v>
      </c>
      <c r="M174" s="13">
        <f ca="1"/>
        <v>-16131.04727594522</v>
      </c>
      <c r="N174" s="13">
        <f ca="1"/>
        <v>-15645.235308251118</v>
      </c>
      <c r="O174" s="13">
        <f ca="1"/>
        <v>-16867.918352926579</v>
      </c>
      <c r="P174" s="13">
        <f ca="1"/>
        <v>-17970.916467678595</v>
      </c>
      <c r="Q174" s="13">
        <f ca="1"/>
        <v>-19146.039951767332</v>
      </c>
      <c r="R174" s="13">
        <f ca="1"/>
        <v>-20398.005104189484</v>
      </c>
    </row>
    <row r="175" spans="1:18" s="19" customFormat="1" outlineLevel="1" x14ac:dyDescent="0.25">
      <c r="A175" s="12"/>
      <c r="B175" s="18"/>
      <c r="C175" s="16" t="str">
        <f>$C$28</f>
        <v>% of Revenue</v>
      </c>
      <c r="D175" s="19" cm="1">
        <f t="array" aca="1" ref="D175:R175" ca="1">_xlfn.ANCHORARRAY(D146)-_xlfn.ANCHORARRAY(D176)</f>
        <v>2.6625138881299748E-2</v>
      </c>
      <c r="E175" s="19">
        <f ca="1"/>
        <v>3.0302036264033657E-2</v>
      </c>
      <c r="F175" s="19">
        <f ca="1"/>
        <v>2.7155058732831552E-2</v>
      </c>
      <c r="G175" s="19">
        <f ca="1"/>
        <v>2.859230076835775E-2</v>
      </c>
      <c r="H175" s="19">
        <f ca="1"/>
        <v>2.415896275269477E-2</v>
      </c>
      <c r="I175" s="19">
        <f ca="1"/>
        <v>2.6820756883136437E-2</v>
      </c>
      <c r="J175" s="19">
        <f ca="1"/>
        <v>2.8097165856583957E-2</v>
      </c>
      <c r="K175" s="19">
        <f ca="1"/>
        <v>2.5665785245453005E-2</v>
      </c>
      <c r="L175" s="19">
        <f ca="1"/>
        <v>2.8146782106631889E-2</v>
      </c>
      <c r="M175" s="19">
        <f ca="1"/>
        <v>2.7879958743115881E-2</v>
      </c>
      <c r="N175" s="19">
        <f ca="1"/>
        <v>2.4930353620377613E-2</v>
      </c>
      <c r="O175" s="19">
        <f ca="1"/>
        <v>2.5228945244132998E-2</v>
      </c>
      <c r="P175" s="19">
        <f ca="1"/>
        <v>2.5228945244132998E-2</v>
      </c>
      <c r="Q175" s="19">
        <f ca="1"/>
        <v>2.5228945244132998E-2</v>
      </c>
      <c r="R175" s="19">
        <f ca="1"/>
        <v>2.5228945244132998E-2</v>
      </c>
    </row>
    <row r="176" spans="1:18" s="38" customFormat="1" outlineLevel="1" x14ac:dyDescent="0.25">
      <c r="A176" s="18"/>
      <c r="B176" s="18"/>
      <c r="C176" s="3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34" cm="1">
        <f t="array" aca="1" ref="D176:R176" ca="1">(1-_xlfn.ANCHORARRAY($D$10))*C176</f>
        <v>0</v>
      </c>
      <c r="E176" s="34">
        <f ca="1"/>
        <v>0</v>
      </c>
      <c r="F176" s="34">
        <f ca="1"/>
        <v>0</v>
      </c>
      <c r="G176" s="34">
        <f ca="1"/>
        <v>0</v>
      </c>
      <c r="H176" s="34">
        <f ca="1"/>
        <v>0</v>
      </c>
      <c r="I176" s="34">
        <f ca="1"/>
        <v>1.6515312002399086E-3</v>
      </c>
      <c r="J176" s="34">
        <f ca="1"/>
        <v>1.6515312002399086E-3</v>
      </c>
      <c r="K176" s="34">
        <f ca="1"/>
        <v>1.6515312002399086E-3</v>
      </c>
      <c r="L176" s="34">
        <f ca="1"/>
        <v>1.6515312002399086E-3</v>
      </c>
      <c r="M176" s="34">
        <f ca="1"/>
        <v>1.6515312002399086E-3</v>
      </c>
      <c r="N176" s="34">
        <f ca="1"/>
        <v>1.6515312002399086E-3</v>
      </c>
      <c r="O176" s="34">
        <f ca="1"/>
        <v>1.6515312002399086E-3</v>
      </c>
      <c r="P176" s="34">
        <f ca="1"/>
        <v>1.6515312002399086E-3</v>
      </c>
      <c r="Q176" s="34">
        <f ca="1"/>
        <v>1.6515312002399086E-3</v>
      </c>
      <c r="R176" s="34">
        <f ca="1"/>
        <v>1.6515312002399086E-3</v>
      </c>
    </row>
    <row r="177" spans="1:18" s="13" customFormat="1" outlineLevel="1" x14ac:dyDescent="0.25">
      <c r="A177" s="8"/>
      <c r="B177" s="18"/>
      <c r="C177" s="8" t="str">
        <f>$C$36</f>
        <v>Change in Working Capital &amp; Other Non-Cash Expenses</v>
      </c>
      <c r="D177" s="13" cm="1">
        <f t="array" aca="1" ref="D177:R177" ca="1">_xlfn.ANCHORARRAY(D178)*D$165:OFFSET(D$165,0,$F$6-$D$9)</f>
        <v>12207</v>
      </c>
      <c r="E177" s="13">
        <f ca="1"/>
        <v>-1926</v>
      </c>
      <c r="F177" s="13">
        <f ca="1"/>
        <v>11244</v>
      </c>
      <c r="G177" s="13">
        <f ca="1"/>
        <v>2028.9999999999998</v>
      </c>
      <c r="H177" s="13">
        <f ca="1"/>
        <v>13072.999999999998</v>
      </c>
      <c r="I177" s="13">
        <f ca="1"/>
        <v>8989.401940174741</v>
      </c>
      <c r="J177" s="13">
        <f ca="1"/>
        <v>22430.319258797215</v>
      </c>
      <c r="K177" s="13">
        <f ca="1"/>
        <v>22543.401003502899</v>
      </c>
      <c r="L177" s="13">
        <f ca="1"/>
        <v>42602.891081018919</v>
      </c>
      <c r="M177" s="13">
        <f ca="1"/>
        <v>48113.901464622926</v>
      </c>
      <c r="N177" s="13">
        <f ca="1"/>
        <v>35857.143175220976</v>
      </c>
      <c r="O177" s="13">
        <f ca="1"/>
        <v>42520.699827535485</v>
      </c>
      <c r="P177" s="13">
        <f ca="1"/>
        <v>45301.140826028393</v>
      </c>
      <c r="Q177" s="13">
        <f ca="1"/>
        <v>48263.395674656807</v>
      </c>
      <c r="R177" s="13">
        <f ca="1"/>
        <v>51419.353234259346</v>
      </c>
    </row>
    <row r="178" spans="1:18" s="19" customFormat="1" outlineLevel="1" x14ac:dyDescent="0.25">
      <c r="A178" s="12"/>
      <c r="B178" s="18"/>
      <c r="C178" s="16" t="str">
        <f>$C$37</f>
        <v>% of Revenue</v>
      </c>
      <c r="D178" s="19" cm="1">
        <f t="array" aca="1" ref="D178:R178" ca="1">_xlfn.ANCHORARRAY(D149)+_xlfn.ANCHORARRAY(D180)</f>
        <v>4.4467515436314956E-2</v>
      </c>
      <c r="E178" s="19">
        <f ca="1"/>
        <v>-5.2649275457400833E-3</v>
      </c>
      <c r="F178" s="19">
        <f ca="1"/>
        <v>2.8514333245420055E-2</v>
      </c>
      <c r="G178" s="19">
        <f ca="1"/>
        <v>5.2937109461627767E-3</v>
      </c>
      <c r="H178" s="19">
        <f ca="1"/>
        <v>3.3431789993223111E-2</v>
      </c>
      <c r="I178" s="19">
        <f ca="1"/>
        <v>2.1314917578956073E-2</v>
      </c>
      <c r="J178" s="19">
        <f ca="1"/>
        <v>4.9863755838909146E-2</v>
      </c>
      <c r="K178" s="19">
        <f ca="1"/>
        <v>4.6316018246881904E-2</v>
      </c>
      <c r="L178" s="19">
        <f ca="1"/>
        <v>8.1447526201081255E-2</v>
      </c>
      <c r="M178" s="19">
        <f ca="1"/>
        <v>8.3157253515979662E-2</v>
      </c>
      <c r="N178" s="19">
        <f ca="1"/>
        <v>5.7137603977315668E-2</v>
      </c>
      <c r="O178" s="19">
        <f ca="1"/>
        <v>6.3597201815064869E-2</v>
      </c>
      <c r="P178" s="19">
        <f ca="1"/>
        <v>6.3597201815064869E-2</v>
      </c>
      <c r="Q178" s="19">
        <f ca="1"/>
        <v>6.3597201815064869E-2</v>
      </c>
      <c r="R178" s="19">
        <f ca="1"/>
        <v>6.3597201815064869E-2</v>
      </c>
    </row>
    <row r="179" spans="1:18" s="19" customFormat="1" outlineLevel="1" x14ac:dyDescent="0.25">
      <c r="A179" s="12"/>
      <c r="B179" s="25"/>
      <c r="C179" s="16" t="str">
        <f>"% of Change in Revenue"</f>
        <v>% of Change in Revenue</v>
      </c>
      <c r="E179" s="19" cm="1">
        <f t="array" aca="1" ref="E179:R179" ca="1">IFERROR(E177:OFFSET(E177,,$F$6-$D$9-1)/($E$165:OFFSET($E$165,,$F$6-$D$9-1)-$D$165:OFFSET($D$165,,$F$6-$D$9-1)),"NA ")</f>
        <v>-2.1094828152723927E-2</v>
      </c>
      <c r="F179" s="19">
        <f ca="1"/>
        <v>0.39437410122408895</v>
      </c>
      <c r="G179" s="19">
        <f ca="1"/>
        <v>-0.1837363035407045</v>
      </c>
      <c r="H179" s="19">
        <f ca="1"/>
        <v>1.6868387096774318</v>
      </c>
      <c r="I179" s="19">
        <f ca="1"/>
        <v>0.29274497471035937</v>
      </c>
      <c r="J179" s="19">
        <f ca="1"/>
        <v>0.79852057568488244</v>
      </c>
      <c r="K179" s="19">
        <f ca="1"/>
        <v>0.6109655184242857</v>
      </c>
      <c r="L179" s="19">
        <f ca="1"/>
        <v>1.1722924215030446</v>
      </c>
      <c r="M179" s="19">
        <f ca="1"/>
        <v>0.86664055639133686</v>
      </c>
      <c r="N179" s="19">
        <f ca="1"/>
        <v>0.73225148559985442</v>
      </c>
      <c r="O179" s="19">
        <f ca="1"/>
        <v>1.0361758430145491</v>
      </c>
      <c r="P179" s="19">
        <f ca="1"/>
        <v>1.0361758430145493</v>
      </c>
      <c r="Q179" s="19">
        <f ca="1"/>
        <v>1.036175843014548</v>
      </c>
      <c r="R179" s="19">
        <f ca="1"/>
        <v>1.0361758430145489</v>
      </c>
    </row>
    <row r="180" spans="1:18" s="38" customFormat="1" outlineLevel="1" x14ac:dyDescent="0.25">
      <c r="A180" s="18"/>
      <c r="B180" s="18"/>
      <c r="C180" s="3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34" cm="1">
        <f t="array" aca="1" ref="D180:R180" ca="1">(1-_xlfn.ANCHORARRAY($D$10))*C180</f>
        <v>0</v>
      </c>
      <c r="E180" s="34">
        <f ca="1"/>
        <v>0</v>
      </c>
      <c r="F180" s="34">
        <f ca="1"/>
        <v>0</v>
      </c>
      <c r="G180" s="34">
        <f ca="1"/>
        <v>0</v>
      </c>
      <c r="H180" s="34">
        <f ca="1"/>
        <v>0</v>
      </c>
      <c r="I180" s="34">
        <f ca="1"/>
        <v>1.7924536000149836E-2</v>
      </c>
      <c r="J180" s="34">
        <f ca="1"/>
        <v>1.7924536000149836E-2</v>
      </c>
      <c r="K180" s="34">
        <f ca="1"/>
        <v>1.7924536000149836E-2</v>
      </c>
      <c r="L180" s="34">
        <f ca="1"/>
        <v>1.7924536000149836E-2</v>
      </c>
      <c r="M180" s="34">
        <f ca="1"/>
        <v>1.7924536000149836E-2</v>
      </c>
      <c r="N180" s="34">
        <f ca="1"/>
        <v>1.7924536000149836E-2</v>
      </c>
      <c r="O180" s="34">
        <f ca="1"/>
        <v>1.7924536000149836E-2</v>
      </c>
      <c r="P180" s="34">
        <f ca="1"/>
        <v>1.7924536000149836E-2</v>
      </c>
      <c r="Q180" s="34">
        <f ca="1"/>
        <v>1.7924536000149836E-2</v>
      </c>
      <c r="R180" s="34">
        <f ca="1"/>
        <v>1.7924536000149836E-2</v>
      </c>
    </row>
    <row r="181" spans="1:18" s="13" customFormat="1" outlineLevel="1" x14ac:dyDescent="0.25">
      <c r="A181" s="8"/>
      <c r="B181" s="18"/>
      <c r="C181" s="8" t="str">
        <f>$C$40</f>
        <v>Normalized Taxes</v>
      </c>
      <c r="D181" s="13" cm="1">
        <f t="array" aca="1" ref="D181:R181" ca="1">-_xlfn.ANCHORARRAY(D182)*D$168:OFFSET(D$168,0,$F$6-$D$9)</f>
        <v>-9565.3583999999992</v>
      </c>
      <c r="E181" s="13">
        <f ca="1"/>
        <v>-14490.217000000001</v>
      </c>
      <c r="F181" s="13">
        <f ca="1"/>
        <v>-19348.794000000002</v>
      </c>
      <c r="G181" s="13">
        <f ca="1"/>
        <v>-16825.107199999999</v>
      </c>
      <c r="H181" s="13">
        <f ca="1"/>
        <v>-29682.734399999994</v>
      </c>
      <c r="I181" s="13">
        <f ca="1"/>
        <v>-22649.157990764033</v>
      </c>
      <c r="J181" s="13">
        <f ca="1"/>
        <v>-24632.572272714613</v>
      </c>
      <c r="K181" s="13">
        <f ca="1"/>
        <v>-26377.749267864328</v>
      </c>
      <c r="L181" s="13">
        <f ca="1"/>
        <v>-28710.292908697655</v>
      </c>
      <c r="M181" s="13">
        <f ca="1"/>
        <v>-32581.873414968686</v>
      </c>
      <c r="N181" s="13">
        <f ca="1"/>
        <v>-35372.679080641028</v>
      </c>
      <c r="O181" s="13">
        <f ca="1"/>
        <v>-38524.349054093938</v>
      </c>
      <c r="P181" s="13">
        <f ca="1"/>
        <v>-41043.467506629117</v>
      </c>
      <c r="Q181" s="13">
        <f ca="1"/>
        <v>-43727.31185158607</v>
      </c>
      <c r="R181" s="13">
        <f ca="1"/>
        <v>-46586.653563250504</v>
      </c>
    </row>
    <row r="182" spans="1:18" s="19" customFormat="1" outlineLevel="1" x14ac:dyDescent="0.25">
      <c r="A182" s="12"/>
      <c r="B182" s="25"/>
      <c r="C182" s="16" t="str">
        <f>$C$41</f>
        <v>Effective Tax Rate (%)</v>
      </c>
      <c r="D182" s="19" cm="1">
        <f t="array" aca="1" ref="D182:R182" ca="1">-_xlfn.ANCHORARRAY(D183)+_xlfn.ANCHORARRAY(D153)</f>
        <v>0.14429999999999998</v>
      </c>
      <c r="E182" s="19">
        <f ca="1"/>
        <v>0.13300000000000001</v>
      </c>
      <c r="F182" s="19">
        <f ca="1"/>
        <v>0.16200000000000001</v>
      </c>
      <c r="G182" s="19">
        <f ca="1"/>
        <v>0.1472</v>
      </c>
      <c r="H182" s="19">
        <f ca="1"/>
        <v>0.2409</v>
      </c>
      <c r="I182" s="19">
        <f ca="1"/>
        <v>0.15231173746609861</v>
      </c>
      <c r="J182" s="19">
        <f ca="1"/>
        <v>0.15551173746609862</v>
      </c>
      <c r="K182" s="19">
        <f ca="1"/>
        <v>0.1531117374660986</v>
      </c>
      <c r="L182" s="19">
        <f ca="1"/>
        <v>0.14951173746609861</v>
      </c>
      <c r="M182" s="19">
        <f ca="1"/>
        <v>0.14951173746609861</v>
      </c>
      <c r="N182" s="19">
        <f ca="1"/>
        <v>0.14451173746609861</v>
      </c>
      <c r="O182" s="19">
        <f ca="1"/>
        <v>0.14451173746609861</v>
      </c>
      <c r="P182" s="19">
        <f ca="1"/>
        <v>0.14451173746609861</v>
      </c>
      <c r="Q182" s="19">
        <f ca="1"/>
        <v>0.14451173746609861</v>
      </c>
      <c r="R182" s="19">
        <f ca="1"/>
        <v>0.14451173746609861</v>
      </c>
    </row>
    <row r="183" spans="1:18" s="38" customFormat="1" outlineLevel="1" x14ac:dyDescent="0.25">
      <c r="A183" s="18"/>
      <c r="B183" s="18"/>
      <c r="C183" s="3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34" cm="1">
        <f t="array" aca="1" ref="D183:R183" ca="1">(1-_xlfn.ANCHORARRAY($D$10))*C183</f>
        <v>0</v>
      </c>
      <c r="E183" s="34">
        <f ca="1"/>
        <v>0</v>
      </c>
      <c r="F183" s="34">
        <f ca="1"/>
        <v>0</v>
      </c>
      <c r="G183" s="34">
        <f ca="1"/>
        <v>0</v>
      </c>
      <c r="H183" s="34">
        <f ca="1"/>
        <v>0</v>
      </c>
      <c r="I183" s="34">
        <f ca="1"/>
        <v>5.4882625339013882E-3</v>
      </c>
      <c r="J183" s="34">
        <f ca="1"/>
        <v>5.4882625339013882E-3</v>
      </c>
      <c r="K183" s="34">
        <f ca="1"/>
        <v>5.4882625339013882E-3</v>
      </c>
      <c r="L183" s="34">
        <f ca="1"/>
        <v>5.4882625339013882E-3</v>
      </c>
      <c r="M183" s="34">
        <f ca="1"/>
        <v>5.4882625339013882E-3</v>
      </c>
      <c r="N183" s="34">
        <f ca="1"/>
        <v>5.4882625339013882E-3</v>
      </c>
      <c r="O183" s="34">
        <f ca="1"/>
        <v>5.4882625339013882E-3</v>
      </c>
      <c r="P183" s="34">
        <f ca="1"/>
        <v>5.4882625339013882E-3</v>
      </c>
      <c r="Q183" s="34">
        <f ca="1"/>
        <v>5.4882625339013882E-3</v>
      </c>
      <c r="R183" s="34">
        <f ca="1"/>
        <v>5.4882625339013882E-3</v>
      </c>
    </row>
    <row r="184" spans="1:18" s="13" customFormat="1" outlineLevel="1" x14ac:dyDescent="0.25">
      <c r="A184" s="8"/>
      <c r="B184" s="18"/>
      <c r="C184" s="8" t="str">
        <f>$C$43</f>
        <v>EBIAT/NOPAT</v>
      </c>
      <c r="D184" s="13" cm="1">
        <f t="array" aca="1" ref="D184:R184" ca="1">_xlfn.ANCHORARRAY(D168)+_xlfn.ANCHORARRAY(D181)</f>
        <v>56722.641600000003</v>
      </c>
      <c r="E184" s="13">
        <f ca="1"/>
        <v>94458.782999999996</v>
      </c>
      <c r="F184" s="13">
        <f ca="1"/>
        <v>100088.20600000001</v>
      </c>
      <c r="G184" s="13">
        <f ca="1"/>
        <v>97475.892800000001</v>
      </c>
      <c r="H184" s="13">
        <f ca="1"/>
        <v>93533.265599999984</v>
      </c>
      <c r="I184" s="13">
        <f ca="1"/>
        <v>126053.48546641049</v>
      </c>
      <c r="J184" s="13">
        <f ca="1"/>
        <v>133764.2965043736</v>
      </c>
      <c r="K184" s="13">
        <f ca="1"/>
        <v>145900.02449657215</v>
      </c>
      <c r="L184" s="13">
        <f ca="1"/>
        <v>163316.72380099472</v>
      </c>
      <c r="M184" s="13">
        <f ca="1"/>
        <v>185339.96982731548</v>
      </c>
      <c r="N184" s="13">
        <f ca="1"/>
        <v>209401.06525925524</v>
      </c>
      <c r="O184" s="13">
        <f ca="1"/>
        <v>228058.48864191998</v>
      </c>
      <c r="P184" s="13">
        <f ca="1"/>
        <v>242971.29991845711</v>
      </c>
      <c r="Q184" s="13">
        <f ca="1"/>
        <v>258859.26428617697</v>
      </c>
      <c r="R184" s="13">
        <f ca="1"/>
        <v>275786.14729093196</v>
      </c>
    </row>
    <row r="185" spans="1:18" s="19" customFormat="1" outlineLevel="1" x14ac:dyDescent="0.25">
      <c r="A185" s="12"/>
      <c r="B185" s="18" t="e">
        <f ca="1">_xlfn.XMATCH(C184,INDIRECT("Consensus!A:A"))</f>
        <v>#N/A</v>
      </c>
      <c r="C185" s="16" t="str">
        <f>"% of Revenue"</f>
        <v>% of Revenue</v>
      </c>
      <c r="D185" s="19" cm="1">
        <f t="array" aca="1" ref="D185:R185" ca="1">IFERROR(D184:OFFSET(D184,0,$F$6-$D$9)/D$165:OFFSET(D$165,0,$F$6-$D$9),"NA ")</f>
        <v>0.20662856893065953</v>
      </c>
      <c r="E185" s="19">
        <f ca="1"/>
        <v>0.25821321316395901</v>
      </c>
      <c r="F185" s="19">
        <f ca="1"/>
        <v>0.25381967803452965</v>
      </c>
      <c r="G185" s="19">
        <f ca="1"/>
        <v>0.25431700379613081</v>
      </c>
      <c r="H185" s="19">
        <f ca="1"/>
        <v>0.23919410180674364</v>
      </c>
      <c r="I185" s="19">
        <f ca="1"/>
        <v>0.29888747562270518</v>
      </c>
      <c r="J185" s="19">
        <f ca="1"/>
        <v>0.29736492574627754</v>
      </c>
      <c r="K185" s="19">
        <f ca="1"/>
        <v>0.29975548923402195</v>
      </c>
      <c r="L185" s="19">
        <f ca="1"/>
        <v>0.3122263020967293</v>
      </c>
      <c r="M185" s="19">
        <f ca="1"/>
        <v>0.32033076488104922</v>
      </c>
      <c r="N185" s="19">
        <f ca="1"/>
        <v>0.33367619614156913</v>
      </c>
      <c r="O185" s="19">
        <f ca="1"/>
        <v>0.34110167016598497</v>
      </c>
      <c r="P185" s="19">
        <f ca="1"/>
        <v>0.34110167016598492</v>
      </c>
      <c r="Q185" s="19">
        <f ca="1"/>
        <v>0.34110167016598497</v>
      </c>
      <c r="R185" s="19">
        <f ca="1"/>
        <v>0.34110167016598503</v>
      </c>
    </row>
    <row r="186" spans="1:18" s="29" customFormat="1" outlineLevel="1" x14ac:dyDescent="0.25">
      <c r="A186" s="26"/>
      <c r="B186" s="18"/>
      <c r="C186" s="26"/>
    </row>
    <row r="187" spans="1:18" s="13" customFormat="1" outlineLevel="1" x14ac:dyDescent="0.25">
      <c r="A187" s="8"/>
      <c r="B187" s="18"/>
      <c r="C187" s="8" t="str">
        <f>$C$46</f>
        <v>Unlevered Free Cash Flow</v>
      </c>
      <c r="D187" s="13" cm="1">
        <f t="array" aca="1" ref="D187:R187" ca="1">_xlfn.ANCHORARRAY(D184)+_xlfn.ANCHORARRAY(D177)+_xlfn.ANCHORARRAY(D174)+_xlfn.ANCHORARRAY(D171)</f>
        <v>72676.641600000003</v>
      </c>
      <c r="E187" s="13">
        <f ca="1"/>
        <v>92731.782999999996</v>
      </c>
      <c r="F187" s="13">
        <f ca="1"/>
        <v>111728.20600000001</v>
      </c>
      <c r="G187" s="13">
        <f ca="1"/>
        <v>100064.8928</v>
      </c>
      <c r="H187" s="13">
        <f ca="1"/>
        <v>108604.26559999998</v>
      </c>
      <c r="I187" s="13">
        <f ca="1"/>
        <v>136150.64787787295</v>
      </c>
      <c r="J187" s="13">
        <f ca="1"/>
        <v>156628.25744613368</v>
      </c>
      <c r="K187" s="13">
        <f ca="1"/>
        <v>169598.71192192784</v>
      </c>
      <c r="L187" s="13">
        <f ca="1"/>
        <v>203797.58891841245</v>
      </c>
      <c r="M187" s="13">
        <f ca="1"/>
        <v>230743.9216216387</v>
      </c>
      <c r="N187" s="13">
        <f ca="1"/>
        <v>247200.95114791862</v>
      </c>
      <c r="O187" s="13">
        <f ca="1"/>
        <v>272648.96769715764</v>
      </c>
      <c r="P187" s="13">
        <f ca="1"/>
        <v>290477.56344127154</v>
      </c>
      <c r="Q187" s="13">
        <f ca="1"/>
        <v>309471.97627573338</v>
      </c>
      <c r="R187" s="13">
        <f ca="1"/>
        <v>329708.43932106765</v>
      </c>
    </row>
    <row r="188" spans="1:18" s="19" customFormat="1" outlineLevel="1" x14ac:dyDescent="0.25">
      <c r="A188" s="12"/>
      <c r="B188" s="18" t="e">
        <f ca="1">_xlfn.XMATCH(C187,INDIRECT("Consensus!A:A"))</f>
        <v>#N/A</v>
      </c>
      <c r="C188" s="16" t="str">
        <f>"% of Revenue"</f>
        <v>% of Revenue</v>
      </c>
      <c r="D188" s="19" cm="1">
        <f t="array" aca="1" ref="D188:R188" ca="1">IFERROR(D187:OFFSET(D187,0,$F$6-$D$9)/D$165:OFFSET(D$165,0,$F$6-$D$9),"NA ")</f>
        <v>0.26474561171520683</v>
      </c>
      <c r="E188" s="19">
        <f ca="1"/>
        <v>0.25349227345913394</v>
      </c>
      <c r="F188" s="19">
        <f ca="1"/>
        <v>0.2833382514049218</v>
      </c>
      <c r="G188" s="19">
        <f ca="1"/>
        <v>0.26107176852733605</v>
      </c>
      <c r="H188" s="19">
        <f ca="1"/>
        <v>0.27773540885087011</v>
      </c>
      <c r="I188" s="19">
        <f ca="1"/>
        <v>0.32282902212534964</v>
      </c>
      <c r="J188" s="19">
        <f ca="1"/>
        <v>0.3481926893976191</v>
      </c>
      <c r="K188" s="19">
        <f ca="1"/>
        <v>0.34844507422829007</v>
      </c>
      <c r="L188" s="19">
        <f ca="1"/>
        <v>0.38961697297921022</v>
      </c>
      <c r="M188" s="19">
        <f ca="1"/>
        <v>0.39880429986893662</v>
      </c>
      <c r="N188" s="19">
        <f ca="1"/>
        <v>0.39390951979872801</v>
      </c>
      <c r="O188" s="19">
        <f ca="1"/>
        <v>0.40779459166089299</v>
      </c>
      <c r="P188" s="19">
        <f ca="1"/>
        <v>0.40779459166089294</v>
      </c>
      <c r="Q188" s="19">
        <f ca="1"/>
        <v>0.40779459166089305</v>
      </c>
      <c r="R188" s="19">
        <f ca="1"/>
        <v>0.40779459166089305</v>
      </c>
    </row>
    <row r="189" spans="1:18" outlineLevel="1" x14ac:dyDescent="0.25"/>
    <row r="190" spans="1:18" outlineLevel="1" x14ac:dyDescent="0.25">
      <c r="C190" s="9" t="str">
        <f>"Conservative Case"</f>
        <v>Conservative Case</v>
      </c>
    </row>
    <row r="191" spans="1:18" s="22" customFormat="1" outlineLevel="1" x14ac:dyDescent="0.25">
      <c r="B191" s="23"/>
      <c r="C191" s="14"/>
      <c r="D191" s="22" t="str" cm="1">
        <f t="array" aca="1" ref="D191:R191" ca="1">IF($D$9:OFFSET($D$9,0,$F$6-$D$9)&lt;$D$6,TEXT($D$9:OFFSET($D$9,0,$F$6-$D$9),"0A"),TEXT($D$9:OFFSET($D$9,0,$F$6-$D$9),"0")&amp;"E")</f>
        <v>2020A</v>
      </c>
      <c r="E191" s="22" t="str">
        <f ca="1"/>
        <v>2021A</v>
      </c>
      <c r="F191" s="22" t="str">
        <f ca="1"/>
        <v>2022A</v>
      </c>
      <c r="G191" s="22" t="str">
        <f ca="1"/>
        <v>2023A</v>
      </c>
      <c r="H191" s="22" t="str">
        <f ca="1"/>
        <v>2024A</v>
      </c>
      <c r="I191" s="22" t="str">
        <f ca="1"/>
        <v>2025E</v>
      </c>
      <c r="J191" s="22" t="str">
        <f ca="1"/>
        <v>2026E</v>
      </c>
      <c r="K191" s="22" t="str">
        <f ca="1"/>
        <v>2027E</v>
      </c>
      <c r="L191" s="22" t="str">
        <f ca="1"/>
        <v>2028E</v>
      </c>
      <c r="M191" s="22" t="str">
        <f ca="1"/>
        <v>2029E</v>
      </c>
      <c r="N191" s="22" t="str">
        <f ca="1"/>
        <v>2030E</v>
      </c>
      <c r="O191" s="22" t="str">
        <f ca="1"/>
        <v>2031E</v>
      </c>
      <c r="P191" s="22" t="str">
        <f ca="1"/>
        <v>2032E</v>
      </c>
      <c r="Q191" s="22" t="str">
        <f ca="1"/>
        <v>2033E</v>
      </c>
      <c r="R191" s="22" t="str">
        <f ca="1"/>
        <v>2034E</v>
      </c>
    </row>
    <row r="192" spans="1:18" s="15" customFormat="1" outlineLevel="1" x14ac:dyDescent="0.25">
      <c r="B192" s="24"/>
      <c r="C192" s="10" t="str">
        <f>"Fiscal Year"</f>
        <v>Fiscal Year</v>
      </c>
      <c r="D192" s="15" cm="1">
        <f t="array" aca="1" ref="D192:R192" ca="1">DATE($D$9:OFFSET($D$9,0,$F$6-$D$9),_xlfn.XLOOKUP(_xlfn.TEXTAFTER(_xlfn.TEXTBEFORE($C$5,"-"),": "),$G$4:$R$4,_xlfn.ANCHORARRAY($G$3)),$G$6)</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outlineLevel="1" x14ac:dyDescent="0.25"/>
    <row r="194" spans="1:18" s="13" customFormat="1" outlineLevel="1" x14ac:dyDescent="0.25">
      <c r="A194" s="8"/>
      <c r="B194" s="18"/>
      <c r="C194" s="8" t="str">
        <f>$C$15</f>
        <v>Revenue</v>
      </c>
      <c r="D194" s="13">
        <f ca="1">D136</f>
        <v>274515</v>
      </c>
      <c r="E194" s="13" cm="1">
        <f t="array" aca="1" ref="E194:R194" ca="1">_xlfn.LET(
  _xlpm.base, D194,
  _xlpm.growths,_xlfn.ANCHORARRAY( E195),
  _xlpm.result, _xlfn.SCAN(_xlpm.base, _xlpm.growths, _xlfn.LAMBDA(_xlpm.a,_xlpm.b, _xlpm.a * (1 + _xlpm.b))),
  _xlpm.result
)</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outlineLevel="1" x14ac:dyDescent="0.25">
      <c r="A195" s="12"/>
      <c r="B195" s="18"/>
      <c r="C195" s="16" t="str">
        <f>$C$16</f>
        <v>% growth</v>
      </c>
      <c r="D195" s="34"/>
      <c r="E195" s="19" cm="1">
        <f t="array" aca="1" ref="E195:R195" ca="1">_xlfn.ANCHORARRAY(E137)+E196:OFFSET(E196,,F6-C6-1)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34" customFormat="1" outlineLevel="1" x14ac:dyDescent="0.25">
      <c r="A196" s="25"/>
      <c r="B196" s="25"/>
      <c r="C196" s="25"/>
      <c r="D196" s="34" cm="1">
        <f t="array" aca="1" ref="D196:R196" ca="1">-_xlfn.ANCHORARRAY(D167)</f>
        <v>0</v>
      </c>
      <c r="E196" s="34">
        <f ca="1"/>
        <v>0</v>
      </c>
      <c r="F196" s="34">
        <f ca="1"/>
        <v>0</v>
      </c>
      <c r="G196" s="34">
        <f ca="1"/>
        <v>0</v>
      </c>
      <c r="H196" s="34">
        <f ca="1"/>
        <v>0</v>
      </c>
      <c r="I196" s="34">
        <f ca="1"/>
        <v>-1.7474727615792277E-2</v>
      </c>
      <c r="J196" s="34">
        <f ca="1"/>
        <v>-1.7474727615792277E-2</v>
      </c>
      <c r="K196" s="34">
        <f ca="1"/>
        <v>-1.7474727615792277E-2</v>
      </c>
      <c r="L196" s="34">
        <f ca="1"/>
        <v>-1.7474727615792277E-2</v>
      </c>
      <c r="M196" s="34">
        <f ca="1"/>
        <v>-1.7474727615792277E-2</v>
      </c>
      <c r="N196" s="34">
        <f ca="1"/>
        <v>-1.7474727615792277E-2</v>
      </c>
      <c r="O196" s="34">
        <f ca="1"/>
        <v>-1.7474727615792277E-2</v>
      </c>
      <c r="P196" s="34">
        <f ca="1"/>
        <v>-1.7474727615792277E-2</v>
      </c>
      <c r="Q196" s="34">
        <f ca="1"/>
        <v>-1.7474727615792277E-2</v>
      </c>
      <c r="R196" s="34">
        <f ca="1"/>
        <v>-1.7474727615792277E-2</v>
      </c>
    </row>
    <row r="197" spans="1:18" s="13" customFormat="1" outlineLevel="1" x14ac:dyDescent="0.25">
      <c r="A197" s="8"/>
      <c r="B197" s="18"/>
      <c r="C197" s="8" t="str">
        <f>$C$21</f>
        <v>EBIT</v>
      </c>
      <c r="D197" s="13" cm="1">
        <f t="array" aca="1" ref="D197:R197" ca="1">_xlfn.ANCHORARRAY(D198)*D$194:OFFSET(D$194,0,$F$6-$D$9)</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outlineLevel="1" x14ac:dyDescent="0.25">
      <c r="A198" s="12"/>
      <c r="B198" s="18"/>
      <c r="C198" s="16" t="str">
        <f>$C$22</f>
        <v>% of Revenue</v>
      </c>
      <c r="D198" s="19" cm="1">
        <f t="array" aca="1" ref="D198:R198" ca="1">_xlfn.ANCHORARRAY(D140)+_xlfn.ANCHORARRAY(D199)</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34" customFormat="1" outlineLevel="1" x14ac:dyDescent="0.25">
      <c r="A199" s="25"/>
      <c r="B199" s="25"/>
      <c r="C199" s="25"/>
      <c r="D199" s="34" cm="1">
        <f t="array" aca="1" ref="D199:R199" ca="1">-_xlfn.ANCHORARRAY(D170)</f>
        <v>0</v>
      </c>
      <c r="E199" s="34">
        <f ca="1"/>
        <v>0</v>
      </c>
      <c r="F199" s="34">
        <f ca="1"/>
        <v>0</v>
      </c>
      <c r="G199" s="34">
        <f ca="1"/>
        <v>0</v>
      </c>
      <c r="H199" s="34">
        <f ca="1"/>
        <v>0</v>
      </c>
      <c r="I199" s="34">
        <f ca="1"/>
        <v>-3.4418401375196646E-2</v>
      </c>
      <c r="J199" s="34">
        <f ca="1"/>
        <v>-3.4418401375196646E-2</v>
      </c>
      <c r="K199" s="34">
        <f ca="1"/>
        <v>-3.4418401375196646E-2</v>
      </c>
      <c r="L199" s="34">
        <f ca="1"/>
        <v>-3.4418401375196646E-2</v>
      </c>
      <c r="M199" s="34">
        <f ca="1"/>
        <v>-3.4418401375196646E-2</v>
      </c>
      <c r="N199" s="34">
        <f ca="1"/>
        <v>-3.4418401375196646E-2</v>
      </c>
      <c r="O199" s="34">
        <f ca="1"/>
        <v>-3.4418401375196646E-2</v>
      </c>
      <c r="P199" s="34">
        <f ca="1"/>
        <v>-3.4418401375196646E-2</v>
      </c>
      <c r="Q199" s="34">
        <f ca="1"/>
        <v>-3.4418401375196646E-2</v>
      </c>
      <c r="R199" s="34">
        <f ca="1"/>
        <v>-3.4418401375196646E-2</v>
      </c>
    </row>
    <row r="200" spans="1:18" s="13" customFormat="1" outlineLevel="1" x14ac:dyDescent="0.25">
      <c r="A200" s="8"/>
      <c r="B200" s="18"/>
      <c r="C200" s="8" t="str">
        <f>$C$24</f>
        <v>Depreciation &amp; Amortization</v>
      </c>
      <c r="D200" s="13" cm="1">
        <f t="array" aca="1" ref="D200:R200" ca="1">_xlfn.ANCHORARRAY(D201)*D$194:OFFSET(D$194,0,$F$6-$D$9)</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outlineLevel="1" x14ac:dyDescent="0.25">
      <c r="A201" s="12"/>
      <c r="B201" s="18"/>
      <c r="C201" s="16" t="str">
        <f>$C$25</f>
        <v>% of Revenue</v>
      </c>
      <c r="D201" s="19" cm="1">
        <f t="array" aca="1" ref="D201:R201" ca="1">_xlfn.ANCHORARRAY(D143)+_xlfn.ANCHORARRAY(D202)</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34" customFormat="1" outlineLevel="1" x14ac:dyDescent="0.25">
      <c r="A202" s="25"/>
      <c r="B202" s="25"/>
      <c r="C202" s="25"/>
      <c r="D202" s="34" cm="1">
        <f t="array" aca="1" ref="D202:R202" ca="1">-_xlfn.ANCHORARRAY(D173)</f>
        <v>0</v>
      </c>
      <c r="E202" s="34">
        <f ca="1"/>
        <v>0</v>
      </c>
      <c r="F202" s="34">
        <f ca="1"/>
        <v>0</v>
      </c>
      <c r="G202" s="34">
        <f ca="1"/>
        <v>0</v>
      </c>
      <c r="H202" s="34">
        <f ca="1"/>
        <v>0</v>
      </c>
      <c r="I202" s="34">
        <f ca="1"/>
        <v>-1.4441884796032789E-3</v>
      </c>
      <c r="J202" s="34">
        <f ca="1"/>
        <v>-1.4441884796032789E-3</v>
      </c>
      <c r="K202" s="34">
        <f ca="1"/>
        <v>-1.4441884796032789E-3</v>
      </c>
      <c r="L202" s="34">
        <f ca="1"/>
        <v>-1.4441884796032789E-3</v>
      </c>
      <c r="M202" s="34">
        <f ca="1"/>
        <v>-1.4441884796032789E-3</v>
      </c>
      <c r="N202" s="34">
        <f ca="1"/>
        <v>-1.4441884796032789E-3</v>
      </c>
      <c r="O202" s="34">
        <f ca="1"/>
        <v>-1.4441884796032789E-3</v>
      </c>
      <c r="P202" s="34">
        <f ca="1"/>
        <v>-1.4441884796032789E-3</v>
      </c>
      <c r="Q202" s="34">
        <f ca="1"/>
        <v>-1.4441884796032789E-3</v>
      </c>
      <c r="R202" s="34">
        <f ca="1"/>
        <v>-1.4441884796032789E-3</v>
      </c>
    </row>
    <row r="203" spans="1:18" s="13" customFormat="1" outlineLevel="1" x14ac:dyDescent="0.25">
      <c r="A203" s="8"/>
      <c r="B203" s="18"/>
      <c r="C203" s="8" t="str">
        <f>$C$27</f>
        <v>Capital Expenditures</v>
      </c>
      <c r="D203" s="13" cm="1">
        <f t="array" aca="1" ref="D203:R203" ca="1">-_xlfn.ANCHORARRAY(D204)*D$194:OFFSET(D$194,0,$F$6-$D$9)</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outlineLevel="1" x14ac:dyDescent="0.25">
      <c r="A204" s="12"/>
      <c r="B204" s="18"/>
      <c r="C204" s="16" t="str">
        <f>$C$28</f>
        <v>% of Revenue</v>
      </c>
      <c r="D204" s="19" cm="1">
        <f t="array" aca="1" ref="D204:R204" ca="1">_xlfn.ANCHORARRAY(D146)-_xlfn.ANCHORARRAY(D205)</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34" customFormat="1" outlineLevel="1" x14ac:dyDescent="0.25">
      <c r="A205" s="25"/>
      <c r="B205" s="25"/>
      <c r="C205" s="25"/>
      <c r="D205" s="34" cm="1">
        <f t="array" aca="1" ref="D205:R205" ca="1">-_xlfn.ANCHORARRAY(D176)</f>
        <v>0</v>
      </c>
      <c r="E205" s="34">
        <f ca="1"/>
        <v>0</v>
      </c>
      <c r="F205" s="34">
        <f ca="1"/>
        <v>0</v>
      </c>
      <c r="G205" s="34">
        <f ca="1"/>
        <v>0</v>
      </c>
      <c r="H205" s="34">
        <f ca="1"/>
        <v>0</v>
      </c>
      <c r="I205" s="34">
        <f ca="1"/>
        <v>-1.6515312002399086E-3</v>
      </c>
      <c r="J205" s="34">
        <f ca="1"/>
        <v>-1.6515312002399086E-3</v>
      </c>
      <c r="K205" s="34">
        <f ca="1"/>
        <v>-1.6515312002399086E-3</v>
      </c>
      <c r="L205" s="34">
        <f ca="1"/>
        <v>-1.6515312002399086E-3</v>
      </c>
      <c r="M205" s="34">
        <f ca="1"/>
        <v>-1.6515312002399086E-3</v>
      </c>
      <c r="N205" s="34">
        <f ca="1"/>
        <v>-1.6515312002399086E-3</v>
      </c>
      <c r="O205" s="34">
        <f ca="1"/>
        <v>-1.6515312002399086E-3</v>
      </c>
      <c r="P205" s="34">
        <f ca="1"/>
        <v>-1.6515312002399086E-3</v>
      </c>
      <c r="Q205" s="34">
        <f ca="1"/>
        <v>-1.6515312002399086E-3</v>
      </c>
      <c r="R205" s="34">
        <f ca="1"/>
        <v>-1.6515312002399086E-3</v>
      </c>
    </row>
    <row r="206" spans="1:18" s="13" customFormat="1" outlineLevel="1" x14ac:dyDescent="0.25">
      <c r="A206" s="8"/>
      <c r="B206" s="18"/>
      <c r="C206" s="8" t="str">
        <f>$C$36</f>
        <v>Change in Working Capital &amp; Other Non-Cash Expenses</v>
      </c>
      <c r="D206" s="13" cm="1">
        <f t="array" aca="1" ref="D206:R206" ca="1">_xlfn.ANCHORARRAY(D207)*D$194:OFFSET(D$194,0,$F$6-$D$9)</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outlineLevel="1" x14ac:dyDescent="0.25">
      <c r="A207" s="12"/>
      <c r="B207" s="18"/>
      <c r="C207" s="16" t="str">
        <f>$C$37</f>
        <v>% of Revenue</v>
      </c>
      <c r="D207" s="19" cm="1">
        <f t="array" aca="1" ref="D207:R207" ca="1">_xlfn.ANCHORARRAY(D149)+_xlfn.ANCHORARRAY(D209)</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outlineLevel="1" x14ac:dyDescent="0.25">
      <c r="A208" s="12"/>
      <c r="B208" s="25"/>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34" customFormat="1" outlineLevel="1" x14ac:dyDescent="0.25">
      <c r="A209" s="25"/>
      <c r="B209" s="25"/>
      <c r="C209" s="25"/>
      <c r="D209" s="34" cm="1">
        <f t="array" aca="1" ref="D209:R209" ca="1">-_xlfn.ANCHORARRAY(D180)</f>
        <v>0</v>
      </c>
      <c r="E209" s="34">
        <f ca="1"/>
        <v>0</v>
      </c>
      <c r="F209" s="34">
        <f ca="1"/>
        <v>0</v>
      </c>
      <c r="G209" s="34">
        <f ca="1"/>
        <v>0</v>
      </c>
      <c r="H209" s="34">
        <f ca="1"/>
        <v>0</v>
      </c>
      <c r="I209" s="34">
        <f ca="1"/>
        <v>-1.7924536000149836E-2</v>
      </c>
      <c r="J209" s="34">
        <f ca="1"/>
        <v>-1.7924536000149836E-2</v>
      </c>
      <c r="K209" s="34">
        <f ca="1"/>
        <v>-1.7924536000149836E-2</v>
      </c>
      <c r="L209" s="34">
        <f ca="1"/>
        <v>-1.7924536000149836E-2</v>
      </c>
      <c r="M209" s="34">
        <f ca="1"/>
        <v>-1.7924536000149836E-2</v>
      </c>
      <c r="N209" s="34">
        <f ca="1"/>
        <v>-1.7924536000149836E-2</v>
      </c>
      <c r="O209" s="34">
        <f ca="1"/>
        <v>-1.7924536000149836E-2</v>
      </c>
      <c r="P209" s="34">
        <f ca="1"/>
        <v>-1.7924536000149836E-2</v>
      </c>
      <c r="Q209" s="34">
        <f ca="1"/>
        <v>-1.7924536000149836E-2</v>
      </c>
      <c r="R209" s="34">
        <f ca="1"/>
        <v>-1.7924536000149836E-2</v>
      </c>
    </row>
    <row r="210" spans="1:18" s="13" customFormat="1" outlineLevel="1" x14ac:dyDescent="0.25">
      <c r="A210" s="8"/>
      <c r="B210" s="18"/>
      <c r="C210" s="8" t="str">
        <f>$C$40</f>
        <v>Normalized Taxes</v>
      </c>
      <c r="D210" s="13" cm="1">
        <f t="array" aca="1" ref="D210:R210" ca="1">-_xlfn.ANCHORARRAY(D211)*D$197:OFFSET(D$197,0,$F$6-$D$9)</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outlineLevel="1" x14ac:dyDescent="0.25">
      <c r="A211" s="12"/>
      <c r="B211" s="25"/>
      <c r="C211" s="16" t="str">
        <f>$C$41</f>
        <v>Effective Tax Rate (%)</v>
      </c>
      <c r="D211" s="19" cm="1">
        <f t="array" aca="1" ref="D211:R211" ca="1">-_xlfn.ANCHORARRAY(D212)+_xlfn.ANCHORARRAY(D153)</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34" customFormat="1" outlineLevel="1" x14ac:dyDescent="0.25">
      <c r="A212" s="25"/>
      <c r="B212" s="25"/>
      <c r="C212" s="25"/>
      <c r="D212" s="34" cm="1">
        <f t="array" aca="1" ref="D212:R212" ca="1">-_xlfn.ANCHORARRAY(D183)</f>
        <v>0</v>
      </c>
      <c r="E212" s="34">
        <f ca="1"/>
        <v>0</v>
      </c>
      <c r="F212" s="34">
        <f ca="1"/>
        <v>0</v>
      </c>
      <c r="G212" s="34">
        <f ca="1"/>
        <v>0</v>
      </c>
      <c r="H212" s="34">
        <f ca="1"/>
        <v>0</v>
      </c>
      <c r="I212" s="34">
        <f ca="1"/>
        <v>-5.4882625339013882E-3</v>
      </c>
      <c r="J212" s="34">
        <f ca="1"/>
        <v>-5.4882625339013882E-3</v>
      </c>
      <c r="K212" s="34">
        <f ca="1"/>
        <v>-5.4882625339013882E-3</v>
      </c>
      <c r="L212" s="34">
        <f ca="1"/>
        <v>-5.4882625339013882E-3</v>
      </c>
      <c r="M212" s="34">
        <f ca="1"/>
        <v>-5.4882625339013882E-3</v>
      </c>
      <c r="N212" s="34">
        <f ca="1"/>
        <v>-5.4882625339013882E-3</v>
      </c>
      <c r="O212" s="34">
        <f ca="1"/>
        <v>-5.4882625339013882E-3</v>
      </c>
      <c r="P212" s="34">
        <f ca="1"/>
        <v>-5.4882625339013882E-3</v>
      </c>
      <c r="Q212" s="34">
        <f ca="1"/>
        <v>-5.4882625339013882E-3</v>
      </c>
      <c r="R212" s="34">
        <f ca="1"/>
        <v>-5.4882625339013882E-3</v>
      </c>
    </row>
    <row r="213" spans="1:18" s="13" customFormat="1" outlineLevel="1" x14ac:dyDescent="0.25">
      <c r="A213" s="8"/>
      <c r="B213" s="18"/>
      <c r="C213" s="8" t="str">
        <f>$C$43</f>
        <v>EBIAT/NOPAT</v>
      </c>
      <c r="D213" s="13" cm="1">
        <f t="array" aca="1" ref="D213:R213" ca="1">_xlfn.ANCHORARRAY(D197)+_xlfn.ANCHORARRAY(D210)</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outlineLevel="1" x14ac:dyDescent="0.25">
      <c r="A214" s="12"/>
      <c r="B214" s="18" t="e">
        <f ca="1">_xlfn.XMATCH(C213,INDIRECT("Consensus!A:A"))</f>
        <v>#N/A</v>
      </c>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outlineLevel="1" x14ac:dyDescent="0.25">
      <c r="A215" s="12"/>
      <c r="B215" s="25"/>
      <c r="C215" s="12"/>
    </row>
    <row r="216" spans="1:18" s="13" customFormat="1" outlineLevel="1" x14ac:dyDescent="0.25">
      <c r="A216" s="8"/>
      <c r="B216" s="18"/>
      <c r="C216" s="8" t="str">
        <f>$C$46</f>
        <v>Unlevered Free Cash Flow</v>
      </c>
      <c r="D216" s="13" cm="1">
        <f t="array" aca="1" ref="D216:R216" ca="1">_xlfn.ANCHORARRAY(D213)+_xlfn.ANCHORARRAY(D206)+_xlfn.ANCHORARRAY(D203)+_xlfn.ANCHORARRAY(D200)</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outlineLevel="1" x14ac:dyDescent="0.25">
      <c r="A217" s="12"/>
      <c r="B217" s="18" t="e">
        <f ca="1">_xlfn.XMATCH(C216,INDIRECT("Consensus!A:A"))</f>
        <v>#N/A</v>
      </c>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outlineLevel="1" x14ac:dyDescent="0.25"/>
    <row r="219" spans="1:18" x14ac:dyDescent="0.25">
      <c r="C219" s="9" t="str">
        <f>"Present Value of Free Cash Flow Calculations"</f>
        <v>Present Value of Free Cash Flow Calculations</v>
      </c>
    </row>
    <row r="220" spans="1:18" s="22" customFormat="1" x14ac:dyDescent="0.25">
      <c r="B220" s="23"/>
      <c r="C220" s="17"/>
      <c r="D220" s="22" t="str" cm="1">
        <f t="array" aca="1" ref="D220:R220" ca="1">IF($D$9:OFFSET($D$9,0,$F$6-$D$9)&lt;$D$6,TEXT($D$9:OFFSET($D$9,0,$F$6-$D$9),"0A"),TEXT($D$9:OFFSET($D$9,0,$F$6-$D$9),"0")&amp;"E")</f>
        <v>2020A</v>
      </c>
      <c r="E220" s="22" t="str">
        <f ca="1"/>
        <v>2021A</v>
      </c>
      <c r="F220" s="22" t="str">
        <f ca="1"/>
        <v>2022A</v>
      </c>
      <c r="G220" s="22" t="str">
        <f ca="1"/>
        <v>2023A</v>
      </c>
      <c r="H220" s="22" t="str">
        <f ca="1"/>
        <v>2024A</v>
      </c>
      <c r="I220" s="22" t="str">
        <f ca="1"/>
        <v>2025E</v>
      </c>
      <c r="J220" s="22" t="str">
        <f ca="1"/>
        <v>2026E</v>
      </c>
      <c r="K220" s="22" t="str">
        <f ca="1"/>
        <v>2027E</v>
      </c>
      <c r="L220" s="22" t="str">
        <f ca="1"/>
        <v>2028E</v>
      </c>
      <c r="M220" s="22" t="str">
        <f ca="1"/>
        <v>2029E</v>
      </c>
      <c r="N220" s="22" t="str">
        <f ca="1"/>
        <v>2030E</v>
      </c>
      <c r="O220" s="22" t="str">
        <f ca="1"/>
        <v>2031E</v>
      </c>
      <c r="P220" s="22" t="str">
        <f ca="1"/>
        <v>2032E</v>
      </c>
      <c r="Q220" s="22" t="str">
        <f ca="1"/>
        <v>2033E</v>
      </c>
      <c r="R220" s="22" t="str">
        <f ca="1"/>
        <v>2034E</v>
      </c>
    </row>
    <row r="221" spans="1:18" s="15" customFormat="1" x14ac:dyDescent="0.25">
      <c r="B221" s="24"/>
      <c r="C221" s="10" t="str">
        <f>"Fiscal Year"</f>
        <v>Fiscal Year</v>
      </c>
      <c r="D221" s="15" cm="1">
        <f t="array" aca="1" ref="D221:R221" ca="1">DATE($D$9:OFFSET($D$9,0,$F$6-$D$9),_xlfn.XLOOKUP(_xlfn.TEXTAFTER(_xlfn.TEXTBEFORE($C$5,"-"),": "),$G$4:$R$4,_xlfn.ANCHORARRAY($G$3)),$G$6)</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B222" s="24"/>
      <c r="C222" s="10" t="str">
        <f>"Date of Free Cash Flow"</f>
        <v>Date of Free Cash Flow</v>
      </c>
      <c r="D222" s="15" t="str" cm="1">
        <f t="array" aca="1" ref="D222:R222" ca="1">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f>
        <v/>
      </c>
      <c r="E222" s="15" t="str">
        <f ca="1"/>
        <v/>
      </c>
      <c r="F222" s="15" t="str">
        <f ca="1"/>
        <v/>
      </c>
      <c r="G222" s="15" t="str">
        <f ca="1"/>
        <v/>
      </c>
      <c r="H222" s="15">
        <f ca="1"/>
        <v>45874</v>
      </c>
      <c r="I222" s="15">
        <f ca="1"/>
        <v>45902</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_xlfn.LET(_xlpm.x,_xlfn.ANCHORARRAY(D100)*(1-_xlfn.ANCHORARRAY(D10)),IF(_xlfn.ANCHORARRAY(D222)="","",_xlpm.x))</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2:19" s="46" customFormat="1" x14ac:dyDescent="0.25">
      <c r="B225" s="47"/>
      <c r="C225" s="48" t="str">
        <f>"Stub-Adjustment"</f>
        <v>Stub-Adjustment</v>
      </c>
      <c r="D225" s="46" t="str" cm="1">
        <f t="array" aca="1" ref="D225:R225" ca="1">_xlfn.LET(_xlpm.x,_xlfn.LET(
  _xlpm.arr, 1-_xlfn.ANCHORARRAY(D10),
  _xlpm.firstOnePos, _xlfn.XMATCH(1, _xlpm.arr),
  IF(_xlfn.SEQUENCE(1, COLUMNS(_xlpm.arr)) = _xlpm.firstOnePos,F4, _xlpm.arr)
),IF(_xlfn.ANCHORARRAY(D222)="","",_xlpm.x))</f>
        <v/>
      </c>
      <c r="E225" s="46" t="str">
        <f ca="1"/>
        <v/>
      </c>
      <c r="F225" s="46" t="str">
        <f ca="1"/>
        <v/>
      </c>
      <c r="G225" s="46" t="str">
        <f ca="1"/>
        <v/>
      </c>
      <c r="H225" s="46">
        <f ca="1"/>
        <v>0</v>
      </c>
      <c r="I225" s="46">
        <f ca="1"/>
        <v>0.15342465753424658</v>
      </c>
      <c r="J225" s="46">
        <f ca="1"/>
        <v>1</v>
      </c>
      <c r="K225" s="46">
        <f ca="1"/>
        <v>1</v>
      </c>
      <c r="L225" s="46">
        <f ca="1"/>
        <v>1</v>
      </c>
      <c r="M225" s="46">
        <f ca="1"/>
        <v>1</v>
      </c>
      <c r="N225" s="46">
        <f ca="1"/>
        <v>1</v>
      </c>
      <c r="O225" s="46">
        <f ca="1"/>
        <v>1</v>
      </c>
      <c r="P225" s="46">
        <f ca="1"/>
        <v>1</v>
      </c>
      <c r="Q225" s="46">
        <f ca="1"/>
        <v>1</v>
      </c>
      <c r="R225" s="46">
        <f ca="1"/>
        <v>1</v>
      </c>
    </row>
    <row r="227" spans="2: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17243.895914958899</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2:19" collapsed="1" x14ac:dyDescent="0.25">
      <c r="C229" s="9" t="str">
        <f>"Terminal Value (Exit Multiple)"</f>
        <v>Terminal Value (Exit Multiple)</v>
      </c>
      <c r="F229" s="9" t="str">
        <f>"Sensitivity Analysis (Exit Multiple)"</f>
        <v>Sensitivity Analysis (Exit Multiple)</v>
      </c>
    </row>
    <row r="230" spans="2:19" s="22" customFormat="1" x14ac:dyDescent="0.25">
      <c r="B230" s="23"/>
      <c r="C230" s="17"/>
      <c r="D230" s="22" t="s">
        <v>1132</v>
      </c>
      <c r="F230" s="22" t="s">
        <v>1132</v>
      </c>
      <c r="G230" s="22" t="s">
        <v>1132</v>
      </c>
      <c r="H230" s="22" t="s">
        <v>1132</v>
      </c>
      <c r="I230" s="22" t="s">
        <v>1132</v>
      </c>
      <c r="J230" s="22" t="s">
        <v>1132</v>
      </c>
      <c r="K230" s="22" t="s">
        <v>1132</v>
      </c>
      <c r="L230" s="22" t="s">
        <v>1132</v>
      </c>
      <c r="M230" s="22" t="s">
        <v>1132</v>
      </c>
      <c r="N230" s="8"/>
      <c r="O230" s="8"/>
      <c r="P230" s="8"/>
      <c r="Q230" s="8"/>
      <c r="R230" s="8"/>
      <c r="S230" s="8"/>
    </row>
    <row r="231" spans="2:19" s="15" customFormat="1" x14ac:dyDescent="0.25">
      <c r="B231" s="24"/>
      <c r="C231" s="10"/>
      <c r="N231" s="8"/>
      <c r="O231" s="8"/>
      <c r="P231" s="8"/>
      <c r="Q231" s="8"/>
      <c r="R231" s="8"/>
      <c r="S231" s="8"/>
    </row>
    <row r="232" spans="2:19" x14ac:dyDescent="0.25">
      <c r="C232" s="8" t="str">
        <f>P5</f>
        <v>Exit Multiple (EBITDA)</v>
      </c>
      <c r="D232" s="50">
        <f ca="1">R5</f>
        <v>13.893558639054831</v>
      </c>
      <c r="K232" s="9" t="str">
        <f>C232</f>
        <v>Exit Multiple (EBITDA)</v>
      </c>
    </row>
    <row r="233" spans="2:19" x14ac:dyDescent="0.25">
      <c r="C233" s="8" t="str">
        <f ca="1">"FY"&amp;F6&amp;" EBITDA"</f>
        <v>FY2034 EBITDA</v>
      </c>
      <c r="D233" s="8" cm="1">
        <f t="array" aca="1" ref="D233" ca="1">INDEX(_xlfn.ANCHORARRAY(D81),,COUNTA(_xlfn.ANCHORARRAY(D81)))+INDEX(_xlfn.ANCHORARRAY(D84),,COUNTA(_xlfn.ANCHORARRAY(D84)))</f>
        <v>268479.02710852504</v>
      </c>
      <c r="H233" s="62">
        <f ca="1">D243</f>
        <v>190.83934276585686</v>
      </c>
      <c r="I233" s="57">
        <f>J233-2</f>
        <v>6</v>
      </c>
      <c r="J233" s="57">
        <f>K233-2</f>
        <v>8</v>
      </c>
      <c r="K233" s="58">
        <f>10</f>
        <v>10</v>
      </c>
      <c r="L233" s="57">
        <f>K233+2</f>
        <v>12</v>
      </c>
      <c r="M233" s="57">
        <f>L233+2</f>
        <v>14</v>
      </c>
    </row>
    <row r="234" spans="2:19" x14ac:dyDescent="0.25">
      <c r="C234" s="8" t="str">
        <f>"Terminal Value"</f>
        <v>Terminal Value</v>
      </c>
      <c r="D234" s="8">
        <f ca="1">D232*D233</f>
        <v>3730129.1064886842</v>
      </c>
      <c r="H234" s="55">
        <f>H235+0.25%</f>
        <v>0.11250000000000002</v>
      </c>
      <c r="I234" s="52">
        <f t="dataTable" ref="I234:M245" dt2D="1" dtr="1" r1="D232" r2="D8" ca="1"/>
        <v>116.14929432089811</v>
      </c>
      <c r="J234" s="53">
        <v>130.49219208608261</v>
      </c>
      <c r="K234" s="53">
        <v>144.83508985126718</v>
      </c>
      <c r="L234" s="53">
        <v>159.1779876164517</v>
      </c>
      <c r="M234" s="53">
        <v>173.52088538163625</v>
      </c>
    </row>
    <row r="235" spans="2:19" x14ac:dyDescent="0.25">
      <c r="C235" s="8" t="str">
        <f>"Present Value of Terminal Value"</f>
        <v>Present Value of Terminal Value</v>
      </c>
      <c r="D235" s="8">
        <f ca="1">D234/((1+$D$8)^YEARFRAC($D$7,INDEX(_xlfn.ANCHORARRAY($D$222),,COUNTA(_xlfn.ANCHORARRAY($D$222))),3))</f>
        <v>1680932.4035539364</v>
      </c>
      <c r="H235" s="55">
        <f>H236+0.25%</f>
        <v>0.11000000000000001</v>
      </c>
      <c r="I235" s="54">
        <v>117.69880599195102</v>
      </c>
      <c r="J235" s="51">
        <v>132.3237990151959</v>
      </c>
      <c r="K235" s="51">
        <v>146.94879203844079</v>
      </c>
      <c r="L235" s="51">
        <v>161.57378506168564</v>
      </c>
      <c r="M235" s="51">
        <v>176.19877808493055</v>
      </c>
    </row>
    <row r="236" spans="2:19" x14ac:dyDescent="0.25">
      <c r="C236" s="8" t="str">
        <f>"Sum of Present Value of Free Cash Flows"</f>
        <v>Sum of Present Value of Free Cash Flows</v>
      </c>
      <c r="D236" s="8" cm="1">
        <f t="array" aca="1" ref="D236" ca="1">XNPV($D$8, _xlfn._xlws.FILTER(_xlfn.ANCHORARRAY(D227), ISNUMBER(_xlfn.ANCHORARRAY(D227))), _xlfn._xlws.FILTER(_xlfn.ANCHORARRAY(D222), ISNUMBER(_xlfn.ANCHORARRAY(D227))))</f>
        <v>1115884.8865343181</v>
      </c>
      <c r="H236" s="55">
        <f>H237+0.25%</f>
        <v>0.10750000000000001</v>
      </c>
      <c r="I236" s="54">
        <v>119.27798341046241</v>
      </c>
      <c r="J236" s="51">
        <v>134.19127485216686</v>
      </c>
      <c r="K236" s="51">
        <v>149.1045662938713</v>
      </c>
      <c r="L236" s="51">
        <v>164.01785773557577</v>
      </c>
      <c r="M236" s="51">
        <v>178.93114917728028</v>
      </c>
    </row>
    <row r="237" spans="2:19" x14ac:dyDescent="0.25">
      <c r="G237" s="13"/>
      <c r="H237" s="55">
        <f>H238+0.25%</f>
        <v>0.10500000000000001</v>
      </c>
      <c r="I237" s="54">
        <v>120.88749574161154</v>
      </c>
      <c r="J237" s="51">
        <v>136.09543963438821</v>
      </c>
      <c r="K237" s="51">
        <v>151.30338352716484</v>
      </c>
      <c r="L237" s="51">
        <v>166.51132741994149</v>
      </c>
      <c r="M237" s="51">
        <v>181.71927131271815</v>
      </c>
    </row>
    <row r="238" spans="2:19" x14ac:dyDescent="0.25">
      <c r="C238" s="8" t="str">
        <f>"Enterprise Value"</f>
        <v>Enterprise Value</v>
      </c>
      <c r="D238" s="8">
        <f ca="1">SUM(D235:D236)</f>
        <v>2796817.2900882545</v>
      </c>
      <c r="H238" s="55">
        <f>H239+0.25%</f>
        <v>0.10250000000000001</v>
      </c>
      <c r="I238" s="54">
        <v>122.52802916874845</v>
      </c>
      <c r="J238" s="51">
        <v>138.03713444038843</v>
      </c>
      <c r="K238" s="51">
        <v>153.54623971202847</v>
      </c>
      <c r="L238" s="51">
        <v>169.05534498366848</v>
      </c>
      <c r="M238" s="51">
        <v>184.56445025530846</v>
      </c>
    </row>
    <row r="239" spans="2:19" x14ac:dyDescent="0.25">
      <c r="C239" s="8" t="str">
        <f>$C$55</f>
        <v>Net Debt</v>
      </c>
      <c r="D239" s="8" cm="1">
        <f t="array" aca="1" ref="D239" ca="1">_xlfn.XLOOKUP(D7,_xlfn.ANCHORARRAY($D$13),_xlfn.ANCHORARRAY(D58))</f>
        <v>-41934.131369863018</v>
      </c>
      <c r="G239" s="22" t="str">
        <f>$C$8</f>
        <v>Weighted-Average Cost of Capital</v>
      </c>
      <c r="H239" s="56">
        <f>10%</f>
        <v>0.1</v>
      </c>
      <c r="I239" s="54">
        <v>124.20028737146571</v>
      </c>
      <c r="J239" s="51">
        <v>140.01722198464375</v>
      </c>
      <c r="K239" s="51">
        <v>155.83415659782179</v>
      </c>
      <c r="L239" s="51">
        <v>171.65109121099985</v>
      </c>
      <c r="M239" s="51">
        <v>187.46802582417791</v>
      </c>
    </row>
    <row r="240" spans="2:19" x14ac:dyDescent="0.25">
      <c r="C240" s="8" t="str">
        <f>"Equity Value"</f>
        <v>Equity Value</v>
      </c>
      <c r="D240" s="8">
        <f ca="1">D238-D239</f>
        <v>2838751.4214581177</v>
      </c>
      <c r="H240" s="55">
        <f t="shared" ref="H240:H245" si="0">H239-0.25%</f>
        <v>9.7500000000000003E-2</v>
      </c>
      <c r="I240" s="54">
        <v>125.90499201832476</v>
      </c>
      <c r="J240" s="51">
        <v>142.03658723070731</v>
      </c>
      <c r="K240" s="51">
        <v>158.16818244308988</v>
      </c>
      <c r="L240" s="51">
        <v>174.29977765547244</v>
      </c>
      <c r="M240" s="51">
        <v>190.43137286785498</v>
      </c>
    </row>
    <row r="241" spans="2:19" x14ac:dyDescent="0.25">
      <c r="H241" s="55">
        <f t="shared" si="0"/>
        <v>9.5000000000000001E-2</v>
      </c>
      <c r="I241" s="54">
        <v>127.64288327472035</v>
      </c>
      <c r="J241" s="51">
        <v>144.09613802326456</v>
      </c>
      <c r="K241" s="51">
        <v>160.54939277180873</v>
      </c>
      <c r="L241" s="51">
        <v>177.00264752035289</v>
      </c>
      <c r="M241" s="51">
        <v>193.45590226889712</v>
      </c>
    </row>
    <row r="242" spans="2:19" x14ac:dyDescent="0.25">
      <c r="C242" s="8" t="str">
        <f>_xlfn.TEXTBEFORE($C$53," as")</f>
        <v>Diluted Shares Outstanding</v>
      </c>
      <c r="D242" s="8" cm="1">
        <f t="array" aca="1" ref="D242" ca="1">_xlfn.XLOOKUP(D7,_xlfn.ANCHORARRAY($D$13),_xlfn.ANCHORARRAY(D53))</f>
        <v>14875.08487671233</v>
      </c>
      <c r="H242" s="55">
        <f t="shared" si="0"/>
        <v>9.2499999999999999E-2</v>
      </c>
      <c r="I242" s="54">
        <v>129.4147203263887</v>
      </c>
      <c r="J242" s="51">
        <v>146.19680573974742</v>
      </c>
      <c r="K242" s="51">
        <v>162.97889115310616</v>
      </c>
      <c r="L242" s="51">
        <v>179.76097656646488</v>
      </c>
      <c r="M242" s="51">
        <v>196.54306197982356</v>
      </c>
    </row>
    <row r="243" spans="2:19" x14ac:dyDescent="0.25">
      <c r="C243" s="8" t="str">
        <f>"Implied Share Price"</f>
        <v>Implied Share Price</v>
      </c>
      <c r="D243" s="51">
        <f ca="1">D240/D242</f>
        <v>190.83934276585686</v>
      </c>
      <c r="H243" s="55">
        <f t="shared" si="0"/>
        <v>0.09</v>
      </c>
      <c r="I243" s="54">
        <v>131.221281919078</v>
      </c>
      <c r="J243" s="51">
        <v>148.33954596215924</v>
      </c>
      <c r="K243" s="51">
        <v>165.45781000524047</v>
      </c>
      <c r="L243" s="51">
        <v>182.57607404832171</v>
      </c>
      <c r="M243" s="51">
        <v>199.69433809140295</v>
      </c>
    </row>
    <row r="244" spans="2:19" x14ac:dyDescent="0.25">
      <c r="C244" s="8" t="str">
        <f>"Current Share Price"</f>
        <v>Current Share Price</v>
      </c>
      <c r="D244" s="51">
        <f ca="1">$N$5</f>
        <v>203.23749999999998</v>
      </c>
      <c r="H244" s="55">
        <f t="shared" si="0"/>
        <v>8.7499999999999994E-2</v>
      </c>
      <c r="I244" s="54">
        <v>133.06336691492311</v>
      </c>
      <c r="J244" s="51">
        <v>150.52533916978948</v>
      </c>
      <c r="K244" s="51">
        <v>167.98731142465584</v>
      </c>
      <c r="L244" s="51">
        <v>185.44928367952218</v>
      </c>
      <c r="M244" s="51">
        <v>202.91125593438855</v>
      </c>
    </row>
    <row r="245" spans="2:19" x14ac:dyDescent="0.25">
      <c r="C245" s="45" t="str">
        <f>"Upside / Downside"</f>
        <v>Upside / Downside</v>
      </c>
      <c r="D245" s="12">
        <f ca="1">D243/D244-1</f>
        <v>-6.1003295327600071E-2</v>
      </c>
      <c r="H245" s="55">
        <f t="shared" si="0"/>
        <v>8.4999999999999992E-2</v>
      </c>
      <c r="I245" s="54">
        <v>134.94179486608161</v>
      </c>
      <c r="J245" s="51">
        <v>152.75519145351834</v>
      </c>
      <c r="K245" s="51">
        <v>170.56858804095506</v>
      </c>
      <c r="L245" s="51">
        <v>188.38198462839179</v>
      </c>
      <c r="M245" s="51">
        <v>206.19538121582852</v>
      </c>
    </row>
    <row r="247" spans="2:19" collapsed="1" x14ac:dyDescent="0.25">
      <c r="C247" s="9" t="str">
        <f>"Terminal Value (Perpetuity)"</f>
        <v>Terminal Value (Perpetuity)</v>
      </c>
      <c r="F247" s="9" t="str">
        <f>"Sensitivity Analysis (Perpetuity)"</f>
        <v>Sensitivity Analysis (Perpetuity)</v>
      </c>
    </row>
    <row r="248" spans="2:19" s="22" customFormat="1" x14ac:dyDescent="0.25">
      <c r="B248" s="23"/>
      <c r="C248" s="17"/>
      <c r="D248" s="22" t="s">
        <v>1132</v>
      </c>
      <c r="F248" s="22" t="s">
        <v>1132</v>
      </c>
      <c r="G248" s="22" t="s">
        <v>1132</v>
      </c>
      <c r="H248" s="22" t="s">
        <v>1132</v>
      </c>
      <c r="I248" s="22" t="s">
        <v>1132</v>
      </c>
      <c r="J248" s="22" t="s">
        <v>1132</v>
      </c>
      <c r="K248" s="22" t="s">
        <v>1132</v>
      </c>
      <c r="L248" s="22" t="s">
        <v>1132</v>
      </c>
      <c r="M248" s="22" t="s">
        <v>1132</v>
      </c>
      <c r="N248" s="8"/>
      <c r="O248" s="8"/>
      <c r="P248" s="8"/>
      <c r="Q248" s="8"/>
      <c r="R248" s="8"/>
      <c r="S248" s="8"/>
    </row>
    <row r="249" spans="2:19" s="15" customFormat="1" x14ac:dyDescent="0.25">
      <c r="B249" s="24"/>
      <c r="C249" s="10"/>
    </row>
    <row r="250" spans="2:19" x14ac:dyDescent="0.25">
      <c r="C250" s="8" t="str">
        <f>P6</f>
        <v>Terminal Growth Rate</v>
      </c>
      <c r="D250" s="36">
        <f>R6</f>
        <v>2.5000000000000001E-2</v>
      </c>
      <c r="K250" s="9" t="str">
        <f>C250</f>
        <v>Terminal Growth Rate</v>
      </c>
    </row>
    <row r="251" spans="2:19" x14ac:dyDescent="0.25">
      <c r="C251" s="8" t="str">
        <f ca="1">"FY"&amp;F6+1&amp;" "&amp;C224</f>
        <v>FY2035 Unlevered Free Cash Flow</v>
      </c>
      <c r="D251" s="8" cm="1">
        <f t="array" aca="1" ref="D251" ca="1">INDEX(_xlfn.ANCHORARRAY(D224),,COUNTA(_xlfn.ANCHORARRAY(D224)))*(1+D250)</f>
        <v>249968.82718379822</v>
      </c>
      <c r="H251" s="62">
        <f ca="1">D261</f>
        <v>183.836069305199</v>
      </c>
      <c r="I251" s="60">
        <f>J251-0.5%</f>
        <v>1.4999999999999999E-2</v>
      </c>
      <c r="J251" s="60">
        <f>K251-0.5%</f>
        <v>0.02</v>
      </c>
      <c r="K251" s="61">
        <f>2.5%</f>
        <v>2.5000000000000001E-2</v>
      </c>
      <c r="L251" s="60">
        <f>K251+0.5%</f>
        <v>3.0000000000000002E-2</v>
      </c>
      <c r="M251" s="60">
        <f>L251+0.5%</f>
        <v>3.5000000000000003E-2</v>
      </c>
    </row>
    <row r="252" spans="2:19" x14ac:dyDescent="0.25">
      <c r="C252" s="8" t="str">
        <f>"Terminal Value"</f>
        <v>Terminal Value</v>
      </c>
      <c r="D252" s="8">
        <f ca="1">D251/(D8-D250)</f>
        <v>3498957.6805616594</v>
      </c>
      <c r="H252" s="59">
        <f>H253+0.25%</f>
        <v>0.11250000000000002</v>
      </c>
      <c r="I252" s="52">
        <f t="dataTable" ref="I252:M263" dt2D="1" dtr="1" r1="D250" r2="D8" ca="1"/>
        <v>140.93469370684693</v>
      </c>
      <c r="J252" s="53">
        <v>144.95243718218558</v>
      </c>
      <c r="K252" s="53">
        <v>149.42935134042008</v>
      </c>
      <c r="L252" s="53">
        <v>154.44892176025877</v>
      </c>
      <c r="M252" s="53">
        <v>160.11617868588306</v>
      </c>
    </row>
    <row r="253" spans="2:19" x14ac:dyDescent="0.25">
      <c r="C253" s="8" t="str">
        <f>"Present Value of Terminal Value"</f>
        <v>Present Value of Terminal Value</v>
      </c>
      <c r="D253" s="8">
        <f ca="1">D252/((1+$D$8)^YEARFRAC($D$7,INDEX(_xlfn.ANCHORARRAY($D$222),,COUNTA(_xlfn.ANCHORARRAY($D$222))),3))</f>
        <v>1576758.1164118238</v>
      </c>
      <c r="H253" s="59">
        <f>H254+0.25%</f>
        <v>0.11000000000000001</v>
      </c>
      <c r="I253" s="54">
        <v>144.79136356186822</v>
      </c>
      <c r="J253" s="51">
        <v>149.10302013931837</v>
      </c>
      <c r="K253" s="51">
        <v>153.9219304317626</v>
      </c>
      <c r="L253" s="51">
        <v>159.34320451076238</v>
      </c>
      <c r="M253" s="51">
        <v>165.48731513362878</v>
      </c>
    </row>
    <row r="254" spans="2:19" x14ac:dyDescent="0.25">
      <c r="C254" s="8" t="str">
        <f>"Sum of Present Value of Free Cash Flows"</f>
        <v>Sum of Present Value of Free Cash Flows</v>
      </c>
      <c r="D254" s="8" cm="1">
        <f t="array" aca="1" ref="D254" ca="1">XNPV($D$8, _xlfn._xlws.FILTER(_xlfn.ANCHORARRAY(D227), ISNUMBER(_xlfn.ANCHORARRAY(D227))), _xlfn._xlws.FILTER(_xlfn.ANCHORARRAY(D222), ISNUMBER(_xlfn.ANCHORARRAY(D227))))</f>
        <v>1115884.8865343181</v>
      </c>
      <c r="H254" s="59">
        <f>H255+0.25%</f>
        <v>0.10750000000000001</v>
      </c>
      <c r="I254" s="54">
        <v>148.86046037984116</v>
      </c>
      <c r="J254" s="51">
        <v>153.49449297990589</v>
      </c>
      <c r="K254" s="51">
        <v>158.69022650119058</v>
      </c>
      <c r="L254" s="51">
        <v>164.55637725102818</v>
      </c>
      <c r="M254" s="51">
        <v>171.23165224222265</v>
      </c>
    </row>
    <row r="255" spans="2:19" x14ac:dyDescent="0.25">
      <c r="G255" s="13"/>
      <c r="H255" s="59">
        <f>H256+0.25%</f>
        <v>0.10500000000000001</v>
      </c>
      <c r="I255" s="54">
        <v>153.15975437811002</v>
      </c>
      <c r="J255" s="51">
        <v>158.1481739549217</v>
      </c>
      <c r="K255" s="51">
        <v>163.76014597883483</v>
      </c>
      <c r="L255" s="51">
        <v>170.12038093926972</v>
      </c>
      <c r="M255" s="51">
        <v>177.38922089405244</v>
      </c>
    </row>
    <row r="256" spans="2:19" x14ac:dyDescent="0.25">
      <c r="C256" s="8" t="str">
        <f>"Enterprise Value"</f>
        <v>Enterprise Value</v>
      </c>
      <c r="D256" s="8">
        <f ca="1">SUM(D253:D254)</f>
        <v>2692643.0029461421</v>
      </c>
      <c r="H256" s="59">
        <f>H257+0.25%</f>
        <v>0.10250000000000001</v>
      </c>
      <c r="I256" s="54">
        <v>157.70904805150468</v>
      </c>
      <c r="J256" s="51">
        <v>163.08796663661815</v>
      </c>
      <c r="K256" s="51">
        <v>169.16093923271401</v>
      </c>
      <c r="L256" s="51">
        <v>176.07156322137484</v>
      </c>
      <c r="M256" s="51">
        <v>184.00598335650392</v>
      </c>
    </row>
    <row r="257" spans="2:13" x14ac:dyDescent="0.25">
      <c r="C257" s="8" t="str">
        <f>$C$55</f>
        <v>Net Debt</v>
      </c>
      <c r="D257" s="8" cm="1">
        <f t="array" aca="1" ref="D257" ca="1">_xlfn.XLOOKUP(D7,_xlfn.ANCHORARRAY($D$13),_xlfn.ANCHORARRAY(D58))</f>
        <v>-41934.131369863018</v>
      </c>
      <c r="G257" s="22" t="str">
        <f>$C$8</f>
        <v>Weighted-Average Cost of Capital</v>
      </c>
      <c r="H257" s="56">
        <f>10%</f>
        <v>0.1</v>
      </c>
      <c r="I257" s="54">
        <v>162.53047506981653</v>
      </c>
      <c r="J257" s="51">
        <v>168.3407639055107</v>
      </c>
      <c r="K257" s="51">
        <v>174.92575791929744</v>
      </c>
      <c r="L257" s="51">
        <v>182.45146536362515</v>
      </c>
      <c r="M257" s="51">
        <v>191.13497395323404</v>
      </c>
    </row>
    <row r="258" spans="2:13" x14ac:dyDescent="0.25">
      <c r="C258" s="8" t="str">
        <f>"Equity Value"</f>
        <v>Equity Value</v>
      </c>
      <c r="D258" s="8">
        <f ca="1">D256-D257</f>
        <v>2734577.1343160053</v>
      </c>
      <c r="H258" s="59">
        <f t="shared" ref="H258:H263" si="1">H257-0.25%</f>
        <v>9.7500000000000003E-2</v>
      </c>
      <c r="I258" s="54">
        <v>167.64885352115934</v>
      </c>
      <c r="J258" s="51">
        <v>173.93693012920829</v>
      </c>
      <c r="K258" s="51">
        <v>181.09232764871228</v>
      </c>
      <c r="L258" s="51">
        <v>189.3077840599947</v>
      </c>
      <c r="M258" s="51">
        <v>198.83771349708223</v>
      </c>
    </row>
    <row r="259" spans="2:13" x14ac:dyDescent="0.25">
      <c r="H259" s="59">
        <f t="shared" si="1"/>
        <v>9.5000000000000001E-2</v>
      </c>
      <c r="I259" s="54">
        <v>173.0921053894005</v>
      </c>
      <c r="J259" s="51">
        <v>179.9108797778762</v>
      </c>
      <c r="K259" s="51">
        <v>187.70376479327697</v>
      </c>
      <c r="L259" s="51">
        <v>196.69555519566251</v>
      </c>
      <c r="M259" s="51">
        <v>207.18597733177896</v>
      </c>
    </row>
    <row r="260" spans="2:13" x14ac:dyDescent="0.25">
      <c r="C260" s="8" t="str">
        <f>_xlfn.TEXTBEFORE($C$53," as")</f>
        <v>Diluted Shares Outstanding</v>
      </c>
      <c r="D260" s="8" cm="1">
        <f t="array" aca="1" ref="D260" ca="1">_xlfn.XLOOKUP(D7,_xlfn.ANCHORARRAY($D$13),_xlfn.ANCHORARRAY(D53))</f>
        <v>14875.08487671233</v>
      </c>
      <c r="H260" s="59">
        <f t="shared" si="1"/>
        <v>9.2499999999999999E-2</v>
      </c>
      <c r="I260" s="54">
        <v>178.89175722177501</v>
      </c>
      <c r="J260" s="51">
        <v>186.30177575416795</v>
      </c>
      <c r="K260" s="51">
        <v>194.80957480987831</v>
      </c>
      <c r="L260" s="51">
        <v>204.67862171450238</v>
      </c>
      <c r="M260" s="51">
        <v>216.26402460253931</v>
      </c>
    </row>
    <row r="261" spans="2:13" x14ac:dyDescent="0.25">
      <c r="C261" s="8" t="str">
        <f>"Implied Share Price"</f>
        <v>Implied Share Price</v>
      </c>
      <c r="D261" s="51">
        <f ca="1">D258/D260</f>
        <v>183.836069305199</v>
      </c>
      <c r="H261" s="59">
        <f t="shared" si="1"/>
        <v>0.09</v>
      </c>
      <c r="I261" s="54">
        <v>185.08354093108312</v>
      </c>
      <c r="J261" s="51">
        <v>193.15437736626689</v>
      </c>
      <c r="K261" s="51">
        <v>202.46688094532502</v>
      </c>
      <c r="L261" s="51">
        <v>213.33146845422627</v>
      </c>
      <c r="M261" s="51">
        <v>226.17143551020038</v>
      </c>
    </row>
    <row r="262" spans="2:13" x14ac:dyDescent="0.25">
      <c r="C262" s="8" t="str">
        <f>"Current Share Price"</f>
        <v>Current Share Price</v>
      </c>
      <c r="D262" s="51">
        <f ca="1">$N$5</f>
        <v>203.23749999999998</v>
      </c>
      <c r="H262" s="59">
        <f t="shared" si="1"/>
        <v>8.7499999999999994E-2</v>
      </c>
      <c r="I262" s="54">
        <v>191.70811890292455</v>
      </c>
      <c r="J262" s="51">
        <v>200.52007674043256</v>
      </c>
      <c r="K262" s="51">
        <v>210.74194783194181</v>
      </c>
      <c r="L262" s="51">
        <v>222.7415356350179</v>
      </c>
      <c r="M262" s="51">
        <v>237.02675921010842</v>
      </c>
    </row>
    <row r="263" spans="2:13" x14ac:dyDescent="0.25">
      <c r="C263" s="45" t="str">
        <f>"Upside / Downside"</f>
        <v>Upside / Downside</v>
      </c>
      <c r="D263" s="12">
        <f ca="1">D261/D262-1</f>
        <v>-9.5461864541735553E-2</v>
      </c>
      <c r="H263" s="59">
        <f t="shared" si="1"/>
        <v>8.4999999999999992E-2</v>
      </c>
      <c r="I263" s="54">
        <v>198.81196448425911</v>
      </c>
      <c r="J263" s="51">
        <v>208.45817440679261</v>
      </c>
      <c r="K263" s="51">
        <v>219.71208598308164</v>
      </c>
      <c r="L263" s="51">
        <v>233.01216330051417</v>
      </c>
      <c r="M263" s="51">
        <v>248.97225608143319</v>
      </c>
    </row>
    <row r="265" spans="2:13" outlineLevel="1" x14ac:dyDescent="0.25">
      <c r="C265" s="9" t="str">
        <f>C8</f>
        <v>Weighted-Average Cost of Capital</v>
      </c>
    </row>
    <row r="266" spans="2:13" outlineLevel="1" x14ac:dyDescent="0.25">
      <c r="C266" s="17"/>
      <c r="D266" s="22" t="s">
        <v>1132</v>
      </c>
    </row>
    <row r="267" spans="2:13" outlineLevel="1" x14ac:dyDescent="0.25"/>
    <row r="268" spans="2:13" outlineLevel="1" x14ac:dyDescent="0.25">
      <c r="C268" s="8" t="str">
        <f>"Beta 3Y"</f>
        <v>Beta 3Y</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2:13" outlineLevel="1" x14ac:dyDescent="0.25">
      <c r="B269" s="18">
        <f ca="1">_xlfn.XMATCH(C268,INDIRECT("'Public Company'!A:A"))</f>
        <v>104</v>
      </c>
      <c r="C269" s="88" t="str">
        <f>"Risk-Free Rate"</f>
        <v>Risk-Free Rate</v>
      </c>
      <c r="D269" s="43">
        <f>4.194%</f>
        <v>4.1939999999999998E-2</v>
      </c>
    </row>
    <row r="270" spans="2:13" outlineLevel="1" x14ac:dyDescent="0.25">
      <c r="C270" s="88" t="str">
        <f>"Market Risk Premium"</f>
        <v>Market Risk Premium</v>
      </c>
      <c r="D270" s="43">
        <f>4.33%</f>
        <v>4.3299999999999998E-2</v>
      </c>
    </row>
    <row r="271" spans="2:13" outlineLevel="1" x14ac:dyDescent="0.25">
      <c r="C271" s="88" t="str">
        <f>"Country Risk Premium"</f>
        <v>Country Risk Premium</v>
      </c>
      <c r="D271" s="43">
        <f>0%</f>
        <v>0</v>
      </c>
    </row>
    <row r="272" spans="2:13" outlineLevel="1" x14ac:dyDescent="0.25">
      <c r="C272" s="8" t="str">
        <f>"Capital Asset Pricing Model (CAPM)"</f>
        <v>Capital Asset Pricing Model (CAPM)</v>
      </c>
      <c r="D272" s="89">
        <f ca="1">D268*D270+D269+D271</f>
        <v>9.5198999999999992E-2</v>
      </c>
    </row>
    <row r="273" spans="2:4" outlineLevel="1" x14ac:dyDescent="0.25"/>
    <row r="274" spans="2:4" outlineLevel="1" x14ac:dyDescent="0.25">
      <c r="C274" s="8" t="str">
        <f>"Total Debt/EBITDA (x)"</f>
        <v>Total Debt/EBITDA (x)</v>
      </c>
      <c r="D274" s="85" cm="1">
        <f t="array" aca="1" ref="D274" ca="1">IFERROR(INDIRECT("'Public Company'!B"&amp;B275),D239/D275)</f>
        <v>0.65</v>
      </c>
    </row>
    <row r="275" spans="2:4" outlineLevel="1" x14ac:dyDescent="0.25">
      <c r="B275" s="18">
        <f ca="1">_xlfn.XMATCH(C274,INDIRECT("'Public Company'!A:A"))</f>
        <v>152</v>
      </c>
      <c r="C275" s="8" t="str">
        <f>"EBITDA"</f>
        <v>EBITDA</v>
      </c>
      <c r="D275" s="8">
        <f ca="1">_xlfn.XLOOKUP(D7,13:13,18:18)</f>
        <v>143832.42000000001</v>
      </c>
    </row>
    <row r="276" spans="2:4" outlineLevel="1" x14ac:dyDescent="0.25">
      <c r="C276" s="8" t="str">
        <f>"Total Debt"</f>
        <v>Total Debt</v>
      </c>
      <c r="D276" s="8">
        <f ca="1">D274*D275</f>
        <v>93491.073000000019</v>
      </c>
    </row>
    <row r="277" spans="2:4" outlineLevel="1" x14ac:dyDescent="0.25">
      <c r="C277" s="8" t="str">
        <f>C60</f>
        <v>Interest Expense</v>
      </c>
      <c r="D277" s="8">
        <f ca="1">_xlfn.XLOOKUP(D7,13:13,60:60)</f>
        <v>759.5</v>
      </c>
    </row>
    <row r="278" spans="2:4" outlineLevel="1" x14ac:dyDescent="0.25">
      <c r="C278" s="8" t="str">
        <f>"Long-Term Tax-RATE"</f>
        <v>Long-Term Tax-RATE</v>
      </c>
      <c r="D278" s="12" cm="1">
        <f t="array" aca="1" ref="D278" ca="1">INDEX(_xlfn.ANCHORARRAY(D95),,COUNTA(_xlfn.ANCHORARRAY(D95)))</f>
        <v>0.15</v>
      </c>
    </row>
    <row r="279" spans="2:4" outlineLevel="1" x14ac:dyDescent="0.25">
      <c r="C279" s="8" t="str">
        <f>"After-Tax Cost of Debt"</f>
        <v>After-Tax Cost of Debt</v>
      </c>
      <c r="D279" s="12">
        <f ca="1">(D277/D276)*(1-D278)</f>
        <v>6.9052047354296589E-3</v>
      </c>
    </row>
    <row r="280" spans="2:4" outlineLevel="1" x14ac:dyDescent="0.25"/>
    <row r="281" spans="2:4" outlineLevel="1" x14ac:dyDescent="0.25">
      <c r="C281" s="8" t="str">
        <f>"Share Price"</f>
        <v>Share Price</v>
      </c>
      <c r="D281" s="8">
        <f ca="1">N5</f>
        <v>203.23749999999998</v>
      </c>
    </row>
    <row r="282" spans="2:4" outlineLevel="1" x14ac:dyDescent="0.25">
      <c r="C282" s="8" t="str">
        <f>"Diluted Shares"</f>
        <v>Diluted Shares</v>
      </c>
      <c r="D282" s="8">
        <f ca="1">D260</f>
        <v>14875.08487671233</v>
      </c>
    </row>
    <row r="283" spans="2:4" outlineLevel="1" x14ac:dyDescent="0.25">
      <c r="C283" s="8" t="str">
        <f>"Market Capitalization"</f>
        <v>Market Capitalization</v>
      </c>
      <c r="D283" s="8">
        <f ca="1">D281*D282</f>
        <v>3023175.062630822</v>
      </c>
    </row>
    <row r="284" spans="2:4" outlineLevel="1" x14ac:dyDescent="0.25"/>
    <row r="285" spans="2:4" outlineLevel="1" x14ac:dyDescent="0.25">
      <c r="C285" s="8" t="str">
        <f>C257</f>
        <v>Net Debt</v>
      </c>
      <c r="D285" s="8">
        <f ca="1">D257</f>
        <v>-41934.131369863018</v>
      </c>
    </row>
    <row r="286" spans="2:4" outlineLevel="1" x14ac:dyDescent="0.25">
      <c r="C286" s="8" t="str">
        <f>"% Equity"</f>
        <v>% Equity</v>
      </c>
      <c r="D286" s="12">
        <f ca="1">D283/(SUM($D$283:$D$285))</f>
        <v>1.0140659988027625</v>
      </c>
    </row>
    <row r="287" spans="2:4" outlineLevel="1" x14ac:dyDescent="0.25">
      <c r="C287" s="8" t="str">
        <f>"% Debt"</f>
        <v>% Debt</v>
      </c>
      <c r="D287" s="12">
        <f ca="1">D285/(SUM($D$283:$D$285))</f>
        <v>-1.4065998802762436E-2</v>
      </c>
    </row>
    <row r="288" spans="2:4" outlineLevel="1" x14ac:dyDescent="0.25">
      <c r="C288" s="8" t="str">
        <f>"Weighted-Average Cost of Capital"</f>
        <v>Weighted-Average Cost of Capital</v>
      </c>
      <c r="D288" s="87">
        <f ca="1">D286*D272+D287*D279</f>
        <v>9.6440940418482793E-2</v>
      </c>
    </row>
    <row r="289" outlineLevel="1" x14ac:dyDescent="0.25"/>
  </sheetData>
  <phoneticPr fontId="10" type="noConversion"/>
  <conditionalFormatting sqref="D266">
    <cfRule type="expression" dxfId="12" priority="4">
      <formula>D266&lt;&gt;""</formula>
    </cfRule>
  </conditionalFormatting>
  <conditionalFormatting sqref="D2:XFD2">
    <cfRule type="expression" dxfId="11" priority="10">
      <formula>D11&lt;&gt;""</formula>
    </cfRule>
  </conditionalFormatting>
  <conditionalFormatting sqref="D11:XFD11">
    <cfRule type="expression" dxfId="10" priority="25">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30">
      <formula>D$10=1</formula>
    </cfRule>
  </conditionalFormatting>
  <conditionalFormatting sqref="D62:XFD62">
    <cfRule type="expression" dxfId="8" priority="1">
      <formula>D$10=1</formula>
    </cfRule>
  </conditionalFormatting>
  <conditionalFormatting sqref="D75:XFD75">
    <cfRule type="expression" dxfId="7" priority="24">
      <formula>D75&lt;&gt;""</formula>
    </cfRule>
  </conditionalFormatting>
  <conditionalFormatting sqref="D104:XFD104">
    <cfRule type="expression" dxfId="6" priority="22">
      <formula>D104&lt;&gt;""</formula>
    </cfRule>
  </conditionalFormatting>
  <conditionalFormatting sqref="D133:XFD133">
    <cfRule type="expression" dxfId="5" priority="20">
      <formula>D133&lt;&gt;""</formula>
    </cfRule>
  </conditionalFormatting>
  <conditionalFormatting sqref="D162:XFD162">
    <cfRule type="expression" dxfId="4" priority="18">
      <formula>D162&lt;&gt;""</formula>
    </cfRule>
  </conditionalFormatting>
  <conditionalFormatting sqref="D191:XFD191">
    <cfRule type="expression" dxfId="3" priority="16">
      <formula>D191&lt;&gt;""</formula>
    </cfRule>
  </conditionalFormatting>
  <conditionalFormatting sqref="D220:XFD220">
    <cfRule type="expression" dxfId="2" priority="9">
      <formula>D220&lt;&gt;""</formula>
    </cfRule>
  </conditionalFormatting>
  <conditionalFormatting sqref="D230:XFD230">
    <cfRule type="expression" dxfId="1" priority="8">
      <formula>D230&lt;&gt;""</formula>
    </cfRule>
  </conditionalFormatting>
  <conditionalFormatting sqref="D248:XFD248">
    <cfRule type="expression" dxfId="0" priority="5">
      <formula>D248&lt;&gt;""</formula>
    </cfRule>
  </conditionalFormatting>
  <dataValidations disablePrompts="1"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2025-08-05T14:58:48Z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