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ocuments\Visual Studio 2015\Projects\DungeonsAndDragons\"/>
    </mc:Choice>
  </mc:AlternateContent>
  <bookViews>
    <workbookView xWindow="0" yWindow="0" windowWidth="28800" windowHeight="12210" tabRatio="727"/>
  </bookViews>
  <sheets>
    <sheet name="Worker" sheetId="8" r:id="rId1"/>
    <sheet name="Enum Tables" sheetId="1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8" l="1"/>
  <c r="J33" i="8" l="1"/>
  <c r="G29" i="8"/>
  <c r="G28" i="8"/>
  <c r="J28" i="8" s="1"/>
  <c r="G27" i="8"/>
  <c r="G26" i="8"/>
  <c r="J26" i="8" s="1"/>
  <c r="G30" i="8"/>
  <c r="J30" i="8" s="1"/>
  <c r="G31" i="8"/>
  <c r="J31" i="8" s="1"/>
  <c r="G32" i="8"/>
  <c r="J32" i="8" s="1"/>
  <c r="G25" i="8"/>
  <c r="J25" i="8" s="1"/>
  <c r="J27" i="8"/>
  <c r="G21" i="8"/>
  <c r="J21" i="8" s="1"/>
  <c r="G22" i="8"/>
  <c r="J22" i="8" s="1"/>
  <c r="G23" i="8"/>
  <c r="J23" i="8" s="1"/>
  <c r="G24" i="8"/>
  <c r="J24" i="8" s="1"/>
  <c r="B4" i="8"/>
  <c r="Z62" i="8" l="1"/>
  <c r="V40" i="8" l="1"/>
  <c r="V43" i="8"/>
  <c r="Z73" i="8" l="1"/>
  <c r="Z27" i="8" l="1"/>
  <c r="Z98" i="8"/>
  <c r="Z95" i="8"/>
  <c r="Z94" i="8" s="1"/>
  <c r="Z93" i="8" s="1"/>
  <c r="Z92" i="8" s="1"/>
  <c r="Z91" i="8" s="1"/>
  <c r="Z71" i="8"/>
  <c r="Z67" i="8"/>
  <c r="Z40" i="8"/>
  <c r="Z38" i="8"/>
  <c r="Z33" i="8"/>
  <c r="Z42" i="8"/>
  <c r="X10" i="8"/>
  <c r="X8" i="8"/>
  <c r="X4" i="8"/>
  <c r="Z22" i="8"/>
  <c r="Z17" i="8"/>
  <c r="Z10" i="8"/>
  <c r="Z8" i="8"/>
  <c r="T7" i="8"/>
  <c r="V6" i="8"/>
  <c r="T9" i="8"/>
  <c r="V36" i="8"/>
  <c r="V34" i="8"/>
  <c r="V10" i="8"/>
  <c r="N3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L30" i="8"/>
  <c r="N23" i="8"/>
  <c r="L24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L4" i="8"/>
  <c r="N2" i="8"/>
  <c r="N44" i="8"/>
  <c r="N42" i="8"/>
  <c r="L2" i="8"/>
  <c r="L26" i="8" l="1"/>
  <c r="N41" i="8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J74" i="12"/>
  <c r="J73" i="12"/>
  <c r="L72" i="12"/>
  <c r="J72" i="12"/>
  <c r="J71" i="12"/>
  <c r="J70" i="12"/>
  <c r="J69" i="12"/>
  <c r="J67" i="12"/>
  <c r="J66" i="12"/>
  <c r="R65" i="12"/>
  <c r="T64" i="12"/>
  <c r="R64" i="12"/>
  <c r="A64" i="12"/>
  <c r="J64" i="12" s="1"/>
  <c r="R63" i="12"/>
  <c r="L63" i="12"/>
  <c r="J63" i="12"/>
  <c r="R62" i="12"/>
  <c r="L62" i="12"/>
  <c r="J62" i="12"/>
  <c r="R61" i="12"/>
  <c r="L61" i="12"/>
  <c r="J61" i="12"/>
  <c r="R60" i="12"/>
  <c r="L60" i="12"/>
  <c r="J60" i="12"/>
  <c r="R59" i="12"/>
  <c r="L59" i="12"/>
  <c r="J59" i="12"/>
  <c r="R58" i="12"/>
  <c r="L58" i="12"/>
  <c r="J58" i="12"/>
  <c r="R57" i="12"/>
  <c r="L57" i="12"/>
  <c r="J57" i="12"/>
  <c r="R56" i="12"/>
  <c r="L56" i="12"/>
  <c r="J56" i="12"/>
  <c r="X55" i="12"/>
  <c r="R55" i="12"/>
  <c r="L55" i="12"/>
  <c r="J55" i="12"/>
  <c r="X54" i="12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R54" i="12"/>
  <c r="L54" i="12"/>
  <c r="R53" i="12"/>
  <c r="L53" i="12"/>
  <c r="J53" i="12"/>
  <c r="R52" i="12"/>
  <c r="L52" i="12"/>
  <c r="J52" i="12"/>
  <c r="R51" i="12"/>
  <c r="L51" i="12"/>
  <c r="R50" i="12"/>
  <c r="L50" i="12"/>
  <c r="A50" i="12"/>
  <c r="J50" i="12" s="1"/>
  <c r="L49" i="12"/>
  <c r="J49" i="12"/>
  <c r="L48" i="12"/>
  <c r="J48" i="12"/>
  <c r="J47" i="12"/>
  <c r="T46" i="12"/>
  <c r="R46" i="12"/>
  <c r="R45" i="12" s="1"/>
  <c r="R44" i="12" s="1"/>
  <c r="R43" i="12" s="1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J46" i="12"/>
  <c r="L45" i="12"/>
  <c r="J45" i="12"/>
  <c r="L44" i="12"/>
  <c r="J44" i="12"/>
  <c r="T43" i="12"/>
  <c r="L43" i="12"/>
  <c r="J43" i="12"/>
  <c r="L42" i="12"/>
  <c r="J42" i="12"/>
  <c r="L41" i="12"/>
  <c r="J41" i="12"/>
  <c r="T40" i="12"/>
  <c r="L40" i="12"/>
  <c r="L39" i="12"/>
  <c r="J39" i="12"/>
  <c r="L38" i="12"/>
  <c r="J38" i="12"/>
  <c r="X37" i="12"/>
  <c r="L37" i="12"/>
  <c r="T36" i="12"/>
  <c r="L36" i="12"/>
  <c r="A36" i="12"/>
  <c r="J36" i="12" s="1"/>
  <c r="X35" i="12"/>
  <c r="L35" i="12"/>
  <c r="J35" i="12"/>
  <c r="T34" i="12"/>
  <c r="L34" i="12"/>
  <c r="J34" i="12"/>
  <c r="X33" i="12"/>
  <c r="L33" i="12"/>
  <c r="J33" i="12"/>
  <c r="L32" i="12"/>
  <c r="J32" i="12"/>
  <c r="L31" i="12"/>
  <c r="J31" i="12"/>
  <c r="L30" i="12"/>
  <c r="J30" i="12"/>
  <c r="T29" i="12"/>
  <c r="T28" i="12" s="1"/>
  <c r="R29" i="12"/>
  <c r="L29" i="12"/>
  <c r="J29" i="12"/>
  <c r="J28" i="12"/>
  <c r="X27" i="12"/>
  <c r="P27" i="12"/>
  <c r="R27" i="12" s="1"/>
  <c r="O27" i="12"/>
  <c r="J27" i="12"/>
  <c r="P26" i="12"/>
  <c r="R26" i="12" s="1"/>
  <c r="O26" i="12"/>
  <c r="J26" i="12"/>
  <c r="P25" i="12"/>
  <c r="R25" i="12" s="1"/>
  <c r="O25" i="12"/>
  <c r="N25" i="12"/>
  <c r="C25" i="12"/>
  <c r="B25" i="12"/>
  <c r="X24" i="12"/>
  <c r="R24" i="12"/>
  <c r="P24" i="12"/>
  <c r="O24" i="12"/>
  <c r="L24" i="12"/>
  <c r="P23" i="12"/>
  <c r="R23" i="12" s="1"/>
  <c r="O23" i="12"/>
  <c r="J23" i="12"/>
  <c r="X22" i="12"/>
  <c r="R22" i="12"/>
  <c r="P22" i="12"/>
  <c r="O22" i="12"/>
  <c r="N22" i="12"/>
  <c r="P21" i="12"/>
  <c r="R21" i="12" s="1"/>
  <c r="O21" i="12"/>
  <c r="N21" i="12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J21" i="12"/>
  <c r="P20" i="12"/>
  <c r="R20" i="12" s="1"/>
  <c r="O20" i="12"/>
  <c r="G20" i="12"/>
  <c r="J20" i="12" s="1"/>
  <c r="X19" i="12"/>
  <c r="P19" i="12"/>
  <c r="R19" i="12" s="1"/>
  <c r="O19" i="12"/>
  <c r="L19" i="12"/>
  <c r="G19" i="12"/>
  <c r="J19" i="12" s="1"/>
  <c r="P18" i="12"/>
  <c r="R18" i="12" s="1"/>
  <c r="O18" i="12"/>
  <c r="L18" i="12"/>
  <c r="G18" i="12"/>
  <c r="J18" i="12" s="1"/>
  <c r="X17" i="12"/>
  <c r="P17" i="12"/>
  <c r="R17" i="12" s="1"/>
  <c r="O17" i="12"/>
  <c r="L17" i="12"/>
  <c r="G17" i="12"/>
  <c r="J17" i="12" s="1"/>
  <c r="P16" i="12"/>
  <c r="R16" i="12" s="1"/>
  <c r="O16" i="12"/>
  <c r="L16" i="12"/>
  <c r="G16" i="12"/>
  <c r="J16" i="12" s="1"/>
  <c r="P15" i="12"/>
  <c r="R15" i="12" s="1"/>
  <c r="O15" i="12"/>
  <c r="L15" i="12"/>
  <c r="G15" i="12"/>
  <c r="J15" i="12" s="1"/>
  <c r="P14" i="12"/>
  <c r="R14" i="12" s="1"/>
  <c r="O14" i="12"/>
  <c r="L14" i="12"/>
  <c r="G14" i="12"/>
  <c r="J14" i="12" s="1"/>
  <c r="T13" i="12"/>
  <c r="P13" i="12"/>
  <c r="R13" i="12" s="1"/>
  <c r="O13" i="12"/>
  <c r="L13" i="12"/>
  <c r="G13" i="12"/>
  <c r="J13" i="12" s="1"/>
  <c r="X12" i="12"/>
  <c r="T12" i="12"/>
  <c r="P12" i="12"/>
  <c r="R12" i="12" s="1"/>
  <c r="O12" i="12"/>
  <c r="L12" i="12"/>
  <c r="G12" i="12"/>
  <c r="J12" i="12" s="1"/>
  <c r="L11" i="12"/>
  <c r="G11" i="12"/>
  <c r="J11" i="12" s="1"/>
  <c r="X10" i="12"/>
  <c r="V10" i="12"/>
  <c r="T10" i="12"/>
  <c r="L10" i="12"/>
  <c r="G10" i="12"/>
  <c r="J10" i="12" s="1"/>
  <c r="R9" i="12"/>
  <c r="P9" i="12"/>
  <c r="L9" i="12"/>
  <c r="G9" i="12"/>
  <c r="J9" i="12" s="1"/>
  <c r="X8" i="12"/>
  <c r="V8" i="12"/>
  <c r="T8" i="12"/>
  <c r="L8" i="12"/>
  <c r="G8" i="12"/>
  <c r="J8" i="12" s="1"/>
  <c r="R7" i="12"/>
  <c r="P7" i="12"/>
  <c r="L7" i="12"/>
  <c r="G7" i="12"/>
  <c r="J7" i="12" s="1"/>
  <c r="V6" i="12"/>
  <c r="L6" i="12"/>
  <c r="G6" i="12"/>
  <c r="J6" i="12" s="1"/>
  <c r="L5" i="12"/>
  <c r="G5" i="12"/>
  <c r="J5" i="12" s="1"/>
  <c r="V4" i="12"/>
  <c r="L4" i="12"/>
  <c r="B4" i="12"/>
  <c r="L91" i="12" s="1"/>
  <c r="N3" i="12"/>
  <c r="J3" i="12"/>
  <c r="N2" i="12"/>
  <c r="L2" i="12"/>
  <c r="J2" i="12"/>
  <c r="G7" i="8"/>
  <c r="G8" i="8"/>
  <c r="G9" i="8"/>
  <c r="G10" i="8"/>
  <c r="G11" i="8"/>
  <c r="G12" i="8"/>
  <c r="G13" i="8"/>
  <c r="G14" i="8"/>
  <c r="G15" i="8"/>
  <c r="G16" i="8"/>
  <c r="J16" i="8" s="1"/>
  <c r="G17" i="8"/>
  <c r="J17" i="8" s="1"/>
  <c r="G18" i="8"/>
  <c r="J18" i="8" s="1"/>
  <c r="G19" i="8"/>
  <c r="J19" i="8" s="1"/>
  <c r="G20" i="8"/>
  <c r="J20" i="8" s="1"/>
  <c r="J25" i="12" l="1"/>
  <c r="A40" i="12"/>
  <c r="J40" i="12" s="1"/>
  <c r="L26" i="12"/>
  <c r="T62" i="12"/>
  <c r="T27" i="12"/>
  <c r="N27" i="12"/>
  <c r="R49" i="12"/>
  <c r="A65" i="12"/>
  <c r="J65" i="12" s="1"/>
  <c r="X39" i="12"/>
  <c r="A51" i="12"/>
  <c r="J51" i="12" s="1"/>
  <c r="A54" i="12"/>
  <c r="J54" i="12" s="1"/>
  <c r="T63" i="12"/>
  <c r="L3" i="12"/>
  <c r="N7" i="12"/>
  <c r="L66" i="12"/>
  <c r="L23" i="12"/>
  <c r="R30" i="12"/>
  <c r="A37" i="12"/>
  <c r="J37" i="12" s="1"/>
  <c r="A68" i="12"/>
  <c r="J68" i="12" s="1"/>
  <c r="J4" i="12"/>
  <c r="L51" i="8"/>
  <c r="L63" i="8"/>
  <c r="L62" i="8"/>
  <c r="L61" i="8"/>
  <c r="L60" i="8"/>
  <c r="L59" i="8"/>
  <c r="L58" i="8"/>
  <c r="L57" i="8"/>
  <c r="L56" i="8"/>
  <c r="L55" i="8"/>
  <c r="L54" i="8"/>
  <c r="L53" i="8"/>
  <c r="L52" i="8"/>
  <c r="L50" i="8"/>
  <c r="L49" i="8"/>
  <c r="L48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T26" i="12" l="1"/>
  <c r="T61" i="12"/>
  <c r="P22" i="8"/>
  <c r="P21" i="8" s="1"/>
  <c r="P20" i="8" s="1"/>
  <c r="P19" i="8" s="1"/>
  <c r="P18" i="8" s="1"/>
  <c r="P17" i="8" s="1"/>
  <c r="P16" i="8" s="1"/>
  <c r="P15" i="8" s="1"/>
  <c r="P14" i="8" s="1"/>
  <c r="P13" i="8" s="1"/>
  <c r="P12" i="8" s="1"/>
  <c r="P11" i="8" s="1"/>
  <c r="P10" i="8" s="1"/>
  <c r="P9" i="8" s="1"/>
  <c r="P8" i="8" s="1"/>
  <c r="P25" i="8"/>
  <c r="P2" i="8"/>
  <c r="P3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6" i="8"/>
  <c r="T45" i="8" s="1"/>
  <c r="T44" i="8" s="1"/>
  <c r="T43" i="8" s="1"/>
  <c r="T42" i="8" s="1"/>
  <c r="T41" i="8" s="1"/>
  <c r="T40" i="8" s="1"/>
  <c r="T39" i="8" s="1"/>
  <c r="T38" i="8" s="1"/>
  <c r="T37" i="8" s="1"/>
  <c r="T36" i="8" s="1"/>
  <c r="T35" i="8" s="1"/>
  <c r="T34" i="8" s="1"/>
  <c r="T33" i="8" s="1"/>
  <c r="T32" i="8" s="1"/>
  <c r="T31" i="8" s="1"/>
  <c r="T29" i="8"/>
  <c r="V13" i="8"/>
  <c r="V64" i="8"/>
  <c r="V46" i="8"/>
  <c r="V29" i="8"/>
  <c r="V63" i="8" s="1"/>
  <c r="V12" i="8"/>
  <c r="V8" i="8"/>
  <c r="Z24" i="8"/>
  <c r="Z19" i="8"/>
  <c r="Z12" i="8"/>
  <c r="T60" i="12" l="1"/>
  <c r="T25" i="12"/>
  <c r="V28" i="8"/>
  <c r="X6" i="8"/>
  <c r="Q27" i="8"/>
  <c r="Z61" i="8" s="1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7" i="8"/>
  <c r="T17" i="8" s="1"/>
  <c r="R16" i="8"/>
  <c r="T16" i="8" s="1"/>
  <c r="R15" i="8"/>
  <c r="T15" i="8" s="1"/>
  <c r="R14" i="8"/>
  <c r="T14" i="8" s="1"/>
  <c r="R13" i="8"/>
  <c r="T13" i="8" s="1"/>
  <c r="R12" i="8"/>
  <c r="T12" i="8" s="1"/>
  <c r="R9" i="8"/>
  <c r="R7" i="8"/>
  <c r="Z60" i="8" l="1"/>
  <c r="Z90" i="8" s="1"/>
  <c r="T24" i="12"/>
  <c r="T59" i="12"/>
  <c r="V62" i="8"/>
  <c r="V27" i="8"/>
  <c r="L29" i="8"/>
  <c r="Z59" i="8" l="1"/>
  <c r="Z58" i="8" s="1"/>
  <c r="Z57" i="8" s="1"/>
  <c r="Z56" i="8" s="1"/>
  <c r="Z55" i="8" s="1"/>
  <c r="Z54" i="8" s="1"/>
  <c r="Z53" i="8" s="1"/>
  <c r="Z52" i="8" s="1"/>
  <c r="Z51" i="8" s="1"/>
  <c r="Z50" i="8" s="1"/>
  <c r="Z49" i="8" s="1"/>
  <c r="Z48" i="8" s="1"/>
  <c r="Z47" i="8" s="1"/>
  <c r="Z77" i="8" s="1"/>
  <c r="Z76" i="8" s="1"/>
  <c r="T58" i="12"/>
  <c r="T23" i="12"/>
  <c r="V26" i="8"/>
  <c r="V61" i="8"/>
  <c r="Z89" i="8" l="1"/>
  <c r="Z88" i="8"/>
  <c r="Z80" i="8"/>
  <c r="Z84" i="8"/>
  <c r="Z82" i="8"/>
  <c r="Z81" i="8"/>
  <c r="Z79" i="8"/>
  <c r="Z85" i="8"/>
  <c r="Z83" i="8"/>
  <c r="Z46" i="8"/>
  <c r="Z86" i="8"/>
  <c r="Z78" i="8"/>
  <c r="Z87" i="8"/>
  <c r="T57" i="12"/>
  <c r="T22" i="12"/>
  <c r="V25" i="8"/>
  <c r="V60" i="8"/>
  <c r="J15" i="8"/>
  <c r="J14" i="8"/>
  <c r="J13" i="8"/>
  <c r="J12" i="8"/>
  <c r="J11" i="8"/>
  <c r="J10" i="8"/>
  <c r="J9" i="8"/>
  <c r="J8" i="8"/>
  <c r="J7" i="8"/>
  <c r="G6" i="8"/>
  <c r="J6" i="8" s="1"/>
  <c r="G5" i="8"/>
  <c r="J5" i="8" s="1"/>
  <c r="L66" i="8"/>
  <c r="J3" i="8"/>
  <c r="J2" i="8"/>
  <c r="T56" i="12" l="1"/>
  <c r="T21" i="12"/>
  <c r="J4" i="8"/>
  <c r="L3" i="8"/>
  <c r="P7" i="8"/>
  <c r="P27" i="8"/>
  <c r="T49" i="8"/>
  <c r="T30" i="8"/>
  <c r="V24" i="8"/>
  <c r="V59" i="8"/>
  <c r="T55" i="12" l="1"/>
  <c r="T20" i="12"/>
  <c r="V23" i="8"/>
  <c r="V58" i="8"/>
  <c r="T54" i="12" l="1"/>
  <c r="T19" i="12"/>
  <c r="V22" i="8"/>
  <c r="V57" i="8"/>
  <c r="T53" i="12" l="1"/>
  <c r="T18" i="12"/>
  <c r="V56" i="8"/>
  <c r="V21" i="8"/>
  <c r="T17" i="12" l="1"/>
  <c r="T52" i="12"/>
  <c r="V55" i="8"/>
  <c r="V20" i="8"/>
  <c r="T16" i="12" l="1"/>
  <c r="T51" i="12"/>
  <c r="V54" i="8"/>
  <c r="V19" i="8"/>
  <c r="T50" i="12" l="1"/>
  <c r="T15" i="12"/>
  <c r="V18" i="8"/>
  <c r="V53" i="8"/>
  <c r="T14" i="12" l="1"/>
  <c r="T49" i="12"/>
  <c r="V17" i="8"/>
  <c r="V52" i="8"/>
  <c r="V16" i="8" l="1"/>
  <c r="V51" i="8"/>
  <c r="V15" i="8" l="1"/>
  <c r="V50" i="8"/>
  <c r="V14" i="8" l="1"/>
  <c r="V49" i="8"/>
  <c r="Z45" i="8"/>
</calcChain>
</file>

<file path=xl/sharedStrings.xml><?xml version="1.0" encoding="utf-8"?>
<sst xmlns="http://schemas.openxmlformats.org/spreadsheetml/2006/main" count="364" uniqueCount="137">
  <si>
    <t>Fields</t>
  </si>
  <si>
    <t>Schema</t>
  </si>
  <si>
    <t>Table</t>
  </si>
  <si>
    <t>CREATE TABLE</t>
  </si>
  <si>
    <t>(</t>
  </si>
  <si>
    <t>Type</t>
  </si>
  <si>
    <t>int</t>
  </si>
  <si>
    <t>Identity?</t>
  </si>
  <si>
    <t>Default</t>
  </si>
  <si>
    <t>);</t>
  </si>
  <si>
    <t>GO</t>
  </si>
  <si>
    <t>BEGIN</t>
  </si>
  <si>
    <t xml:space="preserve"> </t>
  </si>
  <si>
    <t>    </t>
  </si>
  <si>
    <t>END</t>
  </si>
  <si>
    <t>    FOR DELETE, INSERT, UPDATE AS</t>
  </si>
  <si>
    <t xml:space="preserve">        SET NoCount ON</t>
  </si>
  <si>
    <t xml:space="preserve">        DECLARE @Token UNIQUEIDENTIFIER;</t>
  </si>
  <si>
    <t xml:space="preserve">        EXEC [Audit].USP_ContextInfo_Get @Token OUTPUT</t>
  </si>
  <si>
    <t xml:space="preserve">        -- Detect inserts</t>
  </si>
  <si>
    <t xml:space="preserve">        IF EXISTS (select * from inserted) AND NOT EXISTS (select * from deleted)</t>
  </si>
  <si>
    <t xml:space="preserve">        BEGIN</t>
  </si>
  <si>
    <t xml:space="preserve">                SELECT *</t>
  </si>
  <si>
    <t xml:space="preserve">                FROM inserted Record</t>
  </si>
  <si>
    <t xml:space="preserve">                FOR XML AUTO, ELEMENTS, root('RecordSet'), type</t>
  </si>
  <si>
    <t xml:space="preserve">                )</t>
  </si>
  <si>
    <t xml:space="preserve">        FROM inserted P</t>
  </si>
  <si>
    <t xml:space="preserve">        RETURN;</t>
  </si>
  <si>
    <t xml:space="preserve">        END</t>
  </si>
  <si>
    <t xml:space="preserve">        -- Detect deletes</t>
  </si>
  <si>
    <t xml:space="preserve">        IF EXISTS (select * from deleted) AND NOT EXISTS (select * from inserted)</t>
  </si>
  <si>
    <t xml:space="preserve">                FROM deleted Record</t>
  </si>
  <si>
    <t xml:space="preserve">        -- Update inserts</t>
  </si>
  <si>
    <t>CREATE TRIGGER</t>
  </si>
  <si>
    <t xml:space="preserve">        IF EXISTS (select * from inserted) AND EXISTS (select * from deleted)</t>
  </si>
  <si>
    <t>Not Nullable?</t>
  </si>
  <si>
    <t>FK</t>
  </si>
  <si>
    <t>PK</t>
  </si>
  <si>
    <t>Description</t>
  </si>
  <si>
    <t>varchar(255)</t>
  </si>
  <si>
    <t>AS</t>
  </si>
  <si>
    <t>IF NOT EXISTS (</t>
  </si>
  <si>
    <t>WHERE</t>
  </si>
  <si>
    <t>)</t>
  </si>
  <si>
    <t>VALUES (</t>
  </si>
  <si>
    <t>RETURN @@ROWCOUNT</t>
  </si>
  <si>
    <t>ELSE</t>
  </si>
  <si>
    <t>SET</t>
  </si>
  <si>
    <t>using System.Collections.Generic;</t>
  </si>
  <si>
    <t>using System.Linq;</t>
  </si>
  <si>
    <t>using Dots.Domain.Communication;</t>
  </si>
  <si>
    <t>using System;</t>
  </si>
  <si>
    <t>{</t>
  </si>
  <si>
    <t>    {</t>
  </si>
  <si>
    <t>        {</t>
  </si>
  <si>
    <t>        }</t>
  </si>
  <si>
    <t>    }</t>
  </si>
  <si>
    <t>}</t>
  </si>
  <si>
    <t xml:space="preserve">    }</t>
  </si>
  <si>
    <t xml:space="preserve">        public int? Id { get; set; }</t>
  </si>
  <si>
    <t>Interface</t>
  </si>
  <si>
    <t>Class</t>
  </si>
  <si>
    <t>Repo</t>
  </si>
  <si>
    <t>IRepo</t>
  </si>
  <si>
    <t>using Dots.Data;</t>
  </si>
  <si>
    <t>using Dots.Data;</t>
  </si>
  <si>
    <t>using Dots.Domain.IdentityDocuments;</t>
  </si>
  <si>
    <t>using Dots.Domain.Investigation.Illustration;</t>
  </si>
  <si>
    <t>using Dots.Domain.Repositories.Helpers;</t>
  </si>
  <si>
    <t>using System.Data;</t>
  </si>
  <si>
    <t>            : base(unitOfWork, true)</t>
  </si>
  <si>
    <t>            {</t>
  </si>
  <si>
    <t>                command</t>
  </si>
  <si>
    <t>                return Get(command);</t>
  </si>
  <si>
    <t>            }</t>
  </si>
  <si>
    <t>                var result = Save(command, value, idParameter);</t>
  </si>
  <si>
    <t>                if (result.Type == DataResultType.Success)</t>
  </si>
  <si>
    <t>                {</t>
  </si>
  <si>
    <t>                    result.Value.Id = result.ValueId;</t>
  </si>
  <si>
    <t>                }</t>
  </si>
  <si>
    <t>                return result;</t>
  </si>
  <si>
    <t xml:space="preserve">        {</t>
  </si>
  <si>
    <t>        }</t>
  </si>
  <si>
    <t>Helper</t>
  </si>
  <si>
    <t>namespace Dots.Domain.Repositories.Helpers</t>
  </si>
  <si>
    <t>            );</t>
  </si>
  <si>
    <t>            while (reader.Read())</t>
  </si>
  <si>
    <t xml:space="preserve">            )</t>
  </si>
  <si>
    <t xml:space="preserve">            Id,</t>
  </si>
  <si>
    <t>Get SP</t>
  </si>
  <si>
    <t>Save SP</t>
  </si>
  <si>
    <t>SELECT</t>
  </si>
  <si>
    <t>FROM</t>
  </si>
  <si>
    <t>Client</t>
  </si>
  <si>
    <t>InvoiceSettings</t>
  </si>
  <si>
    <t>Create SP</t>
  </si>
  <si>
    <t>Update SP</t>
  </si>
  <si>
    <t>RETURN @@ROWCOUNT;</t>
  </si>
  <si>
    <t>SELECT 1</t>
  </si>
  <si>
    <t>string</t>
  </si>
  <si>
    <t>CurrencyType</t>
  </si>
  <si>
    <t>bool</t>
  </si>
  <si>
    <t xml:space="preserve">            return !value.Id.HasValue ? Create(value) : Update(value);</t>
  </si>
  <si>
    <t xml:space="preserve">        {</t>
  </si>
  <si>
    <t>                var result = ExecuteNonQueryWithId(command, idParameter);</t>
  </si>
  <si>
    <t>                value.Id = result.ValueId;</t>
  </si>
  <si>
    <t>                var result = ExecuteNonQuery(command);</t>
  </si>
  <si>
    <t>InvoiceLayoutType</t>
  </si>
  <si>
    <t>TimeFrequency</t>
  </si>
  <si>
    <t>CommunicationType</t>
  </si>
  <si>
    <t>PlayerCharacters</t>
  </si>
  <si>
    <t>dbo</t>
  </si>
  <si>
    <t>Name</t>
  </si>
  <si>
    <t>SkillSetId</t>
  </si>
  <si>
    <t>SenseSetId</t>
  </si>
  <si>
    <t>DefenseSetId</t>
  </si>
  <si>
    <t>InitiativeId</t>
  </si>
  <si>
    <t>AbilitySetId</t>
  </si>
  <si>
    <t>MovementSetId</t>
  </si>
  <si>
    <t>BaseActionPoints</t>
  </si>
  <si>
    <t>AdditionalActionPoints</t>
  </si>
  <si>
    <t>AdditionalHitPoints</t>
  </si>
  <si>
    <t>BaseHitPoints</t>
  </si>
  <si>
    <t>RaceId</t>
  </si>
  <si>
    <t>varchar(50)</t>
  </si>
  <si>
    <t>Level</t>
  </si>
  <si>
    <t>ClassId</t>
  </si>
  <si>
    <t>ParagonPathId</t>
  </si>
  <si>
    <t>EpicDestinyId</t>
  </si>
  <si>
    <t>ExperiencePoints</t>
  </si>
  <si>
    <t>Age</t>
  </si>
  <si>
    <t>Height</t>
  </si>
  <si>
    <t>Weight</t>
  </si>
  <si>
    <t>SizeId</t>
  </si>
  <si>
    <t>GenderId</t>
  </si>
  <si>
    <t>AlignmentId</t>
  </si>
  <si>
    <t>DeityId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</si>
</sst>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3" borderId="0" xfId="0" quotePrefix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A66BD3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zoomScaleNormal="100" workbookViewId="0">
      <selection activeCell="D5" sqref="D5"/>
    </sheetView>
  </sheetViews>
  <sheetFormatPr defaultRowHeight="15" x14ac:dyDescent="0.25"/>
  <cols>
    <col min="1" max="1" width="14" customWidth="1"/>
    <col min="2" max="2" width="26.7109375" bestFit="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22" customWidth="1"/>
    <col min="13" max="13" width="9.140625" style="14" customWidth="1"/>
    <col min="14" max="14" width="57.7109375" style="23" customWidth="1"/>
    <col min="15" max="15" width="9.140625" style="14" customWidth="1"/>
    <col min="16" max="16" width="51.140625" style="18" customWidth="1"/>
    <col min="17" max="17" width="13.140625" bestFit="1" customWidth="1"/>
    <col min="18" max="18" width="33.5703125" style="5" hidden="1" customWidth="1"/>
    <col min="19" max="19" width="9.140625" customWidth="1"/>
    <col min="20" max="20" width="40.85546875" style="6" bestFit="1" customWidth="1"/>
    <col min="21" max="21" width="9.140625" style="14" customWidth="1"/>
    <col min="22" max="22" width="75.85546875" style="16" bestFit="1" customWidth="1"/>
    <col min="23" max="23" width="9.140625" customWidth="1"/>
    <col min="24" max="24" width="45.7109375" style="12" bestFit="1" customWidth="1"/>
    <col min="25" max="25" width="9.140625" customWidth="1"/>
    <col min="26" max="26" width="90.42578125" style="13" bestFit="1" customWidth="1"/>
  </cols>
  <sheetData>
    <row r="1" spans="1:44" x14ac:dyDescent="0.25">
      <c r="B1" s="1" t="s">
        <v>1</v>
      </c>
      <c r="C1" s="1" t="s">
        <v>2</v>
      </c>
      <c r="I1" s="7" t="s">
        <v>2</v>
      </c>
      <c r="J1" s="8"/>
      <c r="K1" s="7" t="s">
        <v>95</v>
      </c>
      <c r="L1" s="21"/>
      <c r="M1" s="15" t="s">
        <v>96</v>
      </c>
      <c r="N1" s="20"/>
      <c r="O1" s="15" t="s">
        <v>89</v>
      </c>
      <c r="P1" s="17"/>
      <c r="Q1" s="7" t="s">
        <v>60</v>
      </c>
      <c r="R1" s="10"/>
      <c r="S1" s="7" t="s">
        <v>61</v>
      </c>
      <c r="T1" s="11"/>
      <c r="U1" s="15" t="s">
        <v>83</v>
      </c>
      <c r="W1" s="7" t="s">
        <v>63</v>
      </c>
      <c r="Y1" s="7" t="s">
        <v>62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25">
      <c r="A2" t="s">
        <v>3</v>
      </c>
      <c r="B2" s="2" t="s">
        <v>111</v>
      </c>
      <c r="C2" s="2" t="s">
        <v>110</v>
      </c>
      <c r="J2" s="3" t="str">
        <f>A2&amp;" ["&amp;B2&amp;"].["&amp;C2&amp;"]"</f>
        <v>CREATE TABLE [dbo].[PlayerCharacters]</v>
      </c>
      <c r="L2" s="22" t="str">
        <f>"CREATE PROCEDURE"&amp;" ["&amp;B2&amp;"].[USP_"&amp;C2&amp;"_Create]"</f>
        <v>CREATE PROCEDURE [dbo].[USP_PlayerCharacters_Create]</v>
      </c>
      <c r="N2" s="23" t="str">
        <f>"CREATE PROCEDURE"&amp;" ["&amp;B2&amp;"].[USP_"&amp;C2&amp;"_Update]"</f>
        <v>CREATE PROCEDURE [dbo].[USP_PlayerCharacters_Update]</v>
      </c>
      <c r="P2" s="18" t="str">
        <f>"CREATE PROCEDURE"&amp;" ["&amp;B2&amp;"].[USP_"&amp;C2&amp;"_Get]"</f>
        <v>CREATE PROCEDURE [dbo].[USP_PlayerCharacters_Get]</v>
      </c>
      <c r="R2" s="5" t="s">
        <v>48</v>
      </c>
      <c r="T2" s="6" t="s">
        <v>48</v>
      </c>
      <c r="V2" s="16" t="s">
        <v>65</v>
      </c>
      <c r="X2" s="12" t="s">
        <v>64</v>
      </c>
      <c r="Z2" s="13" t="s">
        <v>65</v>
      </c>
    </row>
    <row r="3" spans="1:44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22" t="str">
        <f>IF(NOT(ISBLANK(B4)),"@"&amp;B4&amp;" "&amp;UPPER(C4)&amp;" = NULL OUTPUT,","")</f>
        <v>@PlayerCharacterId INT = NULL OUTPUT,</v>
      </c>
      <c r="N3" s="23" t="str">
        <f>IF(NOT(ISBLANK(B4)),"@"&amp;B4&amp;" "&amp;UPPER(C4)&amp;",","")</f>
        <v>@PlayerCharacterId INT,</v>
      </c>
      <c r="P3" s="18" t="str">
        <f>"@"&amp;C2&amp;"Id"&amp;" INT"</f>
        <v>@PlayerCharactersId INT</v>
      </c>
      <c r="R3" s="5" t="s">
        <v>49</v>
      </c>
      <c r="T3" s="6" t="s">
        <v>49</v>
      </c>
      <c r="V3" s="16" t="s">
        <v>48</v>
      </c>
      <c r="Z3" s="13" t="s">
        <v>66</v>
      </c>
    </row>
    <row r="4" spans="1:44" x14ac:dyDescent="0.25">
      <c r="A4" s="1" t="s">
        <v>0</v>
      </c>
      <c r="B4" s="14" t="str">
        <f>LEFT(C2,LEN(C2)-1)&amp;"Id"</f>
        <v>PlayerCharacterId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PlayerCharacterId INT IDENTITY(1,1) CONSTRAINT PlayerCharacters_PlayerCharacterId_PK PRIMARY KEY,</v>
      </c>
      <c r="L4" s="22" t="str">
        <f>IF(NOT(ISBLANK(B5)),"@"&amp;B5&amp;" "&amp;UPPER(C5)&amp;IF(NOT(ISBLANK(B6)),",",""),"")</f>
        <v>@Name VARCHAR(50),</v>
      </c>
      <c r="N4" s="23" t="str">
        <f>IF(NOT(ISBLANK(B5)),"@"&amp;B5&amp;" "&amp;UPPER(C5)&amp;IF(NOT(ISBLANK(B6)),",",""),"")</f>
        <v>@Name VARCHAR(50),</v>
      </c>
      <c r="P4" s="18" t="s">
        <v>40</v>
      </c>
      <c r="R4" s="5" t="s">
        <v>50</v>
      </c>
      <c r="T4" s="6" t="s">
        <v>50</v>
      </c>
      <c r="V4" s="16" t="s">
        <v>69</v>
      </c>
      <c r="X4" s="12" t="str">
        <f>"namespace Dots.Domain."&amp;B2&amp;"s"</f>
        <v>namespace Dots.Domain.dbos</v>
      </c>
      <c r="Z4" s="13" t="s">
        <v>67</v>
      </c>
    </row>
    <row r="5" spans="1:44" x14ac:dyDescent="0.25">
      <c r="B5" s="2" t="s">
        <v>112</v>
      </c>
      <c r="C5" s="2" t="s">
        <v>124</v>
      </c>
      <c r="D5" s="2"/>
      <c r="E5" s="2" t="b">
        <v>1</v>
      </c>
      <c r="F5" s="2"/>
      <c r="G5" t="str">
        <f>IF(UPPER(RIGHT(B5,2))="ID",B$2&amp;"."&amp;LEFT(B5,LEN(B5)-2)&amp;"("&amp;B5&amp;")","")</f>
        <v/>
      </c>
      <c r="H5" s="19"/>
      <c r="J5" s="3" t="str">
        <f t="shared" ref="J5:J32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 NOT NULL,</v>
      </c>
      <c r="L5" s="22" t="str">
        <f t="shared" ref="L5:L19" si="1">IF(NOT(ISBLANK(B6)),"@"&amp;B6&amp;" "&amp;UPPER(C6)&amp;IF(NOT(ISBLANK(B7)),",",""),"")</f>
        <v>@Level INT,</v>
      </c>
      <c r="N5" s="23" t="str">
        <f t="shared" ref="N5:N19" si="2">IF(NOT(ISBLANK(B6)),"@"&amp;B6&amp;" "&amp;UPPER(C6)&amp;IF(NOT(ISBLANK(B7)),",",""),"")</f>
        <v>@Level INT,</v>
      </c>
      <c r="R5" s="5" t="s">
        <v>51</v>
      </c>
      <c r="T5" s="6" t="s">
        <v>51</v>
      </c>
      <c r="V5" s="16" t="s">
        <v>12</v>
      </c>
      <c r="X5" s="12" t="s">
        <v>52</v>
      </c>
      <c r="Z5" s="13" t="s">
        <v>68</v>
      </c>
    </row>
    <row r="6" spans="1:44" x14ac:dyDescent="0.25">
      <c r="B6" s="2" t="s">
        <v>125</v>
      </c>
      <c r="C6" s="2" t="s">
        <v>6</v>
      </c>
      <c r="D6" s="2"/>
      <c r="E6" s="2" t="b">
        <v>1</v>
      </c>
      <c r="F6" s="2"/>
      <c r="G6" t="str">
        <f t="shared" ref="G6" si="3">IF(UPPER(RIGHT(B6,2))="ID",B$2&amp;"."&amp;LEFT(B6,LEN(B6)-2)&amp;"("&amp;B6&amp;")","")</f>
        <v/>
      </c>
      <c r="H6" s="19"/>
      <c r="J6" s="3" t="str">
        <f t="shared" si="0"/>
        <v xml:space="preserve">    Level INT NOT NULL,</v>
      </c>
      <c r="L6" s="22" t="str">
        <f t="shared" si="1"/>
        <v>@ClassId INT,</v>
      </c>
      <c r="N6" s="23" t="str">
        <f t="shared" si="2"/>
        <v>@ClassId INT,</v>
      </c>
      <c r="P6" s="18" t="s">
        <v>91</v>
      </c>
      <c r="R6" s="5" t="s">
        <v>12</v>
      </c>
      <c r="T6" s="6" t="s">
        <v>12</v>
      </c>
      <c r="V6" s="16" t="str">
        <f>"namespace Dots.Domain.Repositories."&amp;B2&amp;"s"</f>
        <v>namespace Dots.Domain.Repositories.dbos</v>
      </c>
      <c r="X6" s="12" t="str">
        <f>"    public interface I"&amp;C2&amp;"Repository"</f>
        <v>    public interface IPlayerCharactersRepository</v>
      </c>
      <c r="Z6" s="13" t="s">
        <v>69</v>
      </c>
    </row>
    <row r="7" spans="1:44" x14ac:dyDescent="0.25">
      <c r="B7" s="2" t="s">
        <v>126</v>
      </c>
      <c r="C7" s="2" t="s">
        <v>6</v>
      </c>
      <c r="D7" s="2"/>
      <c r="E7" s="2" t="b">
        <v>1</v>
      </c>
      <c r="F7" s="2"/>
      <c r="G7" t="str">
        <f t="shared" ref="G7:G20" si="4">IF(UPPER(RIGHT(B7,2))="ID",B$2&amp;"."&amp;LEFT(B7,LEN(B7)-2)&amp;"("&amp;B7&amp;")","")</f>
        <v>dbo.Class(ClassId)</v>
      </c>
      <c r="H7" s="2"/>
      <c r="J7" s="3" t="str">
        <f t="shared" si="0"/>
        <v xml:space="preserve">    ClassId INT NOT NULL CONSTRAINT PlayerCharacters_ClassId_FK FOREIGN KEY REFERENCES dbo.Class(ClassId),</v>
      </c>
      <c r="L7" s="22" t="str">
        <f t="shared" si="1"/>
        <v>@ParagonPathId INT,</v>
      </c>
      <c r="N7" s="23" t="str">
        <f t="shared" si="2"/>
        <v>@ParagonPathId INT,</v>
      </c>
      <c r="P7" s="18" t="str">
        <f>IF(NOT(ISBLANK(B4)),"    ["&amp;B4&amp;"]"&amp;IF(LEN(P8)&gt;0,",",""),"")</f>
        <v xml:space="preserve">    [PlayerCharacterId],</v>
      </c>
      <c r="R7" s="5" t="str">
        <f>"namespace Dots.Domain."&amp;B2</f>
        <v>namespace Dots.Domain.dbo</v>
      </c>
      <c r="T7" s="6" t="str">
        <f>"namespace Dots.Domain."&amp;B2&amp;"s"</f>
        <v>namespace Dots.Domain.dbos</v>
      </c>
      <c r="V7" s="16" t="s">
        <v>52</v>
      </c>
      <c r="X7" s="12" t="s">
        <v>53</v>
      </c>
      <c r="Z7" s="13" t="s">
        <v>12</v>
      </c>
    </row>
    <row r="8" spans="1:44" x14ac:dyDescent="0.25">
      <c r="B8" s="2" t="s">
        <v>127</v>
      </c>
      <c r="C8" s="2" t="s">
        <v>6</v>
      </c>
      <c r="D8" s="2"/>
      <c r="E8" s="2"/>
      <c r="F8" s="2"/>
      <c r="G8" t="str">
        <f t="shared" si="4"/>
        <v>dbo.ParagonPath(ParagonPathId)</v>
      </c>
      <c r="H8" s="2"/>
      <c r="J8" s="3" t="str">
        <f t="shared" si="0"/>
        <v xml:space="preserve">    ParagonPathId INT CONSTRAINT PlayerCharacters_ParagonPathId_FK FOREIGN KEY REFERENCES dbo.ParagonPath(ParagonPathId),</v>
      </c>
      <c r="L8" s="22" t="str">
        <f t="shared" si="1"/>
        <v>@EpicDestinyId INT,</v>
      </c>
      <c r="N8" s="23" t="str">
        <f t="shared" si="2"/>
        <v>@EpicDestinyId INT,</v>
      </c>
      <c r="P8" s="18" t="str">
        <f t="shared" ref="P8:P22" si="5">IF(NOT(ISBLANK(B5)),"    ["&amp;B5&amp;"]"&amp;IF(LEN(P9)&gt;0,",",""),"")</f>
        <v xml:space="preserve">    [Name],</v>
      </c>
      <c r="R8" s="5" t="s">
        <v>52</v>
      </c>
      <c r="T8" s="6" t="s">
        <v>52</v>
      </c>
      <c r="V8" s="16" t="str">
        <f>"    public static class "&amp;C2&amp;"Helper"</f>
        <v>    public static class PlayerCharactersHelper</v>
      </c>
      <c r="X8" s="12" t="str">
        <f>"        "&amp;C2&amp;" Get(int "&amp;LOWER(C2)&amp;"Id);"</f>
        <v>        PlayerCharacters Get(int playercharactersId);</v>
      </c>
      <c r="Z8" s="13" t="str">
        <f>"namespace Dots.Domain.Repositories."&amp;B2&amp;"s"</f>
        <v>namespace Dots.Domain.Repositories.dbos</v>
      </c>
    </row>
    <row r="9" spans="1:44" x14ac:dyDescent="0.25">
      <c r="B9" s="2" t="s">
        <v>128</v>
      </c>
      <c r="C9" s="2" t="s">
        <v>6</v>
      </c>
      <c r="D9" s="2"/>
      <c r="E9" s="2"/>
      <c r="F9" s="2"/>
      <c r="G9" t="str">
        <f t="shared" si="4"/>
        <v>dbo.EpicDestiny(EpicDestinyId)</v>
      </c>
      <c r="H9" s="2"/>
      <c r="J9" s="3" t="str">
        <f t="shared" si="0"/>
        <v xml:space="preserve">    EpicDestinyId INT CONSTRAINT PlayerCharacters_EpicDestinyId_FK FOREIGN KEY REFERENCES dbo.EpicDestiny(EpicDestinyId),</v>
      </c>
      <c r="L9" s="22" t="str">
        <f t="shared" si="1"/>
        <v>@ExperiencePoints INT,</v>
      </c>
      <c r="N9" s="23" t="str">
        <f t="shared" si="2"/>
        <v>@ExperiencePoints INT,</v>
      </c>
      <c r="P9" s="18" t="str">
        <f t="shared" si="5"/>
        <v xml:space="preserve">    [Level],</v>
      </c>
      <c r="R9" s="5" t="str">
        <f>"    public interface I"&amp;C2&amp;" : IEntity"</f>
        <v>    public interface IPlayerCharacters : IEntity</v>
      </c>
      <c r="T9" s="6" t="str">
        <f>"    public class "&amp;C2&amp;" : IEntity"</f>
        <v>    public class PlayerCharacters : IEntity</v>
      </c>
      <c r="V9" s="16" t="s">
        <v>53</v>
      </c>
      <c r="X9" s="12" t="s">
        <v>12</v>
      </c>
      <c r="Z9" s="13" t="s">
        <v>52</v>
      </c>
    </row>
    <row r="10" spans="1:44" x14ac:dyDescent="0.25">
      <c r="B10" s="2" t="s">
        <v>129</v>
      </c>
      <c r="C10" s="2" t="s">
        <v>6</v>
      </c>
      <c r="D10" s="2"/>
      <c r="E10" s="2" t="b">
        <v>1</v>
      </c>
      <c r="F10" s="2"/>
      <c r="G10" t="str">
        <f t="shared" si="4"/>
        <v/>
      </c>
      <c r="H10" s="19"/>
      <c r="J10" s="3" t="str">
        <f t="shared" si="0"/>
        <v xml:space="preserve">    ExperiencePoints INT NOT NULL,</v>
      </c>
      <c r="L10" s="22" t="str">
        <f t="shared" si="1"/>
        <v>@RaceId INT,</v>
      </c>
      <c r="N10" s="23" t="str">
        <f t="shared" si="2"/>
        <v>@RaceId INT,</v>
      </c>
      <c r="P10" s="18" t="str">
        <f t="shared" si="5"/>
        <v xml:space="preserve">    [ClassId],</v>
      </c>
      <c r="R10" s="5" t="s">
        <v>53</v>
      </c>
      <c r="T10" s="6" t="s">
        <v>53</v>
      </c>
      <c r="V10" s="16" t="str">
        <f>"        public static "&amp;C2&amp;" ParseReader(IDataReader reader)"</f>
        <v>        public static PlayerCharacters ParseReader(IDataReader reader)</v>
      </c>
      <c r="X10" s="12" t="str">
        <f>"        DataResult&lt;"&amp;C2&amp;"&gt; Save("&amp;C2&amp;" "&amp;LOWER(C2)&amp;");"</f>
        <v>        DataResult&lt;PlayerCharacters&gt; Save(PlayerCharacters playercharacters);</v>
      </c>
      <c r="Z10" s="13" t="str">
        <f>"    public class Sql"&amp;C2&amp;"Repository : Repository&lt;"&amp;C2&amp;"&gt;, I"&amp;C2&amp;"Repository"</f>
        <v>    public class SqlPlayerCharactersRepository : Repository&lt;PlayerCharacters&gt;, IPlayerCharactersRepository</v>
      </c>
    </row>
    <row r="11" spans="1:44" x14ac:dyDescent="0.25">
      <c r="B11" s="2" t="s">
        <v>123</v>
      </c>
      <c r="C11" s="2" t="s">
        <v>6</v>
      </c>
      <c r="D11" s="2"/>
      <c r="E11" s="2" t="b">
        <v>1</v>
      </c>
      <c r="F11" s="2"/>
      <c r="G11" t="str">
        <f t="shared" si="4"/>
        <v>dbo.Race(RaceId)</v>
      </c>
      <c r="H11" s="19"/>
      <c r="J11" s="3" t="str">
        <f t="shared" si="0"/>
        <v xml:space="preserve">    RaceId INT NOT NULL CONSTRAINT PlayerCharacters_RaceId_FK FOREIGN KEY REFERENCES dbo.Race(RaceId),</v>
      </c>
      <c r="L11" s="22" t="str">
        <f t="shared" si="1"/>
        <v>@SizeId INT,</v>
      </c>
      <c r="N11" s="23" t="str">
        <f t="shared" si="2"/>
        <v>@SizeId INT,</v>
      </c>
      <c r="P11" s="18" t="str">
        <f t="shared" si="5"/>
        <v xml:space="preserve">    [ParagonPathId],</v>
      </c>
      <c r="T11" s="6" t="s">
        <v>59</v>
      </c>
      <c r="V11" s="16" t="s">
        <v>54</v>
      </c>
      <c r="X11" s="12" t="s">
        <v>56</v>
      </c>
      <c r="Z11" s="13" t="s">
        <v>53</v>
      </c>
    </row>
    <row r="12" spans="1:44" x14ac:dyDescent="0.25">
      <c r="B12" s="2" t="s">
        <v>133</v>
      </c>
      <c r="C12" s="2" t="s">
        <v>6</v>
      </c>
      <c r="D12" s="2"/>
      <c r="E12" s="2" t="b">
        <v>1</v>
      </c>
      <c r="F12" s="2"/>
      <c r="G12" t="str">
        <f t="shared" si="4"/>
        <v>dbo.Size(SizeId)</v>
      </c>
      <c r="H12" s="19"/>
      <c r="J12" s="3" t="str">
        <f t="shared" si="0"/>
        <v xml:space="preserve">    SizeId INT NOT NULL CONSTRAINT PlayerCharacters_SizeId_FK FOREIGN KEY REFERENCES dbo.Size(SizeId),</v>
      </c>
      <c r="L12" s="22" t="str">
        <f t="shared" si="1"/>
        <v>@Age INT,</v>
      </c>
      <c r="N12" s="23" t="str">
        <f t="shared" si="2"/>
        <v>@Age INT,</v>
      </c>
      <c r="P12" s="18" t="str">
        <f t="shared" si="5"/>
        <v xml:space="preserve">    [EpicDestinyId],</v>
      </c>
      <c r="Q12" t="str">
        <f t="shared" ref="Q12:Q27" si="6">IF(NOT(ISBLANK(C5)),C5,"")</f>
        <v>varchar(50)</v>
      </c>
      <c r="R12" s="5" t="str">
        <f t="shared" ref="R12:R27" si="7">IF(NOT(ISBLANK(C5)),"        "&amp;IF(ISBLANK(S12),C5,S12)&amp;" "&amp;B5&amp;" { get; set; }","")</f>
        <v xml:space="preserve">        string Name { get; set; }</v>
      </c>
      <c r="S12" t="s">
        <v>99</v>
      </c>
      <c r="T12" s="6" t="str">
        <f t="shared" ref="T12:T27" si="8">IF(LEN(R12)&gt;0,"        public "&amp;TRIM(R12),"")</f>
        <v xml:space="preserve">        public string Name { get; set; }</v>
      </c>
      <c r="V12" s="16" t="str">
        <f>"            return new "&amp;C2&amp;"("</f>
        <v>            return new PlayerCharacters(</v>
      </c>
      <c r="X12" s="12" t="s">
        <v>57</v>
      </c>
      <c r="Z12" s="13" t="str">
        <f>"        public Sql"&amp;C2&amp;"Repository(IUnitOfWork unitOfWork)"</f>
        <v>        public SqlPlayerCharactersRepository(IUnitOfWork unitOfWork)</v>
      </c>
    </row>
    <row r="13" spans="1:44" x14ac:dyDescent="0.25">
      <c r="B13" s="2" t="s">
        <v>130</v>
      </c>
      <c r="C13" s="2" t="s">
        <v>6</v>
      </c>
      <c r="D13" s="2"/>
      <c r="E13" s="2"/>
      <c r="F13" s="2"/>
      <c r="G13" t="str">
        <f t="shared" si="4"/>
        <v/>
      </c>
      <c r="H13" s="2"/>
      <c r="J13" s="3" t="str">
        <f t="shared" si="0"/>
        <v xml:space="preserve">    Age INT,</v>
      </c>
      <c r="L13" s="22" t="str">
        <f t="shared" si="1"/>
        <v>@GenderId ,</v>
      </c>
      <c r="N13" s="23" t="str">
        <f t="shared" si="2"/>
        <v>@GenderId ,</v>
      </c>
      <c r="P13" s="18" t="str">
        <f t="shared" si="5"/>
        <v xml:space="preserve">    [ExperiencePoints],</v>
      </c>
      <c r="Q13" t="str">
        <f t="shared" si="6"/>
        <v>int</v>
      </c>
      <c r="R13" s="5" t="str">
        <f t="shared" si="7"/>
        <v xml:space="preserve">        string Level { get; set; }</v>
      </c>
      <c r="S13" t="s">
        <v>99</v>
      </c>
      <c r="T13" s="6" t="str">
        <f t="shared" si="8"/>
        <v xml:space="preserve">        public string Level { get; set; }</v>
      </c>
      <c r="V13" s="16" t="str">
        <f>"                reader.Get&lt;int&gt;("&amp;C2&amp;"Col.Id),"</f>
        <v xml:space="preserve">                reader.Get&lt;int&gt;(PlayerCharactersCol.Id),</v>
      </c>
      <c r="Z13" s="13" t="s">
        <v>70</v>
      </c>
    </row>
    <row r="14" spans="1:44" x14ac:dyDescent="0.25">
      <c r="B14" s="2" t="s">
        <v>134</v>
      </c>
      <c r="C14" s="2"/>
      <c r="D14" s="2"/>
      <c r="E14" s="2"/>
      <c r="F14" s="2"/>
      <c r="G14" t="str">
        <f t="shared" si="4"/>
        <v>dbo.Gender(GenderId)</v>
      </c>
      <c r="H14" s="2"/>
      <c r="J14" s="3" t="str">
        <f t="shared" si="0"/>
        <v xml:space="preserve">    GenderId  CONSTRAINT PlayerCharacters_GenderId_FK FOREIGN KEY REFERENCES dbo.Gender(GenderId),</v>
      </c>
      <c r="L14" s="22" t="str">
        <f t="shared" si="1"/>
        <v>@Height VARCHAR(50),</v>
      </c>
      <c r="N14" s="23" t="str">
        <f t="shared" si="2"/>
        <v>@Height VARCHAR(50),</v>
      </c>
      <c r="P14" s="18" t="str">
        <f t="shared" si="5"/>
        <v xml:space="preserve">    [RaceId],</v>
      </c>
      <c r="Q14" t="str">
        <f t="shared" si="6"/>
        <v>int</v>
      </c>
      <c r="R14" s="5" t="str">
        <f t="shared" si="7"/>
        <v xml:space="preserve">        int ClassId { get; set; }</v>
      </c>
      <c r="S14" t="s">
        <v>6</v>
      </c>
      <c r="T14" s="6" t="str">
        <f t="shared" si="8"/>
        <v xml:space="preserve">        public int ClassId { get; set; }</v>
      </c>
      <c r="V14" s="16" t="str">
        <f t="shared" ref="V14:V29" si="9">IF(LEN(S12)&gt;0,"                reader.Get&lt;"&amp;S12&amp;"&gt;("&amp;C$2&amp;"Col."&amp;B5&amp;")"&amp;IF(LEN(V15)&gt;0,",",""),"")</f>
        <v>                reader.Get&lt;string&gt;(PlayerCharactersCol.Name),</v>
      </c>
      <c r="Z14" s="13" t="s">
        <v>54</v>
      </c>
    </row>
    <row r="15" spans="1:44" x14ac:dyDescent="0.25">
      <c r="B15" s="2" t="s">
        <v>131</v>
      </c>
      <c r="C15" s="2" t="s">
        <v>124</v>
      </c>
      <c r="D15" s="2"/>
      <c r="E15" s="2"/>
      <c r="F15" s="2"/>
      <c r="G15" t="str">
        <f t="shared" si="4"/>
        <v/>
      </c>
      <c r="H15" s="2"/>
      <c r="J15" s="3" t="str">
        <f t="shared" si="0"/>
        <v xml:space="preserve">    Height VARCHAR(50),</v>
      </c>
      <c r="L15" s="22" t="str">
        <f t="shared" si="1"/>
        <v>@Weight VARCHAR(50),</v>
      </c>
      <c r="N15" s="23" t="str">
        <f t="shared" si="2"/>
        <v>@Weight VARCHAR(50),</v>
      </c>
      <c r="P15" s="18" t="str">
        <f t="shared" si="5"/>
        <v xml:space="preserve">    [SizeId],</v>
      </c>
      <c r="Q15" t="str">
        <f t="shared" si="6"/>
        <v>int</v>
      </c>
      <c r="R15" s="5" t="str">
        <f t="shared" si="7"/>
        <v xml:space="preserve">        CurrencyType ParagonPathId { get; set; }</v>
      </c>
      <c r="S15" t="s">
        <v>100</v>
      </c>
      <c r="T15" s="6" t="str">
        <f t="shared" si="8"/>
        <v xml:space="preserve">        public CurrencyType ParagonPathId { get; set; }</v>
      </c>
      <c r="V15" s="16" t="str">
        <f t="shared" si="9"/>
        <v>                reader.Get&lt;string&gt;(PlayerCharactersCol.Level),</v>
      </c>
      <c r="Z15" s="13" t="s">
        <v>55</v>
      </c>
    </row>
    <row r="16" spans="1:44" x14ac:dyDescent="0.25">
      <c r="B16" s="2" t="s">
        <v>132</v>
      </c>
      <c r="C16" s="2" t="s">
        <v>124</v>
      </c>
      <c r="D16" s="2"/>
      <c r="E16" s="2"/>
      <c r="F16" s="2"/>
      <c r="G16" t="str">
        <f t="shared" si="4"/>
        <v/>
      </c>
      <c r="H16" s="2"/>
      <c r="J16" s="3" t="str">
        <f t="shared" si="0"/>
        <v xml:space="preserve">    Weight VARCHAR(50),</v>
      </c>
      <c r="L16" s="22" t="str">
        <f t="shared" si="1"/>
        <v>@AlignmentId INT,</v>
      </c>
      <c r="N16" s="23" t="str">
        <f t="shared" si="2"/>
        <v>@AlignmentId INT,</v>
      </c>
      <c r="P16" s="18" t="str">
        <f t="shared" si="5"/>
        <v xml:space="preserve">    [Age],</v>
      </c>
      <c r="Q16" t="str">
        <f t="shared" si="6"/>
        <v>int</v>
      </c>
      <c r="R16" s="5" t="str">
        <f t="shared" si="7"/>
        <v xml:space="preserve">        bool EpicDestinyId { get; set; }</v>
      </c>
      <c r="S16" t="s">
        <v>101</v>
      </c>
      <c r="T16" s="6" t="str">
        <f t="shared" si="8"/>
        <v xml:space="preserve">        public bool EpicDestinyId { get; set; }</v>
      </c>
      <c r="V16" s="16" t="str">
        <f t="shared" si="9"/>
        <v>                reader.Get&lt;int&gt;(PlayerCharactersCol.ClassId),</v>
      </c>
    </row>
    <row r="17" spans="2:26" x14ac:dyDescent="0.25">
      <c r="B17" s="2" t="s">
        <v>135</v>
      </c>
      <c r="C17" s="2" t="s">
        <v>6</v>
      </c>
      <c r="D17" s="2"/>
      <c r="E17" s="2" t="b">
        <v>1</v>
      </c>
      <c r="F17" s="2"/>
      <c r="G17" t="str">
        <f t="shared" si="4"/>
        <v>dbo.Alignment(AlignmentId)</v>
      </c>
      <c r="H17" s="2"/>
      <c r="J17" s="3" t="str">
        <f t="shared" si="0"/>
        <v xml:space="preserve">    AlignmentId INT NOT NULL CONSTRAINT PlayerCharacters_AlignmentId_FK FOREIGN KEY REFERENCES dbo.Alignment(AlignmentId),</v>
      </c>
      <c r="L17" s="22" t="str">
        <f t="shared" si="1"/>
        <v>@DeityId INT,</v>
      </c>
      <c r="N17" s="23" t="str">
        <f t="shared" si="2"/>
        <v>@DeityId INT,</v>
      </c>
      <c r="P17" s="18" t="str">
        <f t="shared" si="5"/>
        <v xml:space="preserve">    [GenderId],</v>
      </c>
      <c r="Q17" t="str">
        <f t="shared" si="6"/>
        <v>int</v>
      </c>
      <c r="R17" s="5" t="str">
        <f t="shared" si="7"/>
        <v xml:space="preserve">        string ExperiencePoints { get; set; }</v>
      </c>
      <c r="S17" t="s">
        <v>99</v>
      </c>
      <c r="T17" s="6" t="str">
        <f t="shared" si="8"/>
        <v xml:space="preserve">        public string ExperiencePoints { get; set; }</v>
      </c>
      <c r="V17" s="16" t="str">
        <f t="shared" si="9"/>
        <v>                reader.Get&lt;CurrencyType&gt;(PlayerCharactersCol.ParagonPathId),</v>
      </c>
      <c r="Z17" s="13" t="str">
        <f>"        protected override "&amp;C2&amp;" Map(IDataReader reader)"</f>
        <v xml:space="preserve">        protected override PlayerCharacters Map(IDataReader reader)</v>
      </c>
    </row>
    <row r="18" spans="2:26" x14ac:dyDescent="0.25">
      <c r="B18" s="2" t="s">
        <v>136</v>
      </c>
      <c r="C18" s="2" t="s">
        <v>6</v>
      </c>
      <c r="D18" s="2"/>
      <c r="E18" s="2"/>
      <c r="F18" s="2"/>
      <c r="G18" t="str">
        <f t="shared" si="4"/>
        <v>dbo.Deity(DeityId)</v>
      </c>
      <c r="H18" s="2"/>
      <c r="J18" s="3" t="str">
        <f t="shared" si="0"/>
        <v xml:space="preserve">    DeityId INT CONSTRAINT PlayerCharacters_DeityId_FK FOREIGN KEY REFERENCES dbo.Deity(DeityId),</v>
      </c>
      <c r="L18" s="22" t="str">
        <f t="shared" si="1"/>
        <v>@InitiativeId INT,</v>
      </c>
      <c r="N18" s="23" t="str">
        <f t="shared" si="2"/>
        <v>@InitiativeId INT,</v>
      </c>
      <c r="P18" s="18" t="str">
        <f t="shared" si="5"/>
        <v xml:space="preserve">    [Height],</v>
      </c>
      <c r="Q18" t="str">
        <f t="shared" si="6"/>
        <v>int</v>
      </c>
      <c r="R18" s="5" t="str">
        <f t="shared" si="7"/>
        <v xml:space="preserve">        string RaceId { get; set; }</v>
      </c>
      <c r="S18" t="s">
        <v>99</v>
      </c>
      <c r="T18" s="6" t="str">
        <f t="shared" si="8"/>
        <v xml:space="preserve">        public string RaceId { get; set; }</v>
      </c>
      <c r="V18" s="16" t="str">
        <f t="shared" si="9"/>
        <v>                reader.Get&lt;bool&gt;(PlayerCharactersCol.EpicDestinyId),</v>
      </c>
      <c r="Z18" s="13" t="s">
        <v>81</v>
      </c>
    </row>
    <row r="19" spans="2:26" x14ac:dyDescent="0.25">
      <c r="B19" s="2" t="s">
        <v>116</v>
      </c>
      <c r="C19" s="2" t="s">
        <v>6</v>
      </c>
      <c r="D19" s="2"/>
      <c r="E19" s="2" t="b">
        <v>1</v>
      </c>
      <c r="F19" s="2"/>
      <c r="G19" t="str">
        <f t="shared" si="4"/>
        <v>dbo.Initiative(InitiativeId)</v>
      </c>
      <c r="H19" s="2"/>
      <c r="J19" s="3" t="str">
        <f t="shared" si="0"/>
        <v xml:space="preserve">    InitiativeId INT NOT NULL CONSTRAINT PlayerCharacters_InitiativeId_FK FOREIGN KEY REFERENCES dbo.Initiative(InitiativeId),</v>
      </c>
      <c r="L19" s="22" t="str">
        <f t="shared" si="1"/>
        <v>@AbilitySetId INT,</v>
      </c>
      <c r="N19" s="23" t="str">
        <f t="shared" si="2"/>
        <v>@AbilitySetId INT,</v>
      </c>
      <c r="P19" s="18" t="str">
        <f t="shared" si="5"/>
        <v xml:space="preserve">    [Weight],</v>
      </c>
      <c r="Q19" t="str">
        <f t="shared" si="6"/>
        <v>int</v>
      </c>
      <c r="R19" s="5" t="str">
        <f t="shared" si="7"/>
        <v xml:space="preserve">        string SizeId { get; set; }</v>
      </c>
      <c r="S19" t="s">
        <v>99</v>
      </c>
      <c r="T19" s="6" t="str">
        <f t="shared" si="8"/>
        <v xml:space="preserve">        public string SizeId { get; set; }</v>
      </c>
      <c r="V19" s="16" t="str">
        <f t="shared" si="9"/>
        <v>                reader.Get&lt;string&gt;(PlayerCharactersCol.ExperiencePoints),</v>
      </c>
      <c r="Z19" s="13" t="str">
        <f>"           return "&amp;C2&amp;"Helper.ParseReader(reader);"</f>
        <v>           return PlayerCharactersHelper.ParseReader(reader);</v>
      </c>
    </row>
    <row r="20" spans="2:26" x14ac:dyDescent="0.25">
      <c r="B20" s="2" t="s">
        <v>117</v>
      </c>
      <c r="C20" s="2" t="s">
        <v>6</v>
      </c>
      <c r="D20" s="2"/>
      <c r="E20" s="2" t="b">
        <v>1</v>
      </c>
      <c r="F20" s="2"/>
      <c r="G20" t="str">
        <f t="shared" si="4"/>
        <v>dbo.AbilitySet(AbilitySetId)</v>
      </c>
      <c r="H20" s="2"/>
      <c r="J20" s="3" t="str">
        <f t="shared" si="0"/>
        <v xml:space="preserve">    AbilitySetId INT NOT NULL CONSTRAINT PlayerCharacters_AbilitySetId_FK FOREIGN KEY REFERENCES dbo.AbilitySet(AbilitySetId),</v>
      </c>
      <c r="L20" s="22" t="s">
        <v>40</v>
      </c>
      <c r="N20" s="23" t="s">
        <v>40</v>
      </c>
      <c r="P20" s="18" t="str">
        <f t="shared" si="5"/>
        <v xml:space="preserve">    [AlignmentId],</v>
      </c>
      <c r="Q20" t="str">
        <f t="shared" si="6"/>
        <v>int</v>
      </c>
      <c r="R20" s="5" t="str">
        <f t="shared" si="7"/>
        <v xml:space="preserve">        InvoiceLayoutType Age { get; set; }</v>
      </c>
      <c r="S20" t="s">
        <v>107</v>
      </c>
      <c r="T20" s="6" t="str">
        <f t="shared" si="8"/>
        <v xml:space="preserve">        public InvoiceLayoutType Age { get; set; }</v>
      </c>
      <c r="V20" s="16" t="str">
        <f t="shared" si="9"/>
        <v>                reader.Get&lt;string&gt;(PlayerCharactersCol.RaceId),</v>
      </c>
      <c r="Z20" s="13" t="s">
        <v>82</v>
      </c>
    </row>
    <row r="21" spans="2:26" x14ac:dyDescent="0.25">
      <c r="B21" s="2" t="s">
        <v>115</v>
      </c>
      <c r="C21" s="2" t="s">
        <v>6</v>
      </c>
      <c r="D21" s="2"/>
      <c r="E21" s="2" t="b">
        <v>1</v>
      </c>
      <c r="F21" s="2"/>
      <c r="G21" t="str">
        <f t="shared" ref="G21:G24" si="10">IF(UPPER(RIGHT(B21,2))="ID",B$2&amp;"."&amp;LEFT(B21,LEN(B21)-2)&amp;"("&amp;B21&amp;")","")</f>
        <v>dbo.DefenseSet(DefenseSetId)</v>
      </c>
      <c r="H21" s="2"/>
      <c r="J21" s="3" t="str">
        <f t="shared" si="0"/>
        <v xml:space="preserve">    DefenseSetId INT NOT NULL CONSTRAINT PlayerCharacters_DefenseSetId_FK FOREIGN KEY REFERENCES dbo.DefenseSet(DefenseSetId),</v>
      </c>
      <c r="N21" s="23" t="s">
        <v>11</v>
      </c>
      <c r="P21" s="18" t="str">
        <f t="shared" si="5"/>
        <v xml:space="preserve">    [DeityId],</v>
      </c>
      <c r="Q21" t="str">
        <f t="shared" si="6"/>
        <v/>
      </c>
      <c r="R21" s="5" t="str">
        <f t="shared" si="7"/>
        <v/>
      </c>
      <c r="S21" t="s">
        <v>6</v>
      </c>
      <c r="T21" s="6" t="str">
        <f t="shared" si="8"/>
        <v/>
      </c>
      <c r="V21" s="16" t="str">
        <f t="shared" si="9"/>
        <v>                reader.Get&lt;string&gt;(PlayerCharactersCol.SizeId),</v>
      </c>
    </row>
    <row r="22" spans="2:26" x14ac:dyDescent="0.25">
      <c r="B22" s="2" t="s">
        <v>118</v>
      </c>
      <c r="C22" s="2" t="s">
        <v>6</v>
      </c>
      <c r="D22" s="2"/>
      <c r="E22" s="2" t="b">
        <v>1</v>
      </c>
      <c r="F22" s="2"/>
      <c r="G22" t="str">
        <f t="shared" si="10"/>
        <v>dbo.MovementSet(MovementSetId)</v>
      </c>
      <c r="H22" s="2"/>
      <c r="J22" s="3" t="str">
        <f t="shared" si="0"/>
        <v xml:space="preserve">    MovementSetId INT NOT NULL CONSTRAINT PlayerCharacters_MovementSetId_FK FOREIGN KEY REFERENCES dbo.MovementSet(MovementSetId),</v>
      </c>
      <c r="L22" s="22" t="s">
        <v>41</v>
      </c>
      <c r="P22" s="18" t="str">
        <f t="shared" si="5"/>
        <v xml:space="preserve">    [InitiativeId]</v>
      </c>
      <c r="Q22" t="str">
        <f t="shared" si="6"/>
        <v>varchar(50)</v>
      </c>
      <c r="R22" s="5" t="str">
        <f t="shared" si="7"/>
        <v xml:space="preserve">        TimeFrequency Height { get; set; }</v>
      </c>
      <c r="S22" t="s">
        <v>108</v>
      </c>
      <c r="T22" s="6" t="str">
        <f t="shared" si="8"/>
        <v xml:space="preserve">        public TimeFrequency Height { get; set; }</v>
      </c>
      <c r="V22" s="16" t="str">
        <f t="shared" si="9"/>
        <v>                reader.Get&lt;InvoiceLayoutType&gt;(PlayerCharactersCol.Age),</v>
      </c>
      <c r="Z22" s="13" t="str">
        <f>"        public "&amp;C2&amp;" Get(int "&amp;LOWER(C2)&amp;"Id)"</f>
        <v>        public PlayerCharacters Get(int playercharactersId)</v>
      </c>
    </row>
    <row r="23" spans="2:26" x14ac:dyDescent="0.25">
      <c r="B23" s="2" t="s">
        <v>114</v>
      </c>
      <c r="C23" s="2" t="s">
        <v>6</v>
      </c>
      <c r="D23" s="2"/>
      <c r="E23" s="2" t="b">
        <v>1</v>
      </c>
      <c r="F23" s="2"/>
      <c r="G23" t="str">
        <f t="shared" si="10"/>
        <v>dbo.SenseSet(SenseSetId)</v>
      </c>
      <c r="H23" s="2"/>
      <c r="J23" s="3" t="str">
        <f t="shared" si="0"/>
        <v xml:space="preserve">    SenseSetId INT NOT NULL CONSTRAINT PlayerCharacters_SenseSetId_FK FOREIGN KEY REFERENCES dbo.SenseSet(SenseSetId),</v>
      </c>
      <c r="L23" s="22" t="s">
        <v>98</v>
      </c>
      <c r="N23" s="23" t="str">
        <f>"UPDATE "&amp;B2&amp;"."&amp;C2</f>
        <v>UPDATE dbo.PlayerCharacters</v>
      </c>
      <c r="Q23" t="str">
        <f t="shared" si="6"/>
        <v>varchar(50)</v>
      </c>
      <c r="R23" s="5" t="str">
        <f t="shared" si="7"/>
        <v xml:space="preserve">        TimeFrequency Weight { get; set; }</v>
      </c>
      <c r="S23" t="s">
        <v>108</v>
      </c>
      <c r="T23" s="6" t="str">
        <f t="shared" si="8"/>
        <v xml:space="preserve">        public TimeFrequency Weight { get; set; }</v>
      </c>
      <c r="V23" s="16" t="str">
        <f t="shared" si="9"/>
        <v>                reader.Get&lt;int&gt;(PlayerCharactersCol.GenderId),</v>
      </c>
      <c r="Z23" s="13" t="s">
        <v>54</v>
      </c>
    </row>
    <row r="24" spans="2:26" x14ac:dyDescent="0.25">
      <c r="B24" s="2" t="s">
        <v>122</v>
      </c>
      <c r="C24" s="2" t="s">
        <v>6</v>
      </c>
      <c r="D24" s="2"/>
      <c r="E24" s="2" t="b">
        <v>1</v>
      </c>
      <c r="F24" s="2"/>
      <c r="G24" t="str">
        <f t="shared" si="10"/>
        <v/>
      </c>
      <c r="H24" s="2"/>
      <c r="J24" s="3" t="str">
        <f t="shared" si="0"/>
        <v xml:space="preserve">    BaseHitPoints INT NOT NULL,</v>
      </c>
      <c r="L24" s="22" t="str">
        <f>"FROM "&amp;B2&amp;"."&amp;C2</f>
        <v>FROM dbo.PlayerCharacters</v>
      </c>
      <c r="N24" s="23" t="s">
        <v>47</v>
      </c>
      <c r="P24" s="18" t="s">
        <v>92</v>
      </c>
      <c r="Q24" t="str">
        <f t="shared" si="6"/>
        <v>int</v>
      </c>
      <c r="R24" s="5" t="str">
        <f t="shared" si="7"/>
        <v xml:space="preserve">        bool AlignmentId { get; set; }</v>
      </c>
      <c r="S24" t="s">
        <v>101</v>
      </c>
      <c r="T24" s="6" t="str">
        <f t="shared" si="8"/>
        <v xml:space="preserve">        public bool AlignmentId { get; set; }</v>
      </c>
      <c r="V24" s="16" t="str">
        <f t="shared" si="9"/>
        <v>                reader.Get&lt;TimeFrequency&gt;(PlayerCharactersCol.Height),</v>
      </c>
      <c r="Z24" s="13" t="str">
        <f>"            using (var command = UnitOfWork.CreateStoredProcedure("""&amp;B2&amp;".USP_"&amp;C2&amp;"_Get""))"</f>
        <v>            using (var command = UnitOfWork.CreateStoredProcedure("dbo.USP_PlayerCharacters_Get"))</v>
      </c>
    </row>
    <row r="25" spans="2:26" x14ac:dyDescent="0.25">
      <c r="B25" s="2" t="s">
        <v>121</v>
      </c>
      <c r="C25" s="2" t="s">
        <v>6</v>
      </c>
      <c r="D25" s="2"/>
      <c r="E25" s="2"/>
      <c r="F25" s="2"/>
      <c r="G25" t="str">
        <f t="shared" ref="G25:G29" si="11">IF(UPPER(RIGHT(B25,2))="ID",B$2&amp;"."&amp;LEFT(B25,LEN(B25)-2)&amp;"("&amp;B25&amp;")","")</f>
        <v/>
      </c>
      <c r="H25" s="2"/>
      <c r="J25" s="3" t="str">
        <f t="shared" si="0"/>
        <v xml:space="preserve">    AdditionalHitPoints INT,</v>
      </c>
      <c r="L25" s="22" t="s">
        <v>42</v>
      </c>
      <c r="N25" s="23" t="str">
        <f t="shared" ref="N25:N40" si="12">IF(NOT(ISBLANK(B5)),"["&amp;B5&amp;"] = @"&amp;B5&amp;IF(NOT(ISBLANK(B6)),",",""),"")</f>
        <v>[Name] = @Name,</v>
      </c>
      <c r="P25" s="18" t="str">
        <f>"    "&amp;B2&amp;"."&amp;C2</f>
        <v xml:space="preserve">    dbo.PlayerCharacters</v>
      </c>
      <c r="Q25" t="str">
        <f t="shared" si="6"/>
        <v>int</v>
      </c>
      <c r="R25" s="5" t="str">
        <f t="shared" si="7"/>
        <v xml:space="preserve">        CommunicationType DeityId { get; set; }</v>
      </c>
      <c r="S25" t="s">
        <v>109</v>
      </c>
      <c r="T25" s="6" t="str">
        <f t="shared" si="8"/>
        <v xml:space="preserve">        public CommunicationType DeityId { get; set; }</v>
      </c>
      <c r="V25" s="16" t="str">
        <f t="shared" si="9"/>
        <v>                reader.Get&lt;TimeFrequency&gt;(PlayerCharactersCol.Weight),</v>
      </c>
      <c r="Z25" s="13" t="s">
        <v>71</v>
      </c>
    </row>
    <row r="26" spans="2:26" x14ac:dyDescent="0.25">
      <c r="B26" s="2" t="s">
        <v>119</v>
      </c>
      <c r="C26" s="2" t="s">
        <v>6</v>
      </c>
      <c r="D26" s="2"/>
      <c r="E26" s="2" t="b">
        <v>1</v>
      </c>
      <c r="F26" s="2"/>
      <c r="G26" t="str">
        <f t="shared" si="11"/>
        <v/>
      </c>
      <c r="H26" s="2"/>
      <c r="J26" s="3" t="str">
        <f t="shared" si="0"/>
        <v xml:space="preserve">    BaseActionPoints INT NOT NULL,</v>
      </c>
      <c r="L26" s="22" t="str">
        <f>IF(NOT(ISBLANK(B4)),"["&amp;B4&amp;"] = ISNULL(@"&amp;B4&amp;", 0)","")</f>
        <v>[PlayerCharacterId] = ISNULL(@PlayerCharacterId, 0)</v>
      </c>
      <c r="N26" s="23" t="str">
        <f t="shared" si="12"/>
        <v>[Level] = @Level,</v>
      </c>
      <c r="P26" s="18" t="s">
        <v>42</v>
      </c>
      <c r="Q26" t="str">
        <f t="shared" si="6"/>
        <v>int</v>
      </c>
      <c r="R26" s="5" t="str">
        <f t="shared" si="7"/>
        <v xml:space="preserve">        int InitiativeId { get; set; }</v>
      </c>
      <c r="T26" s="6" t="str">
        <f t="shared" si="8"/>
        <v xml:space="preserve">        public int InitiativeId { get; set; }</v>
      </c>
      <c r="V26" s="16" t="str">
        <f t="shared" si="9"/>
        <v>                reader.Get&lt;bool&gt;(PlayerCharactersCol.AlignmentId),</v>
      </c>
      <c r="Z26" s="13" t="s">
        <v>72</v>
      </c>
    </row>
    <row r="27" spans="2:26" x14ac:dyDescent="0.25">
      <c r="B27" s="2" t="s">
        <v>120</v>
      </c>
      <c r="C27" s="2" t="s">
        <v>6</v>
      </c>
      <c r="D27" s="2"/>
      <c r="E27" s="2"/>
      <c r="F27" s="2"/>
      <c r="G27" t="str">
        <f t="shared" si="11"/>
        <v/>
      </c>
      <c r="H27" s="2"/>
      <c r="J27" s="3" t="str">
        <f t="shared" si="0"/>
        <v xml:space="preserve">    AdditionalActionPoints INT,</v>
      </c>
      <c r="L27" s="22" t="s">
        <v>43</v>
      </c>
      <c r="N27" s="23" t="str">
        <f t="shared" si="12"/>
        <v>[ClassId] = @ClassId,</v>
      </c>
      <c r="P27" s="18" t="str">
        <f>"    "&amp;B4&amp;" = @"&amp;B4</f>
        <v xml:space="preserve">    PlayerCharacterId = @PlayerCharacterId</v>
      </c>
      <c r="Q27" t="str">
        <f t="shared" si="6"/>
        <v>int</v>
      </c>
      <c r="R27" s="5" t="str">
        <f t="shared" si="7"/>
        <v xml:space="preserve">        int AbilitySetId { get; set; }</v>
      </c>
      <c r="T27" s="6" t="str">
        <f t="shared" si="8"/>
        <v xml:space="preserve">        public int AbilitySetId { get; set; }</v>
      </c>
      <c r="V27" s="16" t="str">
        <f t="shared" si="9"/>
        <v>                reader.Get&lt;CommunicationType&gt;(PlayerCharactersCol.DeityId)</v>
      </c>
      <c r="Z27" s="13" t="str">
        <f>"                    .AddWithValue(""@"&amp;C2&amp;"Id"", "&amp;LOWER(C2)&amp;"Id, SqlDbType.Int);"</f>
        <v>                    .AddWithValue("@PlayerCharactersId", playercharactersId, SqlDbType.Int);</v>
      </c>
    </row>
    <row r="28" spans="2:26" x14ac:dyDescent="0.25">
      <c r="B28" s="2" t="s">
        <v>113</v>
      </c>
      <c r="C28" s="2" t="s">
        <v>6</v>
      </c>
      <c r="D28" s="2"/>
      <c r="E28" s="2" t="b">
        <v>1</v>
      </c>
      <c r="F28" s="2"/>
      <c r="G28" t="str">
        <f t="shared" si="11"/>
        <v>dbo.SkillSet(SkillSetId)</v>
      </c>
      <c r="H28" s="2"/>
      <c r="J28" s="3" t="str">
        <f t="shared" si="0"/>
        <v xml:space="preserve">    SkillSetId INT NOT NULL CONSTRAINT PlayerCharacters_SkillSetId_FK FOREIGN KEY REFERENCES dbo.SkillSet(SkillSetId)</v>
      </c>
      <c r="L28" s="22" t="s">
        <v>11</v>
      </c>
      <c r="N28" s="23" t="str">
        <f t="shared" si="12"/>
        <v>[ParagonPathId] = @ParagonPathId,</v>
      </c>
      <c r="R28" s="5" t="s">
        <v>58</v>
      </c>
      <c r="V28" s="16" t="str">
        <f t="shared" si="9"/>
        <v/>
      </c>
    </row>
    <row r="29" spans="2:26" x14ac:dyDescent="0.25">
      <c r="B29" s="2"/>
      <c r="C29" s="2"/>
      <c r="D29" s="2"/>
      <c r="E29" s="2"/>
      <c r="F29" s="2"/>
      <c r="G29" t="str">
        <f t="shared" si="11"/>
        <v/>
      </c>
      <c r="H29" s="2"/>
      <c r="J29" s="3" t="str">
        <f t="shared" si="0"/>
        <v xml:space="preserve">     </v>
      </c>
      <c r="L29" s="22" t="str">
        <f>"INSERT INTO "&amp;B2&amp;"."&amp;C2&amp;" ("</f>
        <v>INSERT INTO dbo.PlayerCharacters (</v>
      </c>
      <c r="N29" s="23" t="str">
        <f t="shared" si="12"/>
        <v>[EpicDestinyId] = @EpicDestinyId,</v>
      </c>
      <c r="R29" s="5" t="s">
        <v>57</v>
      </c>
      <c r="T29" s="6" t="str">
        <f>"        public "&amp;C2&amp;"("</f>
        <v>        public PlayerCharacters(</v>
      </c>
      <c r="V29" s="16" t="str">
        <f t="shared" si="9"/>
        <v/>
      </c>
      <c r="Z29" s="13" t="s">
        <v>73</v>
      </c>
    </row>
    <row r="30" spans="2:26" x14ac:dyDescent="0.25">
      <c r="B30" s="2"/>
      <c r="C30" s="2"/>
      <c r="D30" s="2"/>
      <c r="E30" s="2"/>
      <c r="F30" s="2"/>
      <c r="G30" t="str">
        <f t="shared" ref="G30:G32" si="13">IF(UPPER(RIGHT(B30,2))="ID",B$2&amp;"."&amp;LEFT(B30,LEN(B30)-2)&amp;"("&amp;B30&amp;")","")</f>
        <v/>
      </c>
      <c r="H30" s="2"/>
      <c r="J30" s="3" t="str">
        <f t="shared" si="0"/>
        <v xml:space="preserve">     </v>
      </c>
      <c r="L30" s="22" t="str">
        <f>IF(NOT(ISBLANK(B5)),"["&amp;B5&amp;"]"&amp;IF(NOT(ISBLANK(B6)),",",""),"")</f>
        <v>[Name],</v>
      </c>
      <c r="N30" s="23" t="str">
        <f t="shared" si="12"/>
        <v>[ExperiencePoints] = @ExperiencePoints,</v>
      </c>
      <c r="T30" s="6" t="str">
        <f>IF(NOT(ISBLANK(B4)),"            int"&amp;" "&amp;LOWER(LEFT(B4,1))&amp;MID(B4,2,LEN(B4)-1)&amp;IF(LEN(T31)&gt;0,",",""),"")</f>
        <v xml:space="preserve">            int playerCharacterId,</v>
      </c>
      <c r="Z30" s="13" t="s">
        <v>74</v>
      </c>
    </row>
    <row r="31" spans="2:26" x14ac:dyDescent="0.25">
      <c r="B31" s="2"/>
      <c r="C31" s="2"/>
      <c r="D31" s="2"/>
      <c r="E31" s="2"/>
      <c r="F31" s="2"/>
      <c r="G31" t="str">
        <f t="shared" si="13"/>
        <v/>
      </c>
      <c r="H31" s="2"/>
      <c r="J31" s="3" t="str">
        <f t="shared" si="0"/>
        <v xml:space="preserve">     </v>
      </c>
      <c r="L31" s="22" t="str">
        <f t="shared" ref="L31:L45" si="14">IF(NOT(ISBLANK(B6)),"["&amp;B6&amp;"]"&amp;IF(NOT(ISBLANK(B7)),",",""),"")</f>
        <v>[Level],</v>
      </c>
      <c r="N31" s="23" t="str">
        <f t="shared" si="12"/>
        <v>[RaceId] = @RaceId,</v>
      </c>
      <c r="T31" s="6" t="str">
        <f t="shared" ref="T31:T46" si="15">IF(NOT(ISBLANK(B5)),"            "&amp;S12&amp;" "&amp;LOWER(LEFT(B5,1))&amp;MID(B5,2,LEN(B5)-1)&amp;IF(LEN(T32)&gt;0,",",""),"")</f>
        <v xml:space="preserve">            string name,</v>
      </c>
      <c r="V31" s="16" t="s">
        <v>85</v>
      </c>
      <c r="Z31" s="13" t="s">
        <v>55</v>
      </c>
    </row>
    <row r="32" spans="2:26" x14ac:dyDescent="0.25">
      <c r="B32" s="2"/>
      <c r="C32" s="2"/>
      <c r="D32" s="2"/>
      <c r="E32" s="2"/>
      <c r="F32" s="2"/>
      <c r="G32" t="str">
        <f t="shared" si="13"/>
        <v/>
      </c>
      <c r="H32" s="2"/>
      <c r="J32" s="3" t="str">
        <f t="shared" si="0"/>
        <v xml:space="preserve">     </v>
      </c>
      <c r="L32" s="22" t="str">
        <f t="shared" si="14"/>
        <v>[ClassId],</v>
      </c>
      <c r="N32" s="23" t="str">
        <f t="shared" si="12"/>
        <v>[SizeId] = @SizeId,</v>
      </c>
      <c r="T32" s="6" t="str">
        <f t="shared" si="15"/>
        <v xml:space="preserve">            string level,</v>
      </c>
      <c r="V32" s="16" t="s">
        <v>55</v>
      </c>
    </row>
    <row r="33" spans="1:26" x14ac:dyDescent="0.25">
      <c r="A33" t="s">
        <v>9</v>
      </c>
      <c r="J33" s="3" t="str">
        <f>A33</f>
        <v>);</v>
      </c>
      <c r="L33" s="22" t="str">
        <f t="shared" si="14"/>
        <v>[ParagonPathId],</v>
      </c>
      <c r="N33" s="23" t="str">
        <f t="shared" si="12"/>
        <v>[Age] = @Age,</v>
      </c>
      <c r="T33" s="6" t="str">
        <f t="shared" si="15"/>
        <v xml:space="preserve">            int classId,</v>
      </c>
      <c r="V33" s="16" t="s">
        <v>12</v>
      </c>
      <c r="Z33" s="13" t="str">
        <f>"        public DataResult&lt;"&amp;C2&amp;"&gt; Save("&amp;C2&amp;" value)"</f>
        <v xml:space="preserve">        public DataResult&lt;PlayerCharacters&gt; Save(PlayerCharacters value)</v>
      </c>
    </row>
    <row r="34" spans="1:26" x14ac:dyDescent="0.25">
      <c r="L34" s="22" t="str">
        <f t="shared" si="14"/>
        <v>[EpicDestinyId],</v>
      </c>
      <c r="N34" s="23" t="str">
        <f t="shared" si="12"/>
        <v>[GenderId] = @GenderId,</v>
      </c>
      <c r="T34" s="6" t="str">
        <f t="shared" si="15"/>
        <v xml:space="preserve">            CurrencyType paragonPathId,</v>
      </c>
      <c r="V34" s="16" t="str">
        <f>"        public static IEnumerable&lt;"&amp;C2&amp;"&gt; ParseMultipleReader(IDataReader reader)"</f>
        <v>        public static IEnumerable&lt;PlayerCharacters&gt; ParseMultipleReader(IDataReader reader)</v>
      </c>
      <c r="Z34" s="13" t="s">
        <v>103</v>
      </c>
    </row>
    <row r="35" spans="1:26" x14ac:dyDescent="0.25">
      <c r="L35" s="22" t="str">
        <f t="shared" si="14"/>
        <v>[ExperiencePoints],</v>
      </c>
      <c r="N35" s="23" t="str">
        <f t="shared" si="12"/>
        <v>[Height] = @Height,</v>
      </c>
      <c r="T35" s="6" t="str">
        <f t="shared" si="15"/>
        <v xml:space="preserve">            bool epicDestinyId,</v>
      </c>
      <c r="V35" s="16" t="s">
        <v>54</v>
      </c>
      <c r="Z35" s="13" t="s">
        <v>102</v>
      </c>
    </row>
    <row r="36" spans="1:26" x14ac:dyDescent="0.25">
      <c r="L36" s="22" t="str">
        <f t="shared" si="14"/>
        <v>[RaceId],</v>
      </c>
      <c r="N36" s="23" t="str">
        <f t="shared" si="12"/>
        <v>[Weight] = @Weight,</v>
      </c>
      <c r="T36" s="6" t="str">
        <f t="shared" si="15"/>
        <v xml:space="preserve">            string experiencePoints,</v>
      </c>
      <c r="V36" s="16" t="str">
        <f>"            var "&amp;LOWER(LEFT(C2,1))&amp;MID(C2,2,LEN(C2)-1)&amp;"s = new List&lt;"&amp;C2&amp;"&gt;();"</f>
        <v>            var playerCharacterss = new List&lt;PlayerCharacters&gt;();</v>
      </c>
      <c r="Z36" s="13" t="s">
        <v>55</v>
      </c>
    </row>
    <row r="37" spans="1:26" x14ac:dyDescent="0.25">
      <c r="L37" s="22" t="str">
        <f t="shared" si="14"/>
        <v>[SizeId],</v>
      </c>
      <c r="N37" s="23" t="str">
        <f t="shared" si="12"/>
        <v>[AlignmentId] = @AlignmentId,</v>
      </c>
      <c r="T37" s="6" t="str">
        <f t="shared" si="15"/>
        <v xml:space="preserve">            string raceId,</v>
      </c>
      <c r="V37" s="16" t="s">
        <v>12</v>
      </c>
    </row>
    <row r="38" spans="1:26" x14ac:dyDescent="0.25">
      <c r="L38" s="22" t="str">
        <f t="shared" si="14"/>
        <v>[Age],</v>
      </c>
      <c r="N38" s="23" t="str">
        <f t="shared" si="12"/>
        <v>[DeityId] = @DeityId,</v>
      </c>
      <c r="T38" s="6" t="str">
        <f t="shared" si="15"/>
        <v xml:space="preserve">            string sizeId,</v>
      </c>
      <c r="V38" s="16" t="s">
        <v>86</v>
      </c>
      <c r="Z38" s="13" t="str">
        <f>"        public DataResult&lt;"&amp;C2&amp;"&gt; Create("&amp;C2&amp;" value)"</f>
        <v xml:space="preserve">        public DataResult&lt;PlayerCharacters&gt; Create(PlayerCharacters value)</v>
      </c>
    </row>
    <row r="39" spans="1:26" x14ac:dyDescent="0.25">
      <c r="L39" s="22" t="str">
        <f t="shared" si="14"/>
        <v>[GenderId],</v>
      </c>
      <c r="N39" s="23" t="str">
        <f t="shared" si="12"/>
        <v>[InitiativeId] = @InitiativeId,</v>
      </c>
      <c r="T39" s="6" t="str">
        <f t="shared" si="15"/>
        <v xml:space="preserve">            InvoiceLayoutType age,</v>
      </c>
      <c r="V39" s="16" t="s">
        <v>71</v>
      </c>
      <c r="Z39" s="13" t="s">
        <v>54</v>
      </c>
    </row>
    <row r="40" spans="1:26" x14ac:dyDescent="0.25">
      <c r="L40" s="22" t="str">
        <f t="shared" si="14"/>
        <v>[Height],</v>
      </c>
      <c r="N40" s="23" t="str">
        <f t="shared" si="12"/>
        <v>[AbilitySetId] = @AbilitySetId,</v>
      </c>
      <c r="T40" s="6" t="str">
        <f t="shared" si="15"/>
        <v xml:space="preserve">            int genderId,</v>
      </c>
      <c r="V40" s="16" t="str">
        <f>"                "&amp;LOWER(LEFT(C2,1))&amp;MID(C2,2,LEN(C2)-1)&amp;".Add(ParseReader(reader));"</f>
        <v>                playerCharacters.Add(ParseReader(reader));</v>
      </c>
      <c r="Z40" s="13" t="str">
        <f>"            using (var command = UnitOfWork.CreateStoredProcedure("""&amp;B2&amp;".USP_"&amp;C2&amp;"_Create""))"</f>
        <v>            using (var command = UnitOfWork.CreateStoredProcedure("dbo.USP_PlayerCharacters_Create"))</v>
      </c>
    </row>
    <row r="41" spans="1:26" x14ac:dyDescent="0.25">
      <c r="L41" s="22" t="str">
        <f t="shared" si="14"/>
        <v>[Weight],</v>
      </c>
      <c r="N41" s="23" t="str">
        <f>IF(NOT(ISBLANK(B4)),"WHERE ["&amp;B4&amp;"] = ISNULL(@"&amp;B4&amp;", 0)","")</f>
        <v>WHERE [PlayerCharacterId] = ISNULL(@PlayerCharacterId, 0)</v>
      </c>
      <c r="T41" s="6" t="str">
        <f t="shared" si="15"/>
        <v xml:space="preserve">            TimeFrequency height,</v>
      </c>
      <c r="V41" s="16" t="s">
        <v>74</v>
      </c>
      <c r="Z41" s="13" t="s">
        <v>71</v>
      </c>
    </row>
    <row r="42" spans="1:26" x14ac:dyDescent="0.25">
      <c r="L42" s="22" t="str">
        <f t="shared" si="14"/>
        <v>[AlignmentId],</v>
      </c>
      <c r="N42" s="23" t="str">
        <f>IF(NOT(ISBLANK(D16)),"["&amp;D16&amp;"]"&amp;IF(NOT(ISBLANK(D17)),",",""),"")</f>
        <v/>
      </c>
      <c r="T42" s="6" t="str">
        <f t="shared" si="15"/>
        <v xml:space="preserve">            TimeFrequency weight,</v>
      </c>
      <c r="V42" s="16" t="s">
        <v>12</v>
      </c>
      <c r="Z42" s="13" t="str">
        <f>"                var idParameter = command.AddOutput(""@"&amp;C2&amp;"Id"", SqlDbType.Int);"</f>
        <v>                var idParameter = command.AddOutput("@PlayerCharactersId", SqlDbType.Int);</v>
      </c>
    </row>
    <row r="43" spans="1:26" x14ac:dyDescent="0.25">
      <c r="L43" s="22" t="str">
        <f t="shared" si="14"/>
        <v>[DeityId],</v>
      </c>
      <c r="N43" s="23" t="s">
        <v>97</v>
      </c>
      <c r="T43" s="6" t="str">
        <f t="shared" si="15"/>
        <v xml:space="preserve">            bool alignmentId,</v>
      </c>
      <c r="V43" s="16" t="str">
        <f>"            return "&amp;LOWER(LEFT(C2,1))&amp;MID(C2,2,LEN(C2)-1)&amp;";"</f>
        <v>            return playerCharacters;</v>
      </c>
    </row>
    <row r="44" spans="1:26" x14ac:dyDescent="0.25">
      <c r="L44" s="22" t="str">
        <f t="shared" si="14"/>
        <v>[InitiativeId],</v>
      </c>
      <c r="N44" s="23" t="str">
        <f>IF(NOT(ISBLANK(D18)),"["&amp;D18&amp;"]"&amp;IF(NOT(ISBLANK(D19)),",",""),"")</f>
        <v/>
      </c>
      <c r="T44" s="6" t="str">
        <f t="shared" si="15"/>
        <v xml:space="preserve">            CommunicationType deityId,</v>
      </c>
      <c r="V44" s="16" t="s">
        <v>55</v>
      </c>
      <c r="Z44" s="13" t="s">
        <v>72</v>
      </c>
    </row>
    <row r="45" spans="1:26" x14ac:dyDescent="0.25">
      <c r="L45" s="22" t="str">
        <f t="shared" si="14"/>
        <v>[AbilitySetId],</v>
      </c>
      <c r="N45" s="23" t="s">
        <v>14</v>
      </c>
      <c r="T45" s="6" t="str">
        <f t="shared" si="15"/>
        <v xml:space="preserve">             initiativeId,</v>
      </c>
      <c r="V45" s="16" t="s">
        <v>12</v>
      </c>
      <c r="Z45" s="13" t="e">
        <f t="shared" ref="Z45" si="16">IF(NOT(ISBLANK(B4)),"                    .AddWithValue(""@"&amp;B4&amp;""", value.Id,  SqlDbType.Int"&amp;")"&amp;IF(LEN(Z46)&gt;0,"",";"),"")</f>
        <v>#VALUE!</v>
      </c>
    </row>
    <row r="46" spans="1:26" x14ac:dyDescent="0.25">
      <c r="L46" s="22" t="s">
        <v>43</v>
      </c>
      <c r="T46" s="6" t="str">
        <f t="shared" si="15"/>
        <v xml:space="preserve">             abilitySetId,</v>
      </c>
      <c r="V46" s="16" t="str">
        <f>"        private enum "&amp;C2&amp;"Col"</f>
        <v>        private enum PlayerCharactersCol</v>
      </c>
      <c r="Z46" s="13" t="e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#VALUE!</v>
      </c>
    </row>
    <row r="47" spans="1:26" x14ac:dyDescent="0.25">
      <c r="L47" s="22" t="s">
        <v>44</v>
      </c>
      <c r="T47" s="6" t="s">
        <v>87</v>
      </c>
      <c r="V47" s="16" t="s">
        <v>54</v>
      </c>
      <c r="Z47" s="13" t="e">
        <f t="shared" ref="Z47:Z62" si="17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#VALUE!</v>
      </c>
    </row>
    <row r="48" spans="1:26" x14ac:dyDescent="0.25">
      <c r="L48" s="22" t="str">
        <f>IF(NOT(ISBLANK(B5)),"@"&amp;B5&amp;IF(NOT(ISBLANK(B6)),",",""),"")</f>
        <v>@Name,</v>
      </c>
      <c r="T48" s="6" t="s">
        <v>54</v>
      </c>
      <c r="V48" s="16" t="s">
        <v>88</v>
      </c>
      <c r="Z48" s="13" t="e">
        <f t="shared" si="17"/>
        <v>#VALUE!</v>
      </c>
    </row>
    <row r="49" spans="12:26" x14ac:dyDescent="0.25">
      <c r="L49" s="22" t="str">
        <f t="shared" ref="L49:L63" si="18">IF(NOT(ISBLANK(B6)),"@"&amp;B6&amp;IF(NOT(ISBLANK(B7)),",",""),"")</f>
        <v>@Level,</v>
      </c>
      <c r="T49" s="6" t="str">
        <f>IF(NOT(ISBLANK(B4)),"            Id = "&amp;LOWER(LEFT(B4,1))&amp;MID(B4,2,LEN(B4)-1)&amp;";","")</f>
        <v xml:space="preserve">            Id = playerCharacterId;</v>
      </c>
      <c r="V49" s="16" t="str">
        <f t="shared" ref="V49:V64" si="19">IF(NOT(ISBLANK(B5)),"            "&amp;B5&amp;IF(LEN(V15)&gt;0,",",""),"")</f>
        <v xml:space="preserve">            Name,</v>
      </c>
      <c r="Z49" s="13" t="e">
        <f t="shared" si="17"/>
        <v>#VALUE!</v>
      </c>
    </row>
    <row r="50" spans="12:26" x14ac:dyDescent="0.25">
      <c r="L50" s="22" t="str">
        <f t="shared" si="18"/>
        <v>@ClassId,</v>
      </c>
      <c r="T50" s="6" t="str">
        <f t="shared" ref="T50:T65" si="20">IF(NOT(ISBLANK(B5)),"            "&amp;B5&amp;" = "&amp;LOWER(LEFT(B5,1))&amp;MID(B5,2,LEN(B5)-1)&amp;";","")</f>
        <v xml:space="preserve">            Name = name;</v>
      </c>
      <c r="V50" s="16" t="str">
        <f t="shared" si="19"/>
        <v xml:space="preserve">            Level,</v>
      </c>
      <c r="Z50" s="13" t="e">
        <f t="shared" si="17"/>
        <v>#VALUE!</v>
      </c>
    </row>
    <row r="51" spans="12:26" x14ac:dyDescent="0.25">
      <c r="L51" s="22" t="str">
        <f>IF(NOT(ISBLANK(B8)),"@"&amp;B8&amp;IF(NOT(ISBLANK(B9)),",",""),"")</f>
        <v>@ParagonPathId,</v>
      </c>
      <c r="T51" s="6" t="str">
        <f t="shared" si="20"/>
        <v xml:space="preserve">            Level = level;</v>
      </c>
      <c r="V51" s="16" t="str">
        <f t="shared" si="19"/>
        <v xml:space="preserve">            ClassId,</v>
      </c>
      <c r="Z51" s="13" t="e">
        <f t="shared" si="17"/>
        <v>#VALUE!</v>
      </c>
    </row>
    <row r="52" spans="12:26" x14ac:dyDescent="0.25">
      <c r="L52" s="22" t="str">
        <f t="shared" si="18"/>
        <v>@EpicDestinyId,</v>
      </c>
      <c r="T52" s="6" t="str">
        <f t="shared" si="20"/>
        <v xml:space="preserve">            ClassId = classId;</v>
      </c>
      <c r="V52" s="16" t="str">
        <f t="shared" si="19"/>
        <v xml:space="preserve">            ParagonPathId,</v>
      </c>
      <c r="Z52" s="13" t="e">
        <f t="shared" si="17"/>
        <v>#VALUE!</v>
      </c>
    </row>
    <row r="53" spans="12:26" x14ac:dyDescent="0.25">
      <c r="L53" s="22" t="str">
        <f t="shared" si="18"/>
        <v>@ExperiencePoints,</v>
      </c>
      <c r="T53" s="6" t="str">
        <f t="shared" si="20"/>
        <v xml:space="preserve">            ParagonPathId = paragonPathId;</v>
      </c>
      <c r="V53" s="16" t="str">
        <f t="shared" si="19"/>
        <v xml:space="preserve">            EpicDestinyId,</v>
      </c>
      <c r="Z53" s="13" t="e">
        <f t="shared" si="17"/>
        <v>#VALUE!</v>
      </c>
    </row>
    <row r="54" spans="12:26" x14ac:dyDescent="0.25">
      <c r="L54" s="22" t="str">
        <f t="shared" si="18"/>
        <v>@RaceId,</v>
      </c>
      <c r="T54" s="6" t="str">
        <f t="shared" si="20"/>
        <v xml:space="preserve">            EpicDestinyId = epicDestinyId;</v>
      </c>
      <c r="V54" s="16" t="str">
        <f t="shared" si="19"/>
        <v xml:space="preserve">            ExperiencePoints,</v>
      </c>
      <c r="Z54" s="13" t="e">
        <f t="shared" si="17"/>
        <v>#VALUE!</v>
      </c>
    </row>
    <row r="55" spans="12:26" x14ac:dyDescent="0.25">
      <c r="L55" s="22" t="str">
        <f t="shared" si="18"/>
        <v>@SizeId,</v>
      </c>
      <c r="T55" s="6" t="str">
        <f t="shared" si="20"/>
        <v xml:space="preserve">            ExperiencePoints = experiencePoints;</v>
      </c>
      <c r="V55" s="16" t="str">
        <f t="shared" si="19"/>
        <v xml:space="preserve">            RaceId,</v>
      </c>
      <c r="Z55" s="13" t="e">
        <f t="shared" si="17"/>
        <v>#VALUE!</v>
      </c>
    </row>
    <row r="56" spans="12:26" x14ac:dyDescent="0.25">
      <c r="L56" s="22" t="str">
        <f t="shared" si="18"/>
        <v>@Age,</v>
      </c>
      <c r="T56" s="6" t="str">
        <f t="shared" si="20"/>
        <v xml:space="preserve">            RaceId = raceId;</v>
      </c>
      <c r="V56" s="16" t="str">
        <f t="shared" si="19"/>
        <v xml:space="preserve">            SizeId,</v>
      </c>
      <c r="Z56" s="13" t="str">
        <f t="shared" si="17"/>
        <v>                    .AddWithValue("@Height", value.Height, SqlDbType.Varchar(50))</v>
      </c>
    </row>
    <row r="57" spans="12:26" x14ac:dyDescent="0.25">
      <c r="L57" s="22" t="str">
        <f t="shared" si="18"/>
        <v>@GenderId,</v>
      </c>
      <c r="T57" s="6" t="str">
        <f t="shared" si="20"/>
        <v xml:space="preserve">            SizeId = sizeId;</v>
      </c>
      <c r="V57" s="16" t="str">
        <f t="shared" si="19"/>
        <v xml:space="preserve">            Age,</v>
      </c>
      <c r="Z57" s="13" t="str">
        <f t="shared" si="17"/>
        <v>                    .AddWithValue("@Weight", value.Weight, SqlDbType.Varchar(50))</v>
      </c>
    </row>
    <row r="58" spans="12:26" x14ac:dyDescent="0.25">
      <c r="L58" s="22" t="str">
        <f t="shared" si="18"/>
        <v>@Height,</v>
      </c>
      <c r="T58" s="6" t="str">
        <f t="shared" si="20"/>
        <v xml:space="preserve">            Age = age;</v>
      </c>
      <c r="V58" s="16" t="str">
        <f t="shared" si="19"/>
        <v xml:space="preserve">            GenderId,</v>
      </c>
      <c r="Z58" s="13" t="str">
        <f t="shared" si="17"/>
        <v>                    .AddWithValue("@AlignmentId", value.AlignmentId, SqlDbType.Int)</v>
      </c>
    </row>
    <row r="59" spans="12:26" x14ac:dyDescent="0.25">
      <c r="L59" s="22" t="str">
        <f t="shared" si="18"/>
        <v>@Weight,</v>
      </c>
      <c r="T59" s="6" t="str">
        <f t="shared" si="20"/>
        <v xml:space="preserve">            GenderId = genderId;</v>
      </c>
      <c r="V59" s="16" t="str">
        <f t="shared" si="19"/>
        <v xml:space="preserve">            Height,</v>
      </c>
      <c r="Z59" s="13" t="str">
        <f t="shared" si="17"/>
        <v>                    .AddWithValue("@DeityId", value.DeityId, SqlDbType.Int)</v>
      </c>
    </row>
    <row r="60" spans="12:26" x14ac:dyDescent="0.25">
      <c r="L60" s="22" t="str">
        <f t="shared" si="18"/>
        <v>@AlignmentId,</v>
      </c>
      <c r="T60" s="6" t="str">
        <f t="shared" si="20"/>
        <v xml:space="preserve">            Height = height;</v>
      </c>
      <c r="V60" s="16" t="str">
        <f t="shared" si="19"/>
        <v xml:space="preserve">            Weight,</v>
      </c>
      <c r="Z60" s="13" t="str">
        <f t="shared" si="17"/>
        <v>                    .AddWithValue("@InitiativeId", value.InitiativeId, SqlDbType.Int)</v>
      </c>
    </row>
    <row r="61" spans="12:26" x14ac:dyDescent="0.25">
      <c r="L61" s="22" t="str">
        <f t="shared" si="18"/>
        <v>@DeityId,</v>
      </c>
      <c r="T61" s="6" t="str">
        <f t="shared" si="20"/>
        <v xml:space="preserve">            Weight = weight;</v>
      </c>
      <c r="V61" s="16" t="str">
        <f t="shared" si="19"/>
        <v xml:space="preserve">            AlignmentId,</v>
      </c>
      <c r="Z61" s="13" t="str">
        <f t="shared" si="17"/>
        <v>                    .AddWithValue("@AbilitySetId", value.AbilitySetId, SqlDbType.Int)</v>
      </c>
    </row>
    <row r="62" spans="12:26" x14ac:dyDescent="0.25">
      <c r="L62" s="22" t="str">
        <f t="shared" si="18"/>
        <v>@InitiativeId,</v>
      </c>
      <c r="T62" s="6" t="str">
        <f t="shared" si="20"/>
        <v xml:space="preserve">            AlignmentId = alignmentId;</v>
      </c>
      <c r="V62" s="16" t="str">
        <f t="shared" si="19"/>
        <v xml:space="preserve">            DeityId</v>
      </c>
      <c r="Z62" s="13" t="str">
        <f t="shared" si="17"/>
        <v>                    .AddWithValue("@DefenseSetId", value.DefenseSetId, SqlDbType.Int);</v>
      </c>
    </row>
    <row r="63" spans="12:26" x14ac:dyDescent="0.25">
      <c r="L63" s="22" t="str">
        <f t="shared" si="18"/>
        <v>@AbilitySetId,</v>
      </c>
      <c r="T63" s="6" t="str">
        <f t="shared" si="20"/>
        <v xml:space="preserve">            DeityId = deityId;</v>
      </c>
      <c r="V63" s="16" t="str">
        <f t="shared" si="19"/>
        <v xml:space="preserve">            InitiativeId</v>
      </c>
      <c r="Z63" s="13" t="s">
        <v>104</v>
      </c>
    </row>
    <row r="64" spans="12:26" x14ac:dyDescent="0.25">
      <c r="L64" s="22" t="s">
        <v>43</v>
      </c>
      <c r="T64" s="6" t="str">
        <f t="shared" si="20"/>
        <v xml:space="preserve">            InitiativeId = initiativeId;</v>
      </c>
      <c r="V64" s="16" t="str">
        <f t="shared" si="19"/>
        <v xml:space="preserve">            AbilitySetId</v>
      </c>
    </row>
    <row r="65" spans="12:26" x14ac:dyDescent="0.25">
      <c r="T65" s="6" t="str">
        <f t="shared" si="20"/>
        <v xml:space="preserve">            AbilitySetId = abilitySetId;</v>
      </c>
      <c r="V65" s="16" t="s">
        <v>55</v>
      </c>
      <c r="Z65" s="13" t="s">
        <v>105</v>
      </c>
    </row>
    <row r="66" spans="12:26" x14ac:dyDescent="0.25">
      <c r="L66" s="22" t="str">
        <f>"SELECT @"&amp;B4&amp;" = SCOPE_IDENTITY()"</f>
        <v>SELECT @PlayerCharacterId = SCOPE_IDENTITY()</v>
      </c>
      <c r="V66" s="16" t="s">
        <v>56</v>
      </c>
    </row>
    <row r="67" spans="12:26" x14ac:dyDescent="0.25">
      <c r="T67" s="6" t="s">
        <v>55</v>
      </c>
      <c r="V67" s="16" t="s">
        <v>57</v>
      </c>
      <c r="Z67" s="13" t="str">
        <f>"                return new DataResult&lt;"&amp;C2&amp;"&gt;(value, result);"</f>
        <v>                return new DataResult&lt;PlayerCharacters&gt;(value, result);</v>
      </c>
    </row>
    <row r="68" spans="12:26" x14ac:dyDescent="0.25">
      <c r="L68" s="22" t="s">
        <v>45</v>
      </c>
      <c r="T68" s="6" t="s">
        <v>56</v>
      </c>
      <c r="Z68" s="13" t="s">
        <v>74</v>
      </c>
    </row>
    <row r="69" spans="12:26" x14ac:dyDescent="0.25">
      <c r="L69" s="22" t="s">
        <v>14</v>
      </c>
      <c r="T69" s="6" t="s">
        <v>57</v>
      </c>
      <c r="Z69" s="13" t="s">
        <v>55</v>
      </c>
    </row>
    <row r="71" spans="12:26" x14ac:dyDescent="0.25">
      <c r="Z71" s="13" t="str">
        <f>"        public DataResult&lt;"&amp;C2&amp;"&gt; Update("&amp;C2&amp;" value)"</f>
        <v xml:space="preserve">        public DataResult&lt;PlayerCharacters&gt; Update(PlayerCharacters value)</v>
      </c>
    </row>
    <row r="72" spans="12:26" x14ac:dyDescent="0.25">
      <c r="Z72" s="13" t="s">
        <v>54</v>
      </c>
    </row>
    <row r="73" spans="12:26" x14ac:dyDescent="0.25">
      <c r="Z73" s="13" t="str">
        <f>"            using (var command = UnitOfWork.CreateStoredProcedure("""&amp;B2&amp;".USP_"&amp;C2&amp;"_Update""))"</f>
        <v>            using (var command = UnitOfWork.CreateStoredProcedure("dbo.USP_PlayerCharacters_Update"))</v>
      </c>
    </row>
    <row r="74" spans="12:26" x14ac:dyDescent="0.25">
      <c r="Z74" s="13" t="s">
        <v>71</v>
      </c>
    </row>
    <row r="75" spans="12:26" x14ac:dyDescent="0.25">
      <c r="Z75" s="13" t="s">
        <v>72</v>
      </c>
    </row>
    <row r="76" spans="12:26" x14ac:dyDescent="0.25">
      <c r="Z76" s="13" t="e">
        <f t="shared" ref="Z76" si="21">IF(NOT(ISBLANK(B4)),"                    .AddWithValue(""@"&amp;B4&amp;""", value.Id,  SqlDbType.Int"&amp;")"&amp;IF(LEN(Z77)&gt;0,"",";"),"")</f>
        <v>#VALUE!</v>
      </c>
    </row>
    <row r="77" spans="12:26" x14ac:dyDescent="0.25">
      <c r="Z77" s="13" t="e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#VALUE!</v>
      </c>
    </row>
    <row r="78" spans="12:26" x14ac:dyDescent="0.25">
      <c r="Z78" s="13" t="e">
        <f t="shared" ref="Z78:Z90" si="22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#VALUE!</v>
      </c>
    </row>
    <row r="79" spans="12:26" x14ac:dyDescent="0.25">
      <c r="Z79" s="13" t="e">
        <f t="shared" si="22"/>
        <v>#VALUE!</v>
      </c>
    </row>
    <row r="80" spans="12:26" x14ac:dyDescent="0.25">
      <c r="Z80" s="13" t="e">
        <f t="shared" si="22"/>
        <v>#VALUE!</v>
      </c>
    </row>
    <row r="81" spans="26:26" x14ac:dyDescent="0.25">
      <c r="Z81" s="13" t="e">
        <f t="shared" si="22"/>
        <v>#VALUE!</v>
      </c>
    </row>
    <row r="82" spans="26:26" x14ac:dyDescent="0.25">
      <c r="Z82" s="13" t="e">
        <f t="shared" si="22"/>
        <v>#VALUE!</v>
      </c>
    </row>
    <row r="83" spans="26:26" x14ac:dyDescent="0.25">
      <c r="Z83" s="13" t="e">
        <f t="shared" si="22"/>
        <v>#VALUE!</v>
      </c>
    </row>
    <row r="84" spans="26:26" x14ac:dyDescent="0.25">
      <c r="Z84" s="13" t="e">
        <f t="shared" si="22"/>
        <v>#VALUE!</v>
      </c>
    </row>
    <row r="85" spans="26:26" x14ac:dyDescent="0.25">
      <c r="Z85" s="13" t="e">
        <f t="shared" si="22"/>
        <v>#VALUE!</v>
      </c>
    </row>
    <row r="86" spans="26:26" x14ac:dyDescent="0.25">
      <c r="Z86" s="13" t="e">
        <f t="shared" si="22"/>
        <v>#VALUE!</v>
      </c>
    </row>
    <row r="87" spans="26:26" x14ac:dyDescent="0.25">
      <c r="Z87" s="13" t="str">
        <f t="shared" si="22"/>
        <v>                    .AddWithValue("@Height", value.Height, SqlDbType.Varchar(50))</v>
      </c>
    </row>
    <row r="88" spans="26:26" x14ac:dyDescent="0.25">
      <c r="Z88" s="13" t="str">
        <f t="shared" si="22"/>
        <v>                    .AddWithValue("@Weight", value.Weight, SqlDbType.Varchar(50))</v>
      </c>
    </row>
    <row r="89" spans="26:26" x14ac:dyDescent="0.25">
      <c r="Z89" s="13" t="str">
        <f t="shared" si="22"/>
        <v>                    .AddWithValue("@AlignmentId", value.AlignmentId, SqlDbType.Int)</v>
      </c>
    </row>
    <row r="90" spans="26:26" x14ac:dyDescent="0.25">
      <c r="Z90" s="13" t="str">
        <f t="shared" si="22"/>
        <v>                    .AddWithValue("@DeityId", value.DeityId, SqlDbType.Int)</v>
      </c>
    </row>
    <row r="91" spans="26:26" x14ac:dyDescent="0.25">
      <c r="Z91" s="13" t="str">
        <f t="shared" ref="Z91:Z95" si="23">IF(NOT(ISBLANK(B19)),"                    .AddWithValue(""@"&amp;B19&amp;""", value.Id,  SqlDbType.Int"&amp;")"&amp;IF(LEN(Z92)&gt;0,"",";"),"")</f>
        <v>                    .AddWithValue("@InitiativeId", value.Id,  SqlDbType.Int)</v>
      </c>
    </row>
    <row r="92" spans="26:26" x14ac:dyDescent="0.25">
      <c r="Z92" s="13" t="str">
        <f t="shared" si="23"/>
        <v>                    .AddWithValue("@AbilitySetId", value.Id,  SqlDbType.Int)</v>
      </c>
    </row>
    <row r="93" spans="26:26" x14ac:dyDescent="0.25">
      <c r="Z93" s="13" t="str">
        <f t="shared" si="23"/>
        <v>                    .AddWithValue("@DefenseSetId", value.Id,  SqlDbType.Int)</v>
      </c>
    </row>
    <row r="94" spans="26:26" x14ac:dyDescent="0.25">
      <c r="Z94" s="13" t="str">
        <f t="shared" si="23"/>
        <v>                    .AddWithValue("@MovementSetId", value.Id,  SqlDbType.Int)</v>
      </c>
    </row>
    <row r="95" spans="26:26" x14ac:dyDescent="0.25">
      <c r="Z95" s="13" t="str">
        <f t="shared" si="23"/>
        <v>                    .AddWithValue("@SenseSetId", value.Id,  SqlDbType.Int)</v>
      </c>
    </row>
    <row r="96" spans="26:26" x14ac:dyDescent="0.25">
      <c r="Z96" s="13" t="s">
        <v>106</v>
      </c>
    </row>
    <row r="98" spans="26:26" x14ac:dyDescent="0.25">
      <c r="Z98" s="13" t="str">
        <f>"                return new DataResult&lt;"&amp;C2&amp;"&gt;(value, result);"</f>
        <v>                return new DataResult&lt;PlayerCharacters&gt;(value, result);</v>
      </c>
    </row>
    <row r="99" spans="26:26" x14ac:dyDescent="0.25">
      <c r="Z99" s="13" t="s">
        <v>74</v>
      </c>
    </row>
    <row r="100" spans="26:26" x14ac:dyDescent="0.25">
      <c r="Z100" s="13" t="s">
        <v>55</v>
      </c>
    </row>
    <row r="101" spans="26:26" x14ac:dyDescent="0.25">
      <c r="Z101" s="13" t="s">
        <v>56</v>
      </c>
    </row>
    <row r="102" spans="26:26" x14ac:dyDescent="0.25">
      <c r="Z102" s="13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zoomScaleNormal="100" workbookViewId="0">
      <selection activeCell="A23" sqref="A23"/>
    </sheetView>
  </sheetViews>
  <sheetFormatPr defaultRowHeight="15" x14ac:dyDescent="0.25"/>
  <cols>
    <col min="1" max="1" width="14" customWidth="1"/>
    <col min="2" max="2" width="2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4" customWidth="1"/>
    <col min="13" max="13" width="9.140625" style="14" customWidth="1"/>
    <col min="14" max="14" width="51.140625" style="18" customWidth="1"/>
    <col min="15" max="15" width="9.140625" customWidth="1"/>
    <col min="16" max="16" width="33.5703125" style="5" bestFit="1" customWidth="1"/>
    <col min="17" max="17" width="9.140625" customWidth="1"/>
    <col min="18" max="18" width="40.85546875" style="6" bestFit="1" customWidth="1"/>
    <col min="19" max="19" width="9.140625" style="14" customWidth="1"/>
    <col min="20" max="20" width="75.85546875" style="16" bestFit="1" customWidth="1"/>
    <col min="21" max="21" width="9.140625" customWidth="1"/>
    <col min="22" max="22" width="45.7109375" style="12" bestFit="1" customWidth="1"/>
    <col min="23" max="23" width="9.140625" customWidth="1"/>
    <col min="24" max="24" width="90.42578125" style="13" bestFit="1" customWidth="1"/>
  </cols>
  <sheetData>
    <row r="1" spans="1:42" x14ac:dyDescent="0.25">
      <c r="B1" s="1" t="s">
        <v>1</v>
      </c>
      <c r="C1" s="1" t="s">
        <v>2</v>
      </c>
      <c r="I1" s="7" t="s">
        <v>2</v>
      </c>
      <c r="J1" s="8"/>
      <c r="K1" s="7" t="s">
        <v>90</v>
      </c>
      <c r="L1" s="9"/>
      <c r="M1" s="15" t="s">
        <v>89</v>
      </c>
      <c r="N1" s="17"/>
      <c r="O1" s="7" t="s">
        <v>60</v>
      </c>
      <c r="P1" s="10"/>
      <c r="Q1" s="7" t="s">
        <v>61</v>
      </c>
      <c r="R1" s="11"/>
      <c r="S1" s="15" t="s">
        <v>83</v>
      </c>
      <c r="U1" s="7" t="s">
        <v>63</v>
      </c>
      <c r="W1" s="7" t="s">
        <v>62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t="s">
        <v>3</v>
      </c>
      <c r="B2" s="2" t="s">
        <v>93</v>
      </c>
      <c r="C2" s="2" t="s">
        <v>94</v>
      </c>
      <c r="J2" s="3" t="str">
        <f>A2&amp;" ["&amp;B2&amp;"].["&amp;C2&amp;"]"</f>
        <v>CREATE TABLE [Client].[InvoiceSettings]</v>
      </c>
      <c r="L2" s="4" t="str">
        <f>"CREATE PROCEDURE"&amp;" ["&amp;B2&amp;"].[USP_"&amp;C2&amp;"_CreateUpdate]"</f>
        <v>CREATE PROCEDURE [Client].[USP_InvoiceSettings_CreateUpdate]</v>
      </c>
      <c r="N2" s="18" t="str">
        <f>"CREATE PROCEDURE"&amp;" ["&amp;B2&amp;"].[USP_"&amp;C2&amp;"_Get]"</f>
        <v>CREATE PROCEDURE [Client].[USP_InvoiceSettings_Get]</v>
      </c>
      <c r="P2" s="5" t="s">
        <v>48</v>
      </c>
      <c r="R2" s="6" t="s">
        <v>48</v>
      </c>
      <c r="T2" s="16" t="s">
        <v>65</v>
      </c>
      <c r="V2" s="12" t="s">
        <v>64</v>
      </c>
      <c r="X2" s="13" t="s">
        <v>65</v>
      </c>
    </row>
    <row r="3" spans="1:42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4" t="str">
        <f>IF(NOT(ISBLANK(B4)),"@"&amp;B4&amp;" "&amp;UPPER(C4)&amp;" = NULL OUTPUT,","")</f>
        <v>@InvoiceSettingsId INT = NULL OUTPUT,</v>
      </c>
      <c r="N3" s="18" t="str">
        <f>"@"&amp;C2&amp;"Id"&amp;" INT"</f>
        <v>@InvoiceSettingsId INT</v>
      </c>
      <c r="P3" s="5" t="s">
        <v>49</v>
      </c>
      <c r="R3" s="6" t="s">
        <v>49</v>
      </c>
      <c r="T3" s="16" t="s">
        <v>48</v>
      </c>
      <c r="X3" s="13" t="s">
        <v>66</v>
      </c>
    </row>
    <row r="4" spans="1:42" x14ac:dyDescent="0.25">
      <c r="A4" s="1" t="s">
        <v>0</v>
      </c>
      <c r="B4" s="14" t="str">
        <f>C2&amp;"Id"</f>
        <v>InvoiceSettingsId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InvoiceSettingsId INT IDENTITY(1,1) CONSTRAINT InvoiceSettings_InvoiceSettingsId_PK PRIMARY KEY,</v>
      </c>
      <c r="L4" s="4" t="str">
        <f>IF(NOT(ISBLANK(B5)),"@"&amp;B5&amp;" "&amp;UPPER(C5)&amp;IF(NOT(ISBLANK(B6)),",",""),"")</f>
        <v>@Description VARCHAR(255)</v>
      </c>
      <c r="N4" s="18" t="s">
        <v>40</v>
      </c>
      <c r="P4" s="5" t="s">
        <v>50</v>
      </c>
      <c r="R4" s="6" t="s">
        <v>50</v>
      </c>
      <c r="T4" s="16" t="s">
        <v>69</v>
      </c>
      <c r="V4" s="12" t="str">
        <f>"namespace Dots.Domain.Repositories."&amp;B2</f>
        <v>namespace Dots.Domain.Repositories.Client</v>
      </c>
      <c r="X4" s="13" t="s">
        <v>67</v>
      </c>
    </row>
    <row r="5" spans="1:42" x14ac:dyDescent="0.25">
      <c r="B5" s="2" t="s">
        <v>38</v>
      </c>
      <c r="C5" s="2" t="s">
        <v>39</v>
      </c>
      <c r="D5" s="2"/>
      <c r="E5" s="2" t="b">
        <v>1</v>
      </c>
      <c r="F5" s="2"/>
      <c r="G5" t="str">
        <f>IF(UPPER(RIGHT(B5,2))="ID",B$2&amp;"."&amp;LEFT(B5,LEN(B5)-2)&amp;"("&amp;B5&amp;")","")</f>
        <v/>
      </c>
      <c r="H5" s="2"/>
      <c r="J5" s="3" t="str">
        <f t="shared" ref="J5:J20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Description VARCHAR(255) NOT NULL</v>
      </c>
      <c r="L5" s="4" t="str">
        <f t="shared" ref="L5:L19" si="1">IF(NOT(ISBLANK(B6)),"@"&amp;B6&amp;" "&amp;UPPER(C6)&amp;IF(NOT(ISBLANK(B7)),",",""),"")</f>
        <v/>
      </c>
      <c r="P5" s="5" t="s">
        <v>51</v>
      </c>
      <c r="R5" s="6" t="s">
        <v>51</v>
      </c>
      <c r="T5" s="16" t="s">
        <v>12</v>
      </c>
      <c r="V5" s="12" t="s">
        <v>52</v>
      </c>
      <c r="X5" s="13" t="s">
        <v>68</v>
      </c>
    </row>
    <row r="6" spans="1:42" x14ac:dyDescent="0.25">
      <c r="B6" s="2"/>
      <c r="C6" s="2"/>
      <c r="D6" s="2"/>
      <c r="E6" s="2"/>
      <c r="F6" s="2"/>
      <c r="G6" t="str">
        <f t="shared" ref="G6:G20" si="2">IF(UPPER(RIGHT(B6,2))="ID",B$2&amp;"."&amp;LEFT(B6,LEN(B6)-2)&amp;"("&amp;B6&amp;")","")</f>
        <v/>
      </c>
      <c r="H6" s="2"/>
      <c r="J6" s="3" t="str">
        <f t="shared" si="0"/>
        <v xml:space="preserve">     </v>
      </c>
      <c r="L6" s="4" t="str">
        <f t="shared" si="1"/>
        <v/>
      </c>
      <c r="N6" s="18" t="s">
        <v>91</v>
      </c>
      <c r="P6" s="5" t="s">
        <v>12</v>
      </c>
      <c r="R6" s="6" t="s">
        <v>12</v>
      </c>
      <c r="T6" s="16" t="s">
        <v>84</v>
      </c>
      <c r="V6" s="12" t="str">
        <f>"    public interface I"&amp;C2&amp;"Repository"</f>
        <v>    public interface IInvoiceSettingsRepository</v>
      </c>
      <c r="X6" s="13" t="s">
        <v>69</v>
      </c>
    </row>
    <row r="7" spans="1:42" x14ac:dyDescent="0.25">
      <c r="B7" s="2"/>
      <c r="C7" s="2"/>
      <c r="D7" s="2"/>
      <c r="E7" s="2"/>
      <c r="F7" s="2"/>
      <c r="G7" t="str">
        <f t="shared" si="2"/>
        <v/>
      </c>
      <c r="H7" s="2"/>
      <c r="J7" s="3" t="str">
        <f t="shared" si="0"/>
        <v xml:space="preserve">     </v>
      </c>
      <c r="L7" s="4" t="str">
        <f t="shared" si="1"/>
        <v/>
      </c>
      <c r="N7" s="18" t="str">
        <f>IF(NOT(ISBLANK(B4)),"    ["&amp;B4&amp;"]"&amp;IF(LEN(N8)&gt;0,",",""),"")</f>
        <v xml:space="preserve">    [InvoiceSettingsId],</v>
      </c>
      <c r="P7" s="5" t="str">
        <f>"namespace Dots.Domain."&amp;B2</f>
        <v>namespace Dots.Domain.Client</v>
      </c>
      <c r="R7" s="6" t="str">
        <f>"namespace Dots.Domain."&amp;B2</f>
        <v>namespace Dots.Domain.Client</v>
      </c>
      <c r="T7" s="16" t="s">
        <v>52</v>
      </c>
      <c r="V7" s="12" t="s">
        <v>53</v>
      </c>
      <c r="X7" s="13" t="s">
        <v>12</v>
      </c>
    </row>
    <row r="8" spans="1:42" x14ac:dyDescent="0.25">
      <c r="B8" s="2"/>
      <c r="C8" s="2"/>
      <c r="D8" s="2"/>
      <c r="E8" s="2"/>
      <c r="F8" s="2"/>
      <c r="G8" t="str">
        <f t="shared" si="2"/>
        <v/>
      </c>
      <c r="H8" s="2"/>
      <c r="J8" s="3" t="str">
        <f t="shared" si="0"/>
        <v xml:space="preserve">     </v>
      </c>
      <c r="L8" s="4" t="str">
        <f t="shared" si="1"/>
        <v/>
      </c>
      <c r="N8" s="18" t="str">
        <f t="shared" ref="N8:N22" si="3">IF(NOT(ISBLANK(B5)),"    ["&amp;B5&amp;"]"&amp;IF(LEN(N9)&gt;0,",",""),"")</f>
        <v xml:space="preserve">    [Description]</v>
      </c>
      <c r="P8" s="5" t="s">
        <v>52</v>
      </c>
      <c r="R8" s="6" t="s">
        <v>52</v>
      </c>
      <c r="T8" s="16" t="str">
        <f>"    public static class "&amp;C2&amp;"Helper"</f>
        <v>    public static class InvoiceSettingsHelper</v>
      </c>
      <c r="V8" s="12" t="str">
        <f>"        I"&amp;C2&amp;" Get(int "&amp;LOWER(C2)&amp;"Id);"</f>
        <v>        IInvoiceSettings Get(int invoicesettingsId);</v>
      </c>
      <c r="X8" s="13" t="str">
        <f>"namespace Dots.Domain.Repositories."&amp;B2</f>
        <v>namespace Dots.Domain.Repositories.Client</v>
      </c>
    </row>
    <row r="9" spans="1:42" x14ac:dyDescent="0.25">
      <c r="B9" s="2"/>
      <c r="C9" s="2"/>
      <c r="D9" s="2"/>
      <c r="E9" s="2"/>
      <c r="F9" s="2"/>
      <c r="G9" t="str">
        <f t="shared" si="2"/>
        <v/>
      </c>
      <c r="H9" s="2"/>
      <c r="J9" s="3" t="str">
        <f t="shared" si="0"/>
        <v xml:space="preserve">     </v>
      </c>
      <c r="L9" s="4" t="str">
        <f t="shared" si="1"/>
        <v/>
      </c>
      <c r="N9" s="18" t="str">
        <f t="shared" si="3"/>
        <v/>
      </c>
      <c r="P9" s="5" t="str">
        <f>"    public interface I"&amp;C2&amp;" : IEntity"</f>
        <v>    public interface IInvoiceSettings : IEntity</v>
      </c>
      <c r="R9" s="6" t="str">
        <f>"    public class "&amp;C2&amp;" : I"&amp;C2</f>
        <v>    public class InvoiceSettings : IInvoiceSettings</v>
      </c>
      <c r="T9" s="16" t="s">
        <v>53</v>
      </c>
      <c r="V9" s="12" t="s">
        <v>12</v>
      </c>
      <c r="X9" s="13" t="s">
        <v>52</v>
      </c>
    </row>
    <row r="10" spans="1:42" x14ac:dyDescent="0.25">
      <c r="B10" s="2"/>
      <c r="C10" s="2"/>
      <c r="D10" s="2"/>
      <c r="E10" s="2"/>
      <c r="F10" s="2"/>
      <c r="G10" t="str">
        <f t="shared" si="2"/>
        <v/>
      </c>
      <c r="H10" s="2"/>
      <c r="J10" s="3" t="str">
        <f t="shared" si="0"/>
        <v xml:space="preserve">     </v>
      </c>
      <c r="L10" s="4" t="str">
        <f t="shared" si="1"/>
        <v/>
      </c>
      <c r="N10" s="18" t="str">
        <f t="shared" si="3"/>
        <v/>
      </c>
      <c r="P10" s="5" t="s">
        <v>53</v>
      </c>
      <c r="R10" s="6" t="s">
        <v>53</v>
      </c>
      <c r="T10" s="16" t="str">
        <f>"        public static I"&amp;C2&amp;" ParseReader(IDataReader reader)"</f>
        <v>        public static IInvoiceSettings ParseReader(IDataReader reader)</v>
      </c>
      <c r="V10" s="12" t="str">
        <f>"        DataResult&lt;I"&amp;C2&amp;"&gt; Save(I"&amp;C2&amp;" "&amp;LOWER(C2)&amp;");"</f>
        <v>        DataResult&lt;IInvoiceSettings&gt; Save(IInvoiceSettings invoicesettings);</v>
      </c>
      <c r="X10" s="13" t="str">
        <f>"    public class Sql"&amp;C2&amp;"Repository : Repository&lt;I"&amp;C2&amp;"&gt;, I"&amp;C2&amp;"Repository"</f>
        <v>    public class SqlInvoiceSettingsRepository : Repository&lt;IInvoiceSettings&gt;, IInvoiceSettingsRepository</v>
      </c>
    </row>
    <row r="11" spans="1:42" x14ac:dyDescent="0.25">
      <c r="B11" s="2"/>
      <c r="C11" s="2"/>
      <c r="D11" s="2"/>
      <c r="E11" s="2"/>
      <c r="F11" s="2"/>
      <c r="G11" t="str">
        <f t="shared" si="2"/>
        <v/>
      </c>
      <c r="H11" s="2"/>
      <c r="J11" s="3" t="str">
        <f t="shared" si="0"/>
        <v xml:space="preserve">     </v>
      </c>
      <c r="L11" s="4" t="str">
        <f t="shared" si="1"/>
        <v/>
      </c>
      <c r="N11" s="18" t="str">
        <f t="shared" si="3"/>
        <v/>
      </c>
      <c r="R11" s="6" t="s">
        <v>59</v>
      </c>
      <c r="T11" s="16" t="s">
        <v>54</v>
      </c>
      <c r="V11" s="12" t="s">
        <v>56</v>
      </c>
      <c r="X11" s="13" t="s">
        <v>53</v>
      </c>
    </row>
    <row r="12" spans="1:42" x14ac:dyDescent="0.25">
      <c r="B12" s="2"/>
      <c r="C12" s="2"/>
      <c r="D12" s="2"/>
      <c r="E12" s="2"/>
      <c r="F12" s="2"/>
      <c r="G12" t="str">
        <f t="shared" si="2"/>
        <v/>
      </c>
      <c r="H12" s="2"/>
      <c r="J12" s="3" t="str">
        <f t="shared" si="0"/>
        <v xml:space="preserve">     </v>
      </c>
      <c r="L12" s="4" t="str">
        <f t="shared" si="1"/>
        <v/>
      </c>
      <c r="N12" s="18" t="str">
        <f t="shared" si="3"/>
        <v/>
      </c>
      <c r="O12" t="str">
        <f t="shared" ref="O12:O27" si="4">IF(NOT(ISBLANK(C5)),C5,"")</f>
        <v>varchar(255)</v>
      </c>
      <c r="P12" s="5" t="str">
        <f t="shared" ref="P12:P27" si="5">IF(NOT(ISBLANK(C5)),"        "&amp;IF(ISBLANK(Q12),C5,Q12)&amp;" "&amp;B5&amp;" { get; set; }","")</f>
        <v xml:space="preserve">        varchar(255) Description { get; set; }</v>
      </c>
      <c r="R12" s="6" t="str">
        <f t="shared" ref="R12:R27" si="6">IF(LEN(P12)&gt;0,"        public "&amp;TRIM(P12),"")</f>
        <v xml:space="preserve">        public varchar(255) Description { get; set; }</v>
      </c>
      <c r="T12" s="16" t="str">
        <f>"            return new "&amp;C2&amp;"("</f>
        <v>            return new InvoiceSettings(</v>
      </c>
      <c r="V12" s="12" t="s">
        <v>57</v>
      </c>
      <c r="X12" s="13" t="str">
        <f>"        public Sql"&amp;C2&amp;"Repository(IUnitOfWork unitOfWork)"</f>
        <v>        public SqlInvoiceSettingsRepository(IUnitOfWork unitOfWork)</v>
      </c>
    </row>
    <row r="13" spans="1:42" x14ac:dyDescent="0.25">
      <c r="B13" s="2"/>
      <c r="C13" s="2"/>
      <c r="D13" s="2"/>
      <c r="E13" s="2"/>
      <c r="F13" s="2"/>
      <c r="G13" t="str">
        <f t="shared" si="2"/>
        <v/>
      </c>
      <c r="H13" s="2"/>
      <c r="J13" s="3" t="str">
        <f t="shared" si="0"/>
        <v xml:space="preserve">     </v>
      </c>
      <c r="L13" s="4" t="str">
        <f t="shared" si="1"/>
        <v/>
      </c>
      <c r="N13" s="18" t="str">
        <f t="shared" si="3"/>
        <v/>
      </c>
      <c r="O13" t="str">
        <f t="shared" si="4"/>
        <v/>
      </c>
      <c r="P13" s="5" t="str">
        <f t="shared" si="5"/>
        <v/>
      </c>
      <c r="R13" s="6" t="str">
        <f t="shared" si="6"/>
        <v/>
      </c>
      <c r="T13" s="16" t="str">
        <f>"                reader.Get&lt;int&gt;("&amp;C2&amp;"Col.Id),"</f>
        <v xml:space="preserve">                reader.Get&lt;int&gt;(InvoiceSettingsCol.Id),</v>
      </c>
      <c r="X13" s="13" t="s">
        <v>70</v>
      </c>
    </row>
    <row r="14" spans="1:42" x14ac:dyDescent="0.25">
      <c r="B14" s="2"/>
      <c r="C14" s="2"/>
      <c r="D14" s="2"/>
      <c r="E14" s="2"/>
      <c r="F14" s="2"/>
      <c r="G14" t="str">
        <f t="shared" si="2"/>
        <v/>
      </c>
      <c r="H14" s="2"/>
      <c r="J14" s="3" t="str">
        <f t="shared" si="0"/>
        <v xml:space="preserve">     </v>
      </c>
      <c r="L14" s="4" t="str">
        <f t="shared" si="1"/>
        <v/>
      </c>
      <c r="N14" s="18" t="str">
        <f t="shared" si="3"/>
        <v/>
      </c>
      <c r="O14" t="str">
        <f t="shared" si="4"/>
        <v/>
      </c>
      <c r="P14" s="5" t="str">
        <f t="shared" si="5"/>
        <v/>
      </c>
      <c r="R14" s="6" t="str">
        <f t="shared" si="6"/>
        <v/>
      </c>
      <c r="T14" s="16" t="str">
        <f t="shared" ref="T14:T29" si="7">IF(LEN(Q12)&gt;0,"                reader.Get&lt;"&amp;Q12&amp;"&gt;("&amp;C$2&amp;"Col."&amp;B5&amp;")"&amp;IF(LEN(T15)&gt;0,",",""),"")</f>
        <v/>
      </c>
      <c r="X14" s="13" t="s">
        <v>54</v>
      </c>
    </row>
    <row r="15" spans="1:42" x14ac:dyDescent="0.25">
      <c r="B15" s="2"/>
      <c r="C15" s="2"/>
      <c r="D15" s="2"/>
      <c r="E15" s="2"/>
      <c r="F15" s="2"/>
      <c r="G15" t="str">
        <f t="shared" si="2"/>
        <v/>
      </c>
      <c r="H15" s="2"/>
      <c r="J15" s="3" t="str">
        <f t="shared" si="0"/>
        <v xml:space="preserve">     </v>
      </c>
      <c r="L15" s="4" t="str">
        <f t="shared" si="1"/>
        <v/>
      </c>
      <c r="N15" s="18" t="str">
        <f t="shared" si="3"/>
        <v/>
      </c>
      <c r="O15" t="str">
        <f t="shared" si="4"/>
        <v/>
      </c>
      <c r="P15" s="5" t="str">
        <f t="shared" si="5"/>
        <v/>
      </c>
      <c r="R15" s="6" t="str">
        <f t="shared" si="6"/>
        <v/>
      </c>
      <c r="T15" s="16" t="str">
        <f t="shared" si="7"/>
        <v/>
      </c>
      <c r="X15" s="13" t="s">
        <v>55</v>
      </c>
    </row>
    <row r="16" spans="1:42" x14ac:dyDescent="0.25">
      <c r="B16" s="2"/>
      <c r="C16" s="2"/>
      <c r="D16" s="2"/>
      <c r="E16" s="2"/>
      <c r="F16" s="2"/>
      <c r="G16" t="str">
        <f t="shared" si="2"/>
        <v/>
      </c>
      <c r="H16" s="2"/>
      <c r="J16" s="3" t="str">
        <f t="shared" si="0"/>
        <v xml:space="preserve">     </v>
      </c>
      <c r="L16" s="4" t="str">
        <f t="shared" si="1"/>
        <v/>
      </c>
      <c r="N16" s="18" t="str">
        <f t="shared" si="3"/>
        <v/>
      </c>
      <c r="O16" t="str">
        <f t="shared" si="4"/>
        <v/>
      </c>
      <c r="P16" s="5" t="str">
        <f t="shared" si="5"/>
        <v/>
      </c>
      <c r="R16" s="6" t="str">
        <f t="shared" si="6"/>
        <v/>
      </c>
      <c r="T16" s="16" t="str">
        <f t="shared" si="7"/>
        <v/>
      </c>
    </row>
    <row r="17" spans="1:24" x14ac:dyDescent="0.25">
      <c r="B17" s="2"/>
      <c r="C17" s="2"/>
      <c r="D17" s="2"/>
      <c r="E17" s="2"/>
      <c r="F17" s="2"/>
      <c r="G17" t="str">
        <f t="shared" si="2"/>
        <v/>
      </c>
      <c r="H17" s="2"/>
      <c r="J17" s="3" t="str">
        <f t="shared" si="0"/>
        <v xml:space="preserve">     </v>
      </c>
      <c r="L17" s="4" t="str">
        <f t="shared" si="1"/>
        <v/>
      </c>
      <c r="N17" s="18" t="str">
        <f t="shared" si="3"/>
        <v/>
      </c>
      <c r="O17" t="str">
        <f t="shared" si="4"/>
        <v/>
      </c>
      <c r="P17" s="5" t="str">
        <f t="shared" si="5"/>
        <v/>
      </c>
      <c r="R17" s="6" t="str">
        <f t="shared" si="6"/>
        <v/>
      </c>
      <c r="T17" s="16" t="str">
        <f t="shared" si="7"/>
        <v/>
      </c>
      <c r="X17" s="13" t="str">
        <f>"        protected override I"&amp;C2&amp;" Map(IDataReader reader)"</f>
        <v xml:space="preserve">        protected override IInvoiceSettings Map(IDataReader reader)</v>
      </c>
    </row>
    <row r="18" spans="1:24" x14ac:dyDescent="0.25">
      <c r="B18" s="2"/>
      <c r="C18" s="2"/>
      <c r="D18" s="2"/>
      <c r="E18" s="2"/>
      <c r="F18" s="2"/>
      <c r="G18" t="str">
        <f t="shared" si="2"/>
        <v/>
      </c>
      <c r="H18" s="2"/>
      <c r="J18" s="3" t="str">
        <f t="shared" si="0"/>
        <v xml:space="preserve">     </v>
      </c>
      <c r="L18" s="4" t="str">
        <f t="shared" si="1"/>
        <v/>
      </c>
      <c r="N18" s="18" t="str">
        <f t="shared" si="3"/>
        <v/>
      </c>
      <c r="O18" t="str">
        <f t="shared" si="4"/>
        <v/>
      </c>
      <c r="P18" s="5" t="str">
        <f t="shared" si="5"/>
        <v/>
      </c>
      <c r="R18" s="6" t="str">
        <f t="shared" si="6"/>
        <v/>
      </c>
      <c r="T18" s="16" t="str">
        <f t="shared" si="7"/>
        <v/>
      </c>
      <c r="X18" s="13" t="s">
        <v>81</v>
      </c>
    </row>
    <row r="19" spans="1:24" x14ac:dyDescent="0.25">
      <c r="B19" s="2"/>
      <c r="C19" s="2"/>
      <c r="D19" s="2"/>
      <c r="E19" s="2"/>
      <c r="F19" s="2"/>
      <c r="G19" t="str">
        <f t="shared" si="2"/>
        <v/>
      </c>
      <c r="H19" s="2"/>
      <c r="J19" s="3" t="str">
        <f t="shared" si="0"/>
        <v xml:space="preserve">     </v>
      </c>
      <c r="L19" s="4" t="str">
        <f t="shared" si="1"/>
        <v/>
      </c>
      <c r="N19" s="18" t="str">
        <f t="shared" si="3"/>
        <v/>
      </c>
      <c r="O19" t="str">
        <f t="shared" si="4"/>
        <v/>
      </c>
      <c r="P19" s="5" t="str">
        <f t="shared" si="5"/>
        <v/>
      </c>
      <c r="R19" s="6" t="str">
        <f t="shared" si="6"/>
        <v/>
      </c>
      <c r="T19" s="16" t="str">
        <f t="shared" si="7"/>
        <v/>
      </c>
      <c r="X19" s="13" t="str">
        <f>"           return "&amp;C2&amp;"Helper.ParseReader(reader);"</f>
        <v>           return InvoiceSettingsHelper.ParseReader(reader);</v>
      </c>
    </row>
    <row r="20" spans="1:24" x14ac:dyDescent="0.25">
      <c r="B20" s="2"/>
      <c r="C20" s="2"/>
      <c r="D20" s="2"/>
      <c r="E20" s="2"/>
      <c r="F20" s="2"/>
      <c r="G20" t="str">
        <f t="shared" si="2"/>
        <v/>
      </c>
      <c r="H20" s="2"/>
      <c r="J20" s="3" t="str">
        <f t="shared" si="0"/>
        <v xml:space="preserve">     </v>
      </c>
      <c r="L20" s="4" t="s">
        <v>40</v>
      </c>
      <c r="N20" s="18" t="str">
        <f t="shared" si="3"/>
        <v/>
      </c>
      <c r="O20" t="str">
        <f t="shared" si="4"/>
        <v/>
      </c>
      <c r="P20" s="5" t="str">
        <f t="shared" si="5"/>
        <v/>
      </c>
      <c r="R20" s="6" t="str">
        <f t="shared" si="6"/>
        <v/>
      </c>
      <c r="T20" s="16" t="str">
        <f t="shared" si="7"/>
        <v/>
      </c>
      <c r="X20" s="13" t="s">
        <v>82</v>
      </c>
    </row>
    <row r="21" spans="1:24" x14ac:dyDescent="0.25">
      <c r="A21" t="s">
        <v>9</v>
      </c>
      <c r="J21" s="3" t="str">
        <f>A21</f>
        <v>);</v>
      </c>
      <c r="N21" s="18" t="str">
        <f t="shared" si="3"/>
        <v/>
      </c>
      <c r="O21" t="str">
        <f t="shared" si="4"/>
        <v/>
      </c>
      <c r="P21" s="5" t="str">
        <f t="shared" si="5"/>
        <v/>
      </c>
      <c r="R21" s="6" t="str">
        <f t="shared" si="6"/>
        <v/>
      </c>
      <c r="T21" s="16" t="str">
        <f t="shared" si="7"/>
        <v/>
      </c>
    </row>
    <row r="22" spans="1:24" x14ac:dyDescent="0.25">
      <c r="L22" s="4" t="s">
        <v>41</v>
      </c>
      <c r="N22" s="18" t="str">
        <f t="shared" si="3"/>
        <v/>
      </c>
      <c r="O22" t="str">
        <f t="shared" si="4"/>
        <v/>
      </c>
      <c r="P22" s="5" t="str">
        <f t="shared" si="5"/>
        <v/>
      </c>
      <c r="R22" s="6" t="str">
        <f t="shared" si="6"/>
        <v/>
      </c>
      <c r="T22" s="16" t="str">
        <f t="shared" si="7"/>
        <v/>
      </c>
      <c r="X22" s="13" t="str">
        <f>"        public I"&amp;C2&amp;" Get(int "&amp;LOWER(C2)&amp;"Id)"</f>
        <v>        public IInvoiceSettings Get(int invoicesettingsId)</v>
      </c>
    </row>
    <row r="23" spans="1:24" x14ac:dyDescent="0.25">
      <c r="A23" t="s">
        <v>10</v>
      </c>
      <c r="J23" s="3" t="str">
        <f t="shared" ref="J23" si="8">A23</f>
        <v>GO</v>
      </c>
      <c r="L23" s="4" t="str">
        <f>"SELECT "&amp;B4</f>
        <v>SELECT InvoiceSettingsId</v>
      </c>
      <c r="O23" t="str">
        <f t="shared" si="4"/>
        <v/>
      </c>
      <c r="P23" s="5" t="str">
        <f t="shared" si="5"/>
        <v/>
      </c>
      <c r="R23" s="6" t="str">
        <f t="shared" si="6"/>
        <v/>
      </c>
      <c r="T23" s="16" t="str">
        <f t="shared" si="7"/>
        <v/>
      </c>
      <c r="X23" s="13" t="s">
        <v>54</v>
      </c>
    </row>
    <row r="24" spans="1:24" x14ac:dyDescent="0.25">
      <c r="L24" s="4" t="str">
        <f>"FROM "&amp;B2&amp;"."&amp;C2</f>
        <v>FROM Client.InvoiceSettings</v>
      </c>
      <c r="N24" s="18" t="s">
        <v>92</v>
      </c>
      <c r="O24" t="str">
        <f t="shared" si="4"/>
        <v/>
      </c>
      <c r="P24" s="5" t="str">
        <f t="shared" si="5"/>
        <v/>
      </c>
      <c r="R24" s="6" t="str">
        <f t="shared" si="6"/>
        <v/>
      </c>
      <c r="T24" s="16" t="str">
        <f t="shared" si="7"/>
        <v/>
      </c>
      <c r="X24" s="13" t="str">
        <f>"            using (var command = UnitOfWork.CreateStoredProcedure("""&amp;B2&amp;".USP_"&amp;C2&amp;"_Get""))"</f>
        <v>            using (var command = UnitOfWork.CreateStoredProcedure("Client.USP_InvoiceSettings_Get"))</v>
      </c>
    </row>
    <row r="25" spans="1:24" x14ac:dyDescent="0.25">
      <c r="A25" t="s">
        <v>33</v>
      </c>
      <c r="B25" t="str">
        <f>B2</f>
        <v>Client</v>
      </c>
      <c r="C25" t="str">
        <f>"Trigger_"&amp;C2&amp;"_AuditData"</f>
        <v>Trigger_InvoiceSettings_AuditData</v>
      </c>
      <c r="J25" s="3" t="str">
        <f>A25&amp;" ["&amp;B25&amp;"].["&amp;C25&amp;"] ON ["&amp;B2&amp;"].["&amp;C2&amp;"]"</f>
        <v>CREATE TRIGGER [Client].[Trigger_InvoiceSettings_AuditData] ON [Client].[InvoiceSettings]</v>
      </c>
      <c r="L25" s="4" t="s">
        <v>42</v>
      </c>
      <c r="N25" s="18" t="str">
        <f>"    "&amp;B2&amp;"."&amp;C2</f>
        <v xml:space="preserve">    Client.InvoiceSettings</v>
      </c>
      <c r="O25" t="str">
        <f t="shared" si="4"/>
        <v/>
      </c>
      <c r="P25" s="5" t="str">
        <f t="shared" si="5"/>
        <v/>
      </c>
      <c r="R25" s="6" t="str">
        <f t="shared" si="6"/>
        <v/>
      </c>
      <c r="T25" s="16" t="str">
        <f t="shared" si="7"/>
        <v/>
      </c>
      <c r="X25" s="13" t="s">
        <v>71</v>
      </c>
    </row>
    <row r="26" spans="1:24" x14ac:dyDescent="0.25">
      <c r="A26" t="s">
        <v>15</v>
      </c>
      <c r="J26" s="3" t="str">
        <f>A26</f>
        <v>    FOR DELETE, INSERT, UPDATE AS</v>
      </c>
      <c r="L26" s="4" t="str">
        <f>IF(NOT(ISBLANK(B4)),"["&amp;B4&amp;"] = ISNULL(@"&amp;B4&amp;", 0)","")</f>
        <v>[InvoiceSettingsId] = ISNULL(@InvoiceSettingsId, 0)</v>
      </c>
      <c r="N26" s="18" t="s">
        <v>42</v>
      </c>
      <c r="O26" t="str">
        <f t="shared" si="4"/>
        <v/>
      </c>
      <c r="P26" s="5" t="str">
        <f t="shared" si="5"/>
        <v/>
      </c>
      <c r="R26" s="6" t="str">
        <f t="shared" si="6"/>
        <v/>
      </c>
      <c r="T26" s="16" t="str">
        <f t="shared" si="7"/>
        <v/>
      </c>
      <c r="X26" s="13" t="s">
        <v>72</v>
      </c>
    </row>
    <row r="27" spans="1:24" x14ac:dyDescent="0.25">
      <c r="A27" t="s">
        <v>11</v>
      </c>
      <c r="J27" s="3" t="str">
        <f t="shared" ref="J27:J74" si="9">A27</f>
        <v>BEGIN</v>
      </c>
      <c r="L27" s="4" t="s">
        <v>43</v>
      </c>
      <c r="N27" s="18" t="str">
        <f>"    "&amp;B4&amp;" = @"&amp;B4</f>
        <v xml:space="preserve">    InvoiceSettingsId = @InvoiceSettingsId</v>
      </c>
      <c r="O27" t="str">
        <f t="shared" si="4"/>
        <v/>
      </c>
      <c r="P27" s="5" t="str">
        <f t="shared" si="5"/>
        <v/>
      </c>
      <c r="R27" s="6" t="str">
        <f t="shared" si="6"/>
        <v/>
      </c>
      <c r="T27" s="16" t="str">
        <f t="shared" si="7"/>
        <v/>
      </c>
      <c r="X27" s="13" t="str">
        <f>"                    .AddWithValue(""@"&amp;C2&amp;"Id"", "&amp;LOWER(C2)&amp;"Id, DbType.Int32);"</f>
        <v>                    .AddWithValue("@InvoiceSettingsId", invoicesettingsId, DbType.Int32);</v>
      </c>
    </row>
    <row r="28" spans="1:24" x14ac:dyDescent="0.25">
      <c r="A28" t="s">
        <v>16</v>
      </c>
      <c r="J28" s="3" t="str">
        <f t="shared" si="9"/>
        <v xml:space="preserve">        SET NoCount ON</v>
      </c>
      <c r="L28" s="4" t="s">
        <v>11</v>
      </c>
      <c r="P28" s="5" t="s">
        <v>58</v>
      </c>
      <c r="T28" s="16" t="str">
        <f t="shared" si="7"/>
        <v/>
      </c>
    </row>
    <row r="29" spans="1:24" x14ac:dyDescent="0.25">
      <c r="A29" t="s">
        <v>12</v>
      </c>
      <c r="J29" s="3" t="str">
        <f t="shared" si="9"/>
        <v xml:space="preserve"> </v>
      </c>
      <c r="L29" s="4" t="str">
        <f>"INSERT INTO "&amp;B2&amp;"."&amp;C2&amp;" ("</f>
        <v>INSERT INTO Client.InvoiceSettings (</v>
      </c>
      <c r="P29" s="5" t="s">
        <v>57</v>
      </c>
      <c r="R29" s="6" t="str">
        <f>"        public "&amp;C2&amp;"("</f>
        <v>        public InvoiceSettings(</v>
      </c>
      <c r="T29" s="16" t="str">
        <f t="shared" si="7"/>
        <v/>
      </c>
      <c r="X29" s="13" t="s">
        <v>73</v>
      </c>
    </row>
    <row r="30" spans="1:24" x14ac:dyDescent="0.25">
      <c r="A30" t="s">
        <v>17</v>
      </c>
      <c r="J30" s="3" t="str">
        <f t="shared" si="9"/>
        <v xml:space="preserve">        DECLARE @Token UNIQUEIDENTIFIER;</v>
      </c>
      <c r="L30" s="4" t="str">
        <f>IF(NOT(ISBLANK(B5)),"["&amp;B5&amp;"]"&amp;IF(NOT(ISBLANK(B6)),",",""),"")</f>
        <v>[Description]</v>
      </c>
      <c r="R30" s="6" t="str">
        <f>IF(NOT(ISBLANK(B4)),"            int"&amp;" "&amp;LOWER(LEFT(B4,1))&amp;MID(B4,2,LEN(B4)-1)&amp;IF(LEN(R31)&gt;0,",",""),"")</f>
        <v xml:space="preserve">            int invoiceSettingsId,</v>
      </c>
      <c r="X30" s="13" t="s">
        <v>74</v>
      </c>
    </row>
    <row r="31" spans="1:24" x14ac:dyDescent="0.25">
      <c r="A31" t="s">
        <v>18</v>
      </c>
      <c r="J31" s="3" t="str">
        <f t="shared" si="9"/>
        <v xml:space="preserve">        EXEC [Audit].USP_ContextInfo_Get @Token OUTPUT</v>
      </c>
      <c r="L31" s="4" t="str">
        <f t="shared" ref="L31:L45" si="10">IF(NOT(ISBLANK(B6)),"["&amp;B6&amp;"]"&amp;IF(NOT(ISBLANK(B7)),",",""),"")</f>
        <v/>
      </c>
      <c r="R31" s="6" t="str">
        <f t="shared" ref="R31:R46" si="11">IF(NOT(ISBLANK(B5)),"            "&amp;Q12&amp;" "&amp;LOWER(LEFT(B5,1))&amp;MID(B5,2,LEN(B5)-1)&amp;IF(LEN(R32)&gt;0,",",""),"")</f>
        <v xml:space="preserve">             description</v>
      </c>
      <c r="T31" s="16" t="s">
        <v>85</v>
      </c>
      <c r="X31" s="13" t="s">
        <v>55</v>
      </c>
    </row>
    <row r="32" spans="1:24" x14ac:dyDescent="0.25">
      <c r="A32" t="s">
        <v>12</v>
      </c>
      <c r="J32" s="3" t="str">
        <f t="shared" si="9"/>
        <v xml:space="preserve"> </v>
      </c>
      <c r="L32" s="4" t="str">
        <f t="shared" si="10"/>
        <v/>
      </c>
      <c r="R32" s="6" t="str">
        <f t="shared" si="11"/>
        <v/>
      </c>
      <c r="T32" s="16" t="s">
        <v>55</v>
      </c>
    </row>
    <row r="33" spans="1:24" x14ac:dyDescent="0.25">
      <c r="A33" t="s">
        <v>19</v>
      </c>
      <c r="J33" s="3" t="str">
        <f t="shared" si="9"/>
        <v xml:space="preserve">        -- Detect inserts</v>
      </c>
      <c r="L33" s="4" t="str">
        <f t="shared" si="10"/>
        <v/>
      </c>
      <c r="R33" s="6" t="str">
        <f t="shared" si="11"/>
        <v/>
      </c>
      <c r="T33" s="16" t="s">
        <v>12</v>
      </c>
      <c r="X33" s="13" t="str">
        <f>"        public DataResult&lt;I"&amp;C2&amp;"&gt; Save(I"&amp;C2&amp;" value)"</f>
        <v xml:space="preserve">        public DataResult&lt;IInvoiceSettings&gt; Save(IInvoiceSettings value)</v>
      </c>
    </row>
    <row r="34" spans="1:24" x14ac:dyDescent="0.25">
      <c r="A34" t="s">
        <v>20</v>
      </c>
      <c r="J34" s="3" t="str">
        <f t="shared" si="9"/>
        <v xml:space="preserve">        IF EXISTS (select * from inserted) AND NOT EXISTS (select * from deleted)</v>
      </c>
      <c r="L34" s="4" t="str">
        <f t="shared" si="10"/>
        <v/>
      </c>
      <c r="R34" s="6" t="str">
        <f t="shared" si="11"/>
        <v/>
      </c>
      <c r="T34" s="16" t="str">
        <f>"        public static IEnumerable&lt;I"&amp;C2&amp;"&gt; ParseMultipleReader(IDataReader reader)"</f>
        <v>        public static IEnumerable&lt;IInvoiceSettings&gt; ParseMultipleReader(IDataReader reader)</v>
      </c>
      <c r="X34" s="13" t="s">
        <v>54</v>
      </c>
    </row>
    <row r="35" spans="1:24" x14ac:dyDescent="0.25">
      <c r="A35" t="s">
        <v>21</v>
      </c>
      <c r="J35" s="3" t="str">
        <f t="shared" si="9"/>
        <v xml:space="preserve">        BEGIN</v>
      </c>
      <c r="L35" s="4" t="str">
        <f t="shared" si="10"/>
        <v/>
      </c>
      <c r="R35" s="6" t="str">
        <f t="shared" si="11"/>
        <v/>
      </c>
      <c r="T35" s="16" t="s">
        <v>54</v>
      </c>
      <c r="X35" s="13" t="str">
        <f>"            using (var command = UnitOfWork.CreateStoredProcedure("""&amp;B2&amp;".USP_"&amp;C2&amp;"_Save""))"</f>
        <v>            using (var command = UnitOfWork.CreateStoredProcedure("Client.USP_InvoiceSettings_Save"))</v>
      </c>
    </row>
    <row r="36" spans="1:24" x14ac:dyDescent="0.25">
      <c r="A36" t="str">
        <f>"        INSERT ["&amp;B$2&amp;"].[AuditData] (ChangeType, ChangeToken, SchemaName, ObjectName, RecordId, Record)"</f>
        <v xml:space="preserve">        INSERT [Client].[AuditData] (ChangeType, ChangeToken, SchemaName, ObjectName, RecordId, Record)</v>
      </c>
      <c r="J36" s="3" t="str">
        <f t="shared" si="9"/>
        <v xml:space="preserve">        INSERT [Client].[AuditData] (ChangeType, ChangeToken, SchemaName, ObjectName, RecordId, Record)</v>
      </c>
      <c r="L36" s="4" t="str">
        <f t="shared" si="10"/>
        <v/>
      </c>
      <c r="R36" s="6" t="str">
        <f t="shared" si="11"/>
        <v/>
      </c>
      <c r="T36" s="16" t="str">
        <f>"            var "&amp;LOWER(LEFT(C2,1))&amp;MID(C2,2,LEN(C2)-1)&amp;"s = new List&lt;I"&amp;C2&amp;"&gt;();"</f>
        <v>            var invoiceSettingss = new List&lt;IInvoiceSettings&gt;();</v>
      </c>
      <c r="X36" s="13" t="s">
        <v>71</v>
      </c>
    </row>
    <row r="37" spans="1:24" x14ac:dyDescent="0.25">
      <c r="A37" t="str">
        <f>"        SELECT 'INSERT', @Token, '["&amp;B$2&amp;"]', '["&amp;C$2&amp;"]', P."&amp;B$4&amp;", DATA = ("</f>
        <v xml:space="preserve">        SELECT 'INSERT', @Token, '[Client]', '[InvoiceSettings]', P.InvoiceSettingsId, DATA = (</v>
      </c>
      <c r="J37" s="3" t="str">
        <f t="shared" si="9"/>
        <v xml:space="preserve">        SELECT 'INSERT', @Token, '[Client]', '[InvoiceSettings]', P.InvoiceSettingsId, DATA = (</v>
      </c>
      <c r="L37" s="4" t="str">
        <f t="shared" si="10"/>
        <v/>
      </c>
      <c r="R37" s="6" t="str">
        <f t="shared" si="11"/>
        <v/>
      </c>
      <c r="T37" s="16" t="s">
        <v>12</v>
      </c>
      <c r="X37" s="13" t="str">
        <f>"                var idParameter = command.AddOutput(""@"&amp;C2&amp;"Id"", DbType.Int32);"</f>
        <v>                var idParameter = command.AddOutput("@InvoiceSettingsId", DbType.Int32);</v>
      </c>
    </row>
    <row r="38" spans="1:24" x14ac:dyDescent="0.25">
      <c r="A38" t="s">
        <v>22</v>
      </c>
      <c r="J38" s="3" t="str">
        <f t="shared" si="9"/>
        <v xml:space="preserve">                SELECT *</v>
      </c>
      <c r="L38" s="4" t="str">
        <f t="shared" si="10"/>
        <v/>
      </c>
      <c r="R38" s="6" t="str">
        <f t="shared" si="11"/>
        <v/>
      </c>
      <c r="T38" s="16" t="s">
        <v>86</v>
      </c>
      <c r="X38" s="13" t="s">
        <v>72</v>
      </c>
    </row>
    <row r="39" spans="1:24" x14ac:dyDescent="0.25">
      <c r="A39" t="s">
        <v>23</v>
      </c>
      <c r="J39" s="3" t="str">
        <f t="shared" si="9"/>
        <v xml:space="preserve">                FROM inserted Record</v>
      </c>
      <c r="L39" s="4" t="str">
        <f t="shared" si="10"/>
        <v/>
      </c>
      <c r="R39" s="6" t="str">
        <f t="shared" si="11"/>
        <v/>
      </c>
      <c r="T39" s="16" t="s">
        <v>71</v>
      </c>
      <c r="X39" s="13" t="str">
        <f>IF(NOT(ISBLANK(B4)),"                    .AddWithValue(""@"&amp;B4&amp;""", value.Id, DbType.Int32"&amp;")"&amp;IF(LEN(X40)&gt;0,"",";"),"")</f>
        <v>                    .AddWithValue("@InvoiceSettingsId", value.Id, DbType.Int32)</v>
      </c>
    </row>
    <row r="40" spans="1:24" x14ac:dyDescent="0.25">
      <c r="A40" t="str">
        <f>"                WHERE Record."&amp;B$4&amp;" = P."&amp;B$4</f>
        <v xml:space="preserve">                WHERE Record.InvoiceSettingsId = P.InvoiceSettingsId</v>
      </c>
      <c r="J40" s="3" t="str">
        <f t="shared" si="9"/>
        <v xml:space="preserve">                WHERE Record.InvoiceSettingsId = P.InvoiceSettingsId</v>
      </c>
      <c r="L40" s="4" t="str">
        <f t="shared" si="10"/>
        <v/>
      </c>
      <c r="R40" s="6" t="str">
        <f t="shared" si="11"/>
        <v/>
      </c>
      <c r="T40" s="16" t="str">
        <f>"                "&amp;LOWER(LEFT(C2,1))&amp;MID(C2,2,LEN(C2)-1)&amp;"s.Add(ParseReader(reader));"</f>
        <v>                invoiceSettingss.Add(ParseReader(reader));</v>
      </c>
      <c r="X40" s="13" t="str">
        <f t="shared" ref="X40:X55" si="12">IF(NOT(ISBLANK(B5)),"                    .AddWithValue(""@"&amp;B5&amp;""", value."&amp;B5&amp;", DbType."&amp;IF(NOT(OR(ISBLANK(Q12),Q12="int")),UPPER(LEFT(Q12,1))&amp;MID(Q12,2,LEN(Q12)-1),"Int32")&amp;")"&amp;IF(LEFT(X41,24)="                    .Add","",";"),"")</f>
        <v>                    .AddWithValue("@Description", value.Description, DbType.Int32);</v>
      </c>
    </row>
    <row r="41" spans="1:24" x14ac:dyDescent="0.25">
      <c r="A41" t="s">
        <v>24</v>
      </c>
      <c r="J41" s="3" t="str">
        <f t="shared" si="9"/>
        <v xml:space="preserve">                FOR XML AUTO, ELEMENTS, root('RecordSet'), type</v>
      </c>
      <c r="L41" s="4" t="str">
        <f t="shared" si="10"/>
        <v/>
      </c>
      <c r="R41" s="6" t="str">
        <f t="shared" si="11"/>
        <v/>
      </c>
      <c r="T41" s="16" t="s">
        <v>74</v>
      </c>
      <c r="X41" s="13" t="str">
        <f t="shared" si="12"/>
        <v/>
      </c>
    </row>
    <row r="42" spans="1:24" x14ac:dyDescent="0.25">
      <c r="A42" t="s">
        <v>25</v>
      </c>
      <c r="J42" s="3" t="str">
        <f t="shared" si="9"/>
        <v xml:space="preserve">                )</v>
      </c>
      <c r="L42" s="4" t="str">
        <f t="shared" si="10"/>
        <v/>
      </c>
      <c r="R42" s="6" t="str">
        <f t="shared" si="11"/>
        <v/>
      </c>
      <c r="T42" s="16" t="s">
        <v>12</v>
      </c>
      <c r="X42" s="13" t="str">
        <f t="shared" si="12"/>
        <v/>
      </c>
    </row>
    <row r="43" spans="1:24" x14ac:dyDescent="0.25">
      <c r="A43" t="s">
        <v>26</v>
      </c>
      <c r="J43" s="3" t="str">
        <f t="shared" si="9"/>
        <v xml:space="preserve">        FROM inserted P</v>
      </c>
      <c r="L43" s="4" t="str">
        <f t="shared" si="10"/>
        <v/>
      </c>
      <c r="R43" s="6" t="str">
        <f t="shared" si="11"/>
        <v/>
      </c>
      <c r="T43" s="16" t="str">
        <f>"            return "&amp;LOWER(LEFT(C2,1))&amp;MID(C2,2,LEN(C2)-1)&amp;"s;"</f>
        <v>            return invoiceSettingss;</v>
      </c>
      <c r="X43" s="13" t="str">
        <f t="shared" si="12"/>
        <v/>
      </c>
    </row>
    <row r="44" spans="1:24" x14ac:dyDescent="0.25">
      <c r="A44" t="s">
        <v>27</v>
      </c>
      <c r="J44" s="3" t="str">
        <f t="shared" si="9"/>
        <v xml:space="preserve">        RETURN;</v>
      </c>
      <c r="L44" s="4" t="str">
        <f t="shared" si="10"/>
        <v/>
      </c>
      <c r="R44" s="6" t="str">
        <f t="shared" si="11"/>
        <v/>
      </c>
      <c r="T44" s="16" t="s">
        <v>55</v>
      </c>
      <c r="X44" s="13" t="str">
        <f t="shared" si="12"/>
        <v/>
      </c>
    </row>
    <row r="45" spans="1:24" x14ac:dyDescent="0.25">
      <c r="A45" t="s">
        <v>28</v>
      </c>
      <c r="J45" s="3" t="str">
        <f t="shared" si="9"/>
        <v xml:space="preserve">        END</v>
      </c>
      <c r="L45" s="4" t="str">
        <f t="shared" si="10"/>
        <v/>
      </c>
      <c r="R45" s="6" t="str">
        <f t="shared" si="11"/>
        <v/>
      </c>
      <c r="T45" s="16" t="s">
        <v>12</v>
      </c>
      <c r="X45" s="13" t="str">
        <f t="shared" si="12"/>
        <v/>
      </c>
    </row>
    <row r="46" spans="1:24" x14ac:dyDescent="0.25">
      <c r="A46" t="s">
        <v>13</v>
      </c>
      <c r="J46" s="3" t="str">
        <f t="shared" si="9"/>
        <v>    </v>
      </c>
      <c r="L46" s="4" t="s">
        <v>43</v>
      </c>
      <c r="R46" s="6" t="str">
        <f t="shared" si="11"/>
        <v/>
      </c>
      <c r="T46" s="16" t="str">
        <f>"        private enum "&amp;C2&amp;"Col"</f>
        <v>        private enum InvoiceSettingsCol</v>
      </c>
      <c r="X46" s="13" t="str">
        <f t="shared" si="12"/>
        <v/>
      </c>
    </row>
    <row r="47" spans="1:24" x14ac:dyDescent="0.25">
      <c r="A47" t="s">
        <v>29</v>
      </c>
      <c r="J47" s="3" t="str">
        <f t="shared" si="9"/>
        <v xml:space="preserve">        -- Detect deletes</v>
      </c>
      <c r="L47" s="4" t="s">
        <v>44</v>
      </c>
      <c r="R47" s="6" t="s">
        <v>87</v>
      </c>
      <c r="T47" s="16" t="s">
        <v>54</v>
      </c>
      <c r="X47" s="13" t="str">
        <f t="shared" si="12"/>
        <v/>
      </c>
    </row>
    <row r="48" spans="1:24" x14ac:dyDescent="0.25">
      <c r="A48" t="s">
        <v>30</v>
      </c>
      <c r="J48" s="3" t="str">
        <f t="shared" si="9"/>
        <v xml:space="preserve">        IF EXISTS (select * from deleted) AND NOT EXISTS (select * from inserted)</v>
      </c>
      <c r="L48" s="4" t="str">
        <f>IF(NOT(ISBLANK(B5)),"@"&amp;B5&amp;IF(NOT(ISBLANK(B6)),",",""),"")</f>
        <v>@Description</v>
      </c>
      <c r="R48" s="6" t="s">
        <v>54</v>
      </c>
      <c r="T48" s="16" t="s">
        <v>88</v>
      </c>
      <c r="X48" s="13" t="str">
        <f t="shared" si="12"/>
        <v/>
      </c>
    </row>
    <row r="49" spans="1:24" x14ac:dyDescent="0.25">
      <c r="A49" t="s">
        <v>21</v>
      </c>
      <c r="J49" s="3" t="str">
        <f t="shared" si="9"/>
        <v xml:space="preserve">        BEGIN</v>
      </c>
      <c r="L49" s="4" t="str">
        <f t="shared" ref="L49:L63" si="13">IF(NOT(ISBLANK(B6)),"@"&amp;B6&amp;IF(NOT(ISBLANK(B7)),",",""),"")</f>
        <v/>
      </c>
      <c r="R49" s="6" t="str">
        <f>IF(NOT(ISBLANK(B4)),"            Id = "&amp;LOWER(LEFT(B4,1))&amp;MID(B4,2,LEN(B4)-1)&amp;";","")</f>
        <v xml:space="preserve">            Id = invoiceSettingsId;</v>
      </c>
      <c r="T49" s="16" t="str">
        <f t="shared" ref="T49:T64" si="14">IF(NOT(ISBLANK(B5)),"            "&amp;B5&amp;IF(LEN(T15)&gt;0,",",""),"")</f>
        <v xml:space="preserve">            Description</v>
      </c>
      <c r="X49" s="13" t="str">
        <f t="shared" si="12"/>
        <v/>
      </c>
    </row>
    <row r="50" spans="1:24" x14ac:dyDescent="0.25">
      <c r="A50" t="str">
        <f>"        INSERT ["&amp;B$2&amp;"].[AuditData] (ChangeType, ChangeToken, SchemaName, ObjectName, RecordId, Record)"</f>
        <v xml:space="preserve">        INSERT [Client].[AuditData] (ChangeType, ChangeToken, SchemaName, ObjectName, RecordId, Record)</v>
      </c>
      <c r="J50" s="3" t="str">
        <f t="shared" si="9"/>
        <v xml:space="preserve">        INSERT [Client].[AuditData] (ChangeType, ChangeToken, SchemaName, ObjectName, RecordId, Record)</v>
      </c>
      <c r="L50" s="4" t="str">
        <f t="shared" si="13"/>
        <v/>
      </c>
      <c r="R50" s="6" t="str">
        <f t="shared" ref="R50:R65" si="15">IF(NOT(ISBLANK(B5)),"            "&amp;B5&amp;" = "&amp;LOWER(LEFT(B5,1))&amp;MID(B5,2,LEN(B5)-1)&amp;";","")</f>
        <v xml:space="preserve">            Description = description;</v>
      </c>
      <c r="T50" s="16" t="str">
        <f t="shared" si="14"/>
        <v/>
      </c>
      <c r="X50" s="13" t="str">
        <f t="shared" si="12"/>
        <v/>
      </c>
    </row>
    <row r="51" spans="1:24" x14ac:dyDescent="0.25">
      <c r="A51" t="str">
        <f>"        SELECT 'DELETE', @Token, '["&amp;B$2&amp;"]', '["&amp;C$2&amp;"]', P."&amp;B$4&amp;", DATA = ("</f>
        <v xml:space="preserve">        SELECT 'DELETE', @Token, '[Client]', '[InvoiceSettings]', P.InvoiceSettingsId, DATA = (</v>
      </c>
      <c r="J51" s="3" t="str">
        <f t="shared" si="9"/>
        <v xml:space="preserve">        SELECT 'DELETE', @Token, '[Client]', '[InvoiceSettings]', P.InvoiceSettingsId, DATA = (</v>
      </c>
      <c r="L51" s="4" t="str">
        <f>IF(NOT(ISBLANK(B8)),"@"&amp;B8&amp;IF(NOT(ISBLANK(B9)),",",""),"")</f>
        <v/>
      </c>
      <c r="R51" s="6" t="str">
        <f t="shared" si="15"/>
        <v/>
      </c>
      <c r="T51" s="16" t="str">
        <f t="shared" si="14"/>
        <v/>
      </c>
      <c r="X51" s="13" t="str">
        <f t="shared" si="12"/>
        <v/>
      </c>
    </row>
    <row r="52" spans="1:24" x14ac:dyDescent="0.25">
      <c r="A52" t="s">
        <v>22</v>
      </c>
      <c r="J52" s="3" t="str">
        <f t="shared" si="9"/>
        <v xml:space="preserve">                SELECT *</v>
      </c>
      <c r="L52" s="4" t="str">
        <f t="shared" si="13"/>
        <v/>
      </c>
      <c r="R52" s="6" t="str">
        <f t="shared" si="15"/>
        <v/>
      </c>
      <c r="T52" s="16" t="str">
        <f t="shared" si="14"/>
        <v/>
      </c>
      <c r="X52" s="13" t="str">
        <f t="shared" si="12"/>
        <v/>
      </c>
    </row>
    <row r="53" spans="1:24" x14ac:dyDescent="0.25">
      <c r="A53" t="s">
        <v>31</v>
      </c>
      <c r="J53" s="3" t="str">
        <f t="shared" si="9"/>
        <v xml:space="preserve">                FROM deleted Record</v>
      </c>
      <c r="L53" s="4" t="str">
        <f t="shared" si="13"/>
        <v/>
      </c>
      <c r="R53" s="6" t="str">
        <f t="shared" si="15"/>
        <v/>
      </c>
      <c r="T53" s="16" t="str">
        <f t="shared" si="14"/>
        <v/>
      </c>
      <c r="X53" s="13" t="str">
        <f t="shared" si="12"/>
        <v/>
      </c>
    </row>
    <row r="54" spans="1:24" x14ac:dyDescent="0.25">
      <c r="A54" t="str">
        <f>"                WHERE Record."&amp;B$4&amp;" = P."&amp;B$4</f>
        <v xml:space="preserve">                WHERE Record.InvoiceSettingsId = P.InvoiceSettingsId</v>
      </c>
      <c r="J54" s="3" t="str">
        <f t="shared" si="9"/>
        <v xml:space="preserve">                WHERE Record.InvoiceSettingsId = P.InvoiceSettingsId</v>
      </c>
      <c r="L54" s="4" t="str">
        <f t="shared" si="13"/>
        <v/>
      </c>
      <c r="R54" s="6" t="str">
        <f t="shared" si="15"/>
        <v/>
      </c>
      <c r="T54" s="16" t="str">
        <f t="shared" si="14"/>
        <v/>
      </c>
      <c r="X54" s="13" t="str">
        <f t="shared" si="12"/>
        <v/>
      </c>
    </row>
    <row r="55" spans="1:24" x14ac:dyDescent="0.25">
      <c r="A55" t="s">
        <v>24</v>
      </c>
      <c r="J55" s="3" t="str">
        <f t="shared" si="9"/>
        <v xml:space="preserve">                FOR XML AUTO, ELEMENTS, root('RecordSet'), type</v>
      </c>
      <c r="L55" s="4" t="str">
        <f t="shared" si="13"/>
        <v/>
      </c>
      <c r="R55" s="6" t="str">
        <f t="shared" si="15"/>
        <v/>
      </c>
      <c r="T55" s="16" t="str">
        <f t="shared" si="14"/>
        <v/>
      </c>
      <c r="X55" s="13" t="str">
        <f t="shared" si="12"/>
        <v/>
      </c>
    </row>
    <row r="56" spans="1:24" x14ac:dyDescent="0.25">
      <c r="A56" t="s">
        <v>25</v>
      </c>
      <c r="J56" s="3" t="str">
        <f t="shared" si="9"/>
        <v xml:space="preserve">                )</v>
      </c>
      <c r="L56" s="4" t="str">
        <f t="shared" si="13"/>
        <v/>
      </c>
      <c r="R56" s="6" t="str">
        <f t="shared" si="15"/>
        <v/>
      </c>
      <c r="T56" s="16" t="str">
        <f t="shared" si="14"/>
        <v/>
      </c>
    </row>
    <row r="57" spans="1:24" x14ac:dyDescent="0.25">
      <c r="A57" t="s">
        <v>26</v>
      </c>
      <c r="J57" s="3" t="str">
        <f t="shared" si="9"/>
        <v xml:space="preserve">        FROM inserted P</v>
      </c>
      <c r="L57" s="4" t="str">
        <f t="shared" si="13"/>
        <v/>
      </c>
      <c r="R57" s="6" t="str">
        <f t="shared" si="15"/>
        <v/>
      </c>
      <c r="T57" s="16" t="str">
        <f t="shared" si="14"/>
        <v/>
      </c>
      <c r="X57" s="13" t="s">
        <v>75</v>
      </c>
    </row>
    <row r="58" spans="1:24" x14ac:dyDescent="0.25">
      <c r="A58" t="s">
        <v>27</v>
      </c>
      <c r="J58" s="3" t="str">
        <f t="shared" si="9"/>
        <v xml:space="preserve">        RETURN;</v>
      </c>
      <c r="L58" s="4" t="str">
        <f t="shared" si="13"/>
        <v/>
      </c>
      <c r="R58" s="6" t="str">
        <f t="shared" si="15"/>
        <v/>
      </c>
      <c r="T58" s="16" t="str">
        <f t="shared" si="14"/>
        <v/>
      </c>
      <c r="X58" s="13" t="s">
        <v>76</v>
      </c>
    </row>
    <row r="59" spans="1:24" x14ac:dyDescent="0.25">
      <c r="A59" t="s">
        <v>28</v>
      </c>
      <c r="J59" s="3" t="str">
        <f t="shared" si="9"/>
        <v xml:space="preserve">        END</v>
      </c>
      <c r="L59" s="4" t="str">
        <f t="shared" si="13"/>
        <v/>
      </c>
      <c r="R59" s="6" t="str">
        <f t="shared" si="15"/>
        <v/>
      </c>
      <c r="T59" s="16" t="str">
        <f t="shared" si="14"/>
        <v/>
      </c>
      <c r="X59" s="13" t="s">
        <v>77</v>
      </c>
    </row>
    <row r="60" spans="1:24" x14ac:dyDescent="0.25">
      <c r="A60" t="s">
        <v>12</v>
      </c>
      <c r="J60" s="3" t="str">
        <f t="shared" si="9"/>
        <v xml:space="preserve"> </v>
      </c>
      <c r="L60" s="4" t="str">
        <f t="shared" si="13"/>
        <v/>
      </c>
      <c r="R60" s="6" t="str">
        <f t="shared" si="15"/>
        <v/>
      </c>
      <c r="T60" s="16" t="str">
        <f t="shared" si="14"/>
        <v/>
      </c>
      <c r="X60" s="13" t="s">
        <v>78</v>
      </c>
    </row>
    <row r="61" spans="1:24" x14ac:dyDescent="0.25">
      <c r="A61" t="s">
        <v>32</v>
      </c>
      <c r="J61" s="3" t="str">
        <f t="shared" si="9"/>
        <v xml:space="preserve">        -- Update inserts</v>
      </c>
      <c r="L61" s="4" t="str">
        <f t="shared" si="13"/>
        <v/>
      </c>
      <c r="R61" s="6" t="str">
        <f t="shared" si="15"/>
        <v/>
      </c>
      <c r="T61" s="16" t="str">
        <f t="shared" si="14"/>
        <v/>
      </c>
      <c r="X61" s="13" t="s">
        <v>79</v>
      </c>
    </row>
    <row r="62" spans="1:24" x14ac:dyDescent="0.25">
      <c r="A62" t="s">
        <v>34</v>
      </c>
      <c r="J62" s="3" t="str">
        <f t="shared" si="9"/>
        <v xml:space="preserve">        IF EXISTS (select * from inserted) AND EXISTS (select * from deleted)</v>
      </c>
      <c r="L62" s="4" t="str">
        <f t="shared" si="13"/>
        <v/>
      </c>
      <c r="R62" s="6" t="str">
        <f t="shared" si="15"/>
        <v/>
      </c>
      <c r="T62" s="16" t="str">
        <f t="shared" si="14"/>
        <v/>
      </c>
    </row>
    <row r="63" spans="1:24" x14ac:dyDescent="0.25">
      <c r="A63" t="s">
        <v>21</v>
      </c>
      <c r="J63" s="3" t="str">
        <f t="shared" si="9"/>
        <v xml:space="preserve">        BEGIN</v>
      </c>
      <c r="L63" s="4" t="str">
        <f t="shared" si="13"/>
        <v/>
      </c>
      <c r="R63" s="6" t="str">
        <f t="shared" si="15"/>
        <v/>
      </c>
      <c r="T63" s="16" t="str">
        <f t="shared" si="14"/>
        <v/>
      </c>
      <c r="X63" s="13" t="s">
        <v>80</v>
      </c>
    </row>
    <row r="64" spans="1:24" x14ac:dyDescent="0.25">
      <c r="A64" t="str">
        <f>"        INSERT ["&amp;B$2&amp;"].[AuditData] (ChangeType, ChangeToken, SchemaName, ObjectName, RecordId, Record)"</f>
        <v xml:space="preserve">        INSERT [Client].[AuditData] (ChangeType, ChangeToken, SchemaName, ObjectName, RecordId, Record)</v>
      </c>
      <c r="J64" s="3" t="str">
        <f t="shared" si="9"/>
        <v xml:space="preserve">        INSERT [Client].[AuditData] (ChangeType, ChangeToken, SchemaName, ObjectName, RecordId, Record)</v>
      </c>
      <c r="L64" s="4" t="s">
        <v>43</v>
      </c>
      <c r="R64" s="6" t="str">
        <f t="shared" si="15"/>
        <v/>
      </c>
      <c r="T64" s="16" t="str">
        <f t="shared" si="14"/>
        <v/>
      </c>
      <c r="X64" s="13" t="s">
        <v>74</v>
      </c>
    </row>
    <row r="65" spans="1:24" x14ac:dyDescent="0.25">
      <c r="A65" t="str">
        <f>"        SELECT 'UPDATE', @Token, '["&amp;B$2&amp;"]', '["&amp;C$2&amp;"]', P."&amp;B$4&amp;", DATA = ("</f>
        <v xml:space="preserve">        SELECT 'UPDATE', @Token, '[Client]', '[InvoiceSettings]', P.InvoiceSettingsId, DATA = (</v>
      </c>
      <c r="J65" s="3" t="str">
        <f t="shared" si="9"/>
        <v xml:space="preserve">        SELECT 'UPDATE', @Token, '[Client]', '[InvoiceSettings]', P.InvoiceSettingsId, DATA = (</v>
      </c>
      <c r="R65" s="6" t="str">
        <f t="shared" si="15"/>
        <v/>
      </c>
      <c r="T65" s="16" t="s">
        <v>55</v>
      </c>
      <c r="X65" s="13" t="s">
        <v>55</v>
      </c>
    </row>
    <row r="66" spans="1:24" x14ac:dyDescent="0.25">
      <c r="A66" t="s">
        <v>22</v>
      </c>
      <c r="J66" s="3" t="str">
        <f t="shared" si="9"/>
        <v xml:space="preserve">                SELECT *</v>
      </c>
      <c r="L66" s="4" t="str">
        <f>"SELECT @"&amp;B4&amp;" = SCOPE_IDENTITY()"</f>
        <v>SELECT @InvoiceSettingsId = SCOPE_IDENTITY()</v>
      </c>
      <c r="T66" s="16" t="s">
        <v>56</v>
      </c>
      <c r="X66" s="13" t="s">
        <v>56</v>
      </c>
    </row>
    <row r="67" spans="1:24" x14ac:dyDescent="0.25">
      <c r="A67" t="s">
        <v>23</v>
      </c>
      <c r="J67" s="3" t="str">
        <f t="shared" si="9"/>
        <v xml:space="preserve">                FROM inserted Record</v>
      </c>
      <c r="R67" s="6" t="s">
        <v>55</v>
      </c>
      <c r="T67" s="16" t="s">
        <v>57</v>
      </c>
      <c r="X67" s="13" t="s">
        <v>57</v>
      </c>
    </row>
    <row r="68" spans="1:24" x14ac:dyDescent="0.25">
      <c r="A68" t="str">
        <f>"                WHERE Record."&amp;B$4&amp;" = P."&amp;B$4</f>
        <v xml:space="preserve">                WHERE Record.InvoiceSettingsId = P.InvoiceSettingsId</v>
      </c>
      <c r="J68" s="3" t="str">
        <f t="shared" si="9"/>
        <v xml:space="preserve">                WHERE Record.InvoiceSettingsId = P.InvoiceSettingsId</v>
      </c>
      <c r="L68" s="4" t="s">
        <v>45</v>
      </c>
      <c r="R68" s="6" t="s">
        <v>56</v>
      </c>
    </row>
    <row r="69" spans="1:24" x14ac:dyDescent="0.25">
      <c r="A69" t="s">
        <v>24</v>
      </c>
      <c r="J69" s="3" t="str">
        <f t="shared" si="9"/>
        <v xml:space="preserve">                FOR XML AUTO, ELEMENTS, root('RecordSet'), type</v>
      </c>
      <c r="L69" s="4" t="s">
        <v>14</v>
      </c>
      <c r="R69" s="6" t="s">
        <v>57</v>
      </c>
    </row>
    <row r="70" spans="1:24" x14ac:dyDescent="0.25">
      <c r="A70" t="s">
        <v>25</v>
      </c>
      <c r="J70" s="3" t="str">
        <f t="shared" si="9"/>
        <v xml:space="preserve">                )</v>
      </c>
      <c r="L70" s="4" t="s">
        <v>46</v>
      </c>
    </row>
    <row r="71" spans="1:24" x14ac:dyDescent="0.25">
      <c r="A71" t="s">
        <v>26</v>
      </c>
      <c r="J71" s="3" t="str">
        <f t="shared" si="9"/>
        <v xml:space="preserve">        FROM inserted P</v>
      </c>
      <c r="L71" s="4" t="s">
        <v>11</v>
      </c>
    </row>
    <row r="72" spans="1:24" x14ac:dyDescent="0.25">
      <c r="A72" t="s">
        <v>27</v>
      </c>
      <c r="J72" s="3" t="str">
        <f t="shared" si="9"/>
        <v xml:space="preserve">        RETURN;</v>
      </c>
      <c r="L72" s="4" t="str">
        <f>"UPDATE "&amp;B2&amp;"."&amp;C2</f>
        <v>UPDATE Client.InvoiceSettings</v>
      </c>
    </row>
    <row r="73" spans="1:24" x14ac:dyDescent="0.25">
      <c r="A73" t="s">
        <v>28</v>
      </c>
      <c r="J73" s="3" t="str">
        <f t="shared" si="9"/>
        <v xml:space="preserve">        END</v>
      </c>
      <c r="L73" s="4" t="s">
        <v>47</v>
      </c>
    </row>
    <row r="74" spans="1:24" x14ac:dyDescent="0.25">
      <c r="A74" t="s">
        <v>14</v>
      </c>
      <c r="J74" s="3" t="str">
        <f t="shared" si="9"/>
        <v>END</v>
      </c>
      <c r="L74" s="4" t="str">
        <f t="shared" ref="L74:L89" si="16">IF(AND(NOT(ISBLANK(B5)),ISERROR(FIND("Id",B5))),"["&amp;B5&amp;"] = @"&amp;B5&amp;IF(NOT(ISBLANK(B6)),",",""),"")</f>
        <v>[Description] = @Description</v>
      </c>
    </row>
    <row r="75" spans="1:24" x14ac:dyDescent="0.25">
      <c r="L75" s="4" t="str">
        <f t="shared" si="16"/>
        <v/>
      </c>
    </row>
    <row r="76" spans="1:24" x14ac:dyDescent="0.25">
      <c r="L76" s="4" t="str">
        <f t="shared" si="16"/>
        <v/>
      </c>
    </row>
    <row r="77" spans="1:24" x14ac:dyDescent="0.25">
      <c r="L77" s="4" t="str">
        <f t="shared" si="16"/>
        <v/>
      </c>
    </row>
    <row r="78" spans="1:24" x14ac:dyDescent="0.25">
      <c r="L78" s="4" t="str">
        <f t="shared" si="16"/>
        <v/>
      </c>
    </row>
    <row r="79" spans="1:24" x14ac:dyDescent="0.25">
      <c r="L79" s="4" t="str">
        <f t="shared" si="16"/>
        <v/>
      </c>
    </row>
    <row r="80" spans="1:24" x14ac:dyDescent="0.25">
      <c r="L80" s="4" t="str">
        <f t="shared" si="16"/>
        <v/>
      </c>
    </row>
    <row r="81" spans="12:12" x14ac:dyDescent="0.25">
      <c r="L81" s="4" t="str">
        <f t="shared" si="16"/>
        <v/>
      </c>
    </row>
    <row r="82" spans="12:12" x14ac:dyDescent="0.25">
      <c r="L82" s="4" t="str">
        <f t="shared" si="16"/>
        <v/>
      </c>
    </row>
    <row r="83" spans="12:12" x14ac:dyDescent="0.25">
      <c r="L83" s="4" t="str">
        <f t="shared" si="16"/>
        <v/>
      </c>
    </row>
    <row r="84" spans="12:12" x14ac:dyDescent="0.25">
      <c r="L84" s="4" t="str">
        <f t="shared" si="16"/>
        <v/>
      </c>
    </row>
    <row r="85" spans="12:12" x14ac:dyDescent="0.25">
      <c r="L85" s="4" t="str">
        <f t="shared" si="16"/>
        <v/>
      </c>
    </row>
    <row r="86" spans="12:12" x14ac:dyDescent="0.25">
      <c r="L86" s="4" t="str">
        <f t="shared" si="16"/>
        <v/>
      </c>
    </row>
    <row r="87" spans="12:12" x14ac:dyDescent="0.25">
      <c r="L87" s="4" t="str">
        <f t="shared" si="16"/>
        <v/>
      </c>
    </row>
    <row r="88" spans="12:12" x14ac:dyDescent="0.25">
      <c r="L88" s="4" t="str">
        <f t="shared" si="16"/>
        <v/>
      </c>
    </row>
    <row r="89" spans="12:12" x14ac:dyDescent="0.25">
      <c r="L89" s="4" t="str">
        <f t="shared" si="16"/>
        <v/>
      </c>
    </row>
    <row r="90" spans="12:12" x14ac:dyDescent="0.25">
      <c r="L90" s="4" t="s">
        <v>42</v>
      </c>
    </row>
    <row r="91" spans="12:12" x14ac:dyDescent="0.25">
      <c r="L91" s="4" t="str">
        <f>"["&amp;B4&amp;"] = @"&amp;B4</f>
        <v>[InvoiceSettingsId] = @InvoiceSettingsId</v>
      </c>
    </row>
    <row r="93" spans="12:12" x14ac:dyDescent="0.25">
      <c r="L93" s="4" t="s">
        <v>45</v>
      </c>
    </row>
    <row r="94" spans="12:12" x14ac:dyDescent="0.25">
      <c r="L94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Worker</vt:lpstr>
      <vt:lpstr>Enum Tables</vt:lpstr>
    </vt:vector>
  </TitlesOfParts>
  <Company>PayStream Accounting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Andy</cp:lastModifiedBy>
  <dcterms:created xsi:type="dcterms:W3CDTF">2015-11-05T17:24:55Z</dcterms:created>
  <dcterms:modified xsi:type="dcterms:W3CDTF">2016-11-26T21:23:55Z</dcterms:modified>
</cp:coreProperties>
</file>