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rew\Dropbox\Programming Projects\C#\DungeonsAndDragons\"/>
    </mc:Choice>
  </mc:AlternateContent>
  <bookViews>
    <workbookView xWindow="0" yWindow="0" windowWidth="28800" windowHeight="12210" tabRatio="727"/>
  </bookViews>
  <sheets>
    <sheet name="Worker" sheetId="8" r:id="rId1"/>
    <sheet name="Enum Tables" sheetId="1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8" l="1"/>
  <c r="B4" i="12"/>
  <c r="J29" i="8" l="1"/>
  <c r="J33" i="8" l="1"/>
  <c r="G29" i="8"/>
  <c r="G28" i="8"/>
  <c r="J28" i="8" s="1"/>
  <c r="G27" i="8"/>
  <c r="J27" i="8" s="1"/>
  <c r="G26" i="8"/>
  <c r="J26" i="8" s="1"/>
  <c r="G30" i="8"/>
  <c r="J30" i="8" s="1"/>
  <c r="G31" i="8"/>
  <c r="J31" i="8" s="1"/>
  <c r="G32" i="8"/>
  <c r="J32" i="8" s="1"/>
  <c r="G25" i="8"/>
  <c r="J25" i="8" s="1"/>
  <c r="G21" i="8"/>
  <c r="J21" i="8" s="1"/>
  <c r="G22" i="8"/>
  <c r="J22" i="8" s="1"/>
  <c r="G23" i="8"/>
  <c r="J23" i="8" s="1"/>
  <c r="G24" i="8"/>
  <c r="J24" i="8" s="1"/>
  <c r="Z62" i="8" l="1"/>
  <c r="V40" i="8" l="1"/>
  <c r="V43" i="8"/>
  <c r="Z73" i="8" l="1"/>
  <c r="Z27" i="8" l="1"/>
  <c r="Z98" i="8"/>
  <c r="Z95" i="8"/>
  <c r="Z94" i="8" s="1"/>
  <c r="Z93" i="8" s="1"/>
  <c r="Z92" i="8" s="1"/>
  <c r="Z91" i="8" s="1"/>
  <c r="Z71" i="8"/>
  <c r="Z67" i="8"/>
  <c r="Z40" i="8"/>
  <c r="Z38" i="8"/>
  <c r="Z33" i="8"/>
  <c r="Z42" i="8"/>
  <c r="X10" i="8"/>
  <c r="X8" i="8"/>
  <c r="X4" i="8"/>
  <c r="Z22" i="8"/>
  <c r="Z17" i="8"/>
  <c r="Z10" i="8"/>
  <c r="Z8" i="8"/>
  <c r="T7" i="8"/>
  <c r="V6" i="8"/>
  <c r="T9" i="8"/>
  <c r="V36" i="8"/>
  <c r="V34" i="8"/>
  <c r="V10" i="8"/>
  <c r="N3" i="8"/>
  <c r="N40" i="8"/>
  <c r="N39" i="8"/>
  <c r="N38" i="8"/>
  <c r="N37" i="8"/>
  <c r="N36" i="8"/>
  <c r="N35" i="8"/>
  <c r="N34" i="8"/>
  <c r="N33" i="8"/>
  <c r="N32" i="8"/>
  <c r="N31" i="8"/>
  <c r="N30" i="8"/>
  <c r="N29" i="8"/>
  <c r="N28" i="8"/>
  <c r="N27" i="8"/>
  <c r="N26" i="8"/>
  <c r="N25" i="8"/>
  <c r="L30" i="8"/>
  <c r="N23" i="8"/>
  <c r="L24" i="8"/>
  <c r="N19" i="8"/>
  <c r="N18" i="8"/>
  <c r="N17" i="8"/>
  <c r="N16" i="8"/>
  <c r="N15" i="8"/>
  <c r="N14" i="8"/>
  <c r="N13" i="8"/>
  <c r="N12" i="8"/>
  <c r="N11" i="8"/>
  <c r="N10" i="8"/>
  <c r="N9" i="8"/>
  <c r="N8" i="8"/>
  <c r="N7" i="8"/>
  <c r="N6" i="8"/>
  <c r="N5" i="8"/>
  <c r="N4" i="8"/>
  <c r="L4" i="8"/>
  <c r="N2" i="8"/>
  <c r="N44" i="8"/>
  <c r="N42" i="8"/>
  <c r="L2" i="8"/>
  <c r="L26" i="8" l="1"/>
  <c r="N41" i="8"/>
  <c r="L89" i="12"/>
  <c r="L88" i="12"/>
  <c r="L87" i="12"/>
  <c r="L86" i="12"/>
  <c r="L85" i="12"/>
  <c r="L84" i="12"/>
  <c r="L83" i="12"/>
  <c r="L82" i="12"/>
  <c r="L81" i="12"/>
  <c r="L80" i="12"/>
  <c r="L79" i="12"/>
  <c r="L78" i="12"/>
  <c r="L77" i="12"/>
  <c r="L76" i="12"/>
  <c r="L75" i="12"/>
  <c r="L74" i="12"/>
  <c r="J74" i="12"/>
  <c r="J73" i="12"/>
  <c r="L72" i="12"/>
  <c r="J72" i="12"/>
  <c r="J71" i="12"/>
  <c r="J70" i="12"/>
  <c r="J69" i="12"/>
  <c r="J67" i="12"/>
  <c r="J66" i="12"/>
  <c r="R65" i="12"/>
  <c r="T64" i="12"/>
  <c r="R64" i="12"/>
  <c r="A64" i="12"/>
  <c r="J64" i="12" s="1"/>
  <c r="R63" i="12"/>
  <c r="L63" i="12"/>
  <c r="J63" i="12"/>
  <c r="R62" i="12"/>
  <c r="L62" i="12"/>
  <c r="J62" i="12"/>
  <c r="R61" i="12"/>
  <c r="L61" i="12"/>
  <c r="J61" i="12"/>
  <c r="R60" i="12"/>
  <c r="L60" i="12"/>
  <c r="J60" i="12"/>
  <c r="R59" i="12"/>
  <c r="L59" i="12"/>
  <c r="J59" i="12"/>
  <c r="R58" i="12"/>
  <c r="L58" i="12"/>
  <c r="J58" i="12"/>
  <c r="R57" i="12"/>
  <c r="L57" i="12"/>
  <c r="J57" i="12"/>
  <c r="R56" i="12"/>
  <c r="L56" i="12"/>
  <c r="J56" i="12"/>
  <c r="X55" i="12"/>
  <c r="R55" i="12"/>
  <c r="L55" i="12"/>
  <c r="J55" i="12"/>
  <c r="X54" i="12"/>
  <c r="X53" i="12" s="1"/>
  <c r="X52" i="12" s="1"/>
  <c r="X51" i="12" s="1"/>
  <c r="X50" i="12" s="1"/>
  <c r="X49" i="12" s="1"/>
  <c r="X48" i="12" s="1"/>
  <c r="X47" i="12" s="1"/>
  <c r="X46" i="12" s="1"/>
  <c r="X45" i="12" s="1"/>
  <c r="X44" i="12" s="1"/>
  <c r="X43" i="12" s="1"/>
  <c r="X42" i="12" s="1"/>
  <c r="X41" i="12" s="1"/>
  <c r="X40" i="12" s="1"/>
  <c r="R54" i="12"/>
  <c r="L54" i="12"/>
  <c r="R53" i="12"/>
  <c r="L53" i="12"/>
  <c r="J53" i="12"/>
  <c r="R52" i="12"/>
  <c r="L52" i="12"/>
  <c r="J52" i="12"/>
  <c r="R51" i="12"/>
  <c r="L51" i="12"/>
  <c r="R50" i="12"/>
  <c r="L50" i="12"/>
  <c r="A50" i="12"/>
  <c r="J50" i="12" s="1"/>
  <c r="L49" i="12"/>
  <c r="J49" i="12"/>
  <c r="L48" i="12"/>
  <c r="J48" i="12"/>
  <c r="J47" i="12"/>
  <c r="T46" i="12"/>
  <c r="R46" i="12"/>
  <c r="R45" i="12" s="1"/>
  <c r="R44" i="12" s="1"/>
  <c r="R43" i="12" s="1"/>
  <c r="R42" i="12" s="1"/>
  <c r="R41" i="12" s="1"/>
  <c r="R40" i="12" s="1"/>
  <c r="R39" i="12" s="1"/>
  <c r="R38" i="12" s="1"/>
  <c r="R37" i="12" s="1"/>
  <c r="R36" i="12" s="1"/>
  <c r="R35" i="12" s="1"/>
  <c r="R34" i="12" s="1"/>
  <c r="R33" i="12" s="1"/>
  <c r="R32" i="12" s="1"/>
  <c r="R31" i="12" s="1"/>
  <c r="J46" i="12"/>
  <c r="L45" i="12"/>
  <c r="J45" i="12"/>
  <c r="L44" i="12"/>
  <c r="J44" i="12"/>
  <c r="T43" i="12"/>
  <c r="L43" i="12"/>
  <c r="J43" i="12"/>
  <c r="L42" i="12"/>
  <c r="J42" i="12"/>
  <c r="L41" i="12"/>
  <c r="J41" i="12"/>
  <c r="T40" i="12"/>
  <c r="L40" i="12"/>
  <c r="L39" i="12"/>
  <c r="J39" i="12"/>
  <c r="L38" i="12"/>
  <c r="J38" i="12"/>
  <c r="X37" i="12"/>
  <c r="L37" i="12"/>
  <c r="T36" i="12"/>
  <c r="L36" i="12"/>
  <c r="A36" i="12"/>
  <c r="J36" i="12" s="1"/>
  <c r="X35" i="12"/>
  <c r="L35" i="12"/>
  <c r="J35" i="12"/>
  <c r="T34" i="12"/>
  <c r="L34" i="12"/>
  <c r="J34" i="12"/>
  <c r="X33" i="12"/>
  <c r="L33" i="12"/>
  <c r="J33" i="12"/>
  <c r="L32" i="12"/>
  <c r="J32" i="12"/>
  <c r="L31" i="12"/>
  <c r="J31" i="12"/>
  <c r="L30" i="12"/>
  <c r="J30" i="12"/>
  <c r="T29" i="12"/>
  <c r="T28" i="12" s="1"/>
  <c r="R29" i="12"/>
  <c r="L29" i="12"/>
  <c r="J29" i="12"/>
  <c r="J28" i="12"/>
  <c r="X27" i="12"/>
  <c r="P27" i="12"/>
  <c r="R27" i="12" s="1"/>
  <c r="O27" i="12"/>
  <c r="J27" i="12"/>
  <c r="P26" i="12"/>
  <c r="R26" i="12" s="1"/>
  <c r="O26" i="12"/>
  <c r="J26" i="12"/>
  <c r="P25" i="12"/>
  <c r="R25" i="12" s="1"/>
  <c r="O25" i="12"/>
  <c r="N25" i="12"/>
  <c r="C25" i="12"/>
  <c r="B25" i="12"/>
  <c r="X24" i="12"/>
  <c r="R24" i="12"/>
  <c r="P24" i="12"/>
  <c r="O24" i="12"/>
  <c r="L24" i="12"/>
  <c r="P23" i="12"/>
  <c r="R23" i="12" s="1"/>
  <c r="O23" i="12"/>
  <c r="J23" i="12"/>
  <c r="X22" i="12"/>
  <c r="R22" i="12"/>
  <c r="P22" i="12"/>
  <c r="O22" i="12"/>
  <c r="N22" i="12"/>
  <c r="P21" i="12"/>
  <c r="R21" i="12" s="1"/>
  <c r="O21" i="12"/>
  <c r="N21" i="12"/>
  <c r="N20" i="12" s="1"/>
  <c r="N19" i="12" s="1"/>
  <c r="N18" i="12" s="1"/>
  <c r="N17" i="12" s="1"/>
  <c r="N16" i="12" s="1"/>
  <c r="N15" i="12" s="1"/>
  <c r="N14" i="12" s="1"/>
  <c r="N13" i="12" s="1"/>
  <c r="N12" i="12" s="1"/>
  <c r="N11" i="12" s="1"/>
  <c r="N10" i="12" s="1"/>
  <c r="N9" i="12" s="1"/>
  <c r="N8" i="12" s="1"/>
  <c r="J21" i="12"/>
  <c r="P20" i="12"/>
  <c r="R20" i="12" s="1"/>
  <c r="O20" i="12"/>
  <c r="G20" i="12"/>
  <c r="J20" i="12" s="1"/>
  <c r="X19" i="12"/>
  <c r="P19" i="12"/>
  <c r="R19" i="12" s="1"/>
  <c r="O19" i="12"/>
  <c r="L19" i="12"/>
  <c r="G19" i="12"/>
  <c r="J19" i="12" s="1"/>
  <c r="P18" i="12"/>
  <c r="R18" i="12" s="1"/>
  <c r="O18" i="12"/>
  <c r="L18" i="12"/>
  <c r="G18" i="12"/>
  <c r="J18" i="12" s="1"/>
  <c r="X17" i="12"/>
  <c r="P17" i="12"/>
  <c r="R17" i="12" s="1"/>
  <c r="O17" i="12"/>
  <c r="L17" i="12"/>
  <c r="G17" i="12"/>
  <c r="J17" i="12" s="1"/>
  <c r="P16" i="12"/>
  <c r="R16" i="12" s="1"/>
  <c r="O16" i="12"/>
  <c r="L16" i="12"/>
  <c r="G16" i="12"/>
  <c r="J16" i="12" s="1"/>
  <c r="P15" i="12"/>
  <c r="R15" i="12" s="1"/>
  <c r="O15" i="12"/>
  <c r="L15" i="12"/>
  <c r="G15" i="12"/>
  <c r="J15" i="12" s="1"/>
  <c r="P14" i="12"/>
  <c r="R14" i="12" s="1"/>
  <c r="O14" i="12"/>
  <c r="L14" i="12"/>
  <c r="G14" i="12"/>
  <c r="J14" i="12" s="1"/>
  <c r="T13" i="12"/>
  <c r="P13" i="12"/>
  <c r="R13" i="12" s="1"/>
  <c r="O13" i="12"/>
  <c r="L13" i="12"/>
  <c r="G13" i="12"/>
  <c r="J13" i="12" s="1"/>
  <c r="X12" i="12"/>
  <c r="T12" i="12"/>
  <c r="P12" i="12"/>
  <c r="R12" i="12" s="1"/>
  <c r="O12" i="12"/>
  <c r="L12" i="12"/>
  <c r="G12" i="12"/>
  <c r="J12" i="12" s="1"/>
  <c r="L11" i="12"/>
  <c r="G11" i="12"/>
  <c r="J11" i="12" s="1"/>
  <c r="X10" i="12"/>
  <c r="V10" i="12"/>
  <c r="T10" i="12"/>
  <c r="L10" i="12"/>
  <c r="G10" i="12"/>
  <c r="J10" i="12" s="1"/>
  <c r="R9" i="12"/>
  <c r="P9" i="12"/>
  <c r="L9" i="12"/>
  <c r="G9" i="12"/>
  <c r="J9" i="12" s="1"/>
  <c r="X8" i="12"/>
  <c r="V8" i="12"/>
  <c r="T8" i="12"/>
  <c r="L8" i="12"/>
  <c r="G8" i="12"/>
  <c r="J8" i="12" s="1"/>
  <c r="R7" i="12"/>
  <c r="P7" i="12"/>
  <c r="L7" i="12"/>
  <c r="G7" i="12"/>
  <c r="J7" i="12" s="1"/>
  <c r="V6" i="12"/>
  <c r="L6" i="12"/>
  <c r="G6" i="12"/>
  <c r="J6" i="12" s="1"/>
  <c r="L5" i="12"/>
  <c r="G5" i="12"/>
  <c r="J5" i="12" s="1"/>
  <c r="V4" i="12"/>
  <c r="L4" i="12"/>
  <c r="L91" i="12"/>
  <c r="N3" i="12"/>
  <c r="J3" i="12"/>
  <c r="N2" i="12"/>
  <c r="L2" i="12"/>
  <c r="J2" i="12"/>
  <c r="G7" i="8"/>
  <c r="G8" i="8"/>
  <c r="G9" i="8"/>
  <c r="G10" i="8"/>
  <c r="G11" i="8"/>
  <c r="G12" i="8"/>
  <c r="G13" i="8"/>
  <c r="G14" i="8"/>
  <c r="G15" i="8"/>
  <c r="G16" i="8"/>
  <c r="J16" i="8" s="1"/>
  <c r="G17" i="8"/>
  <c r="J17" i="8" s="1"/>
  <c r="G18" i="8"/>
  <c r="J18" i="8" s="1"/>
  <c r="G19" i="8"/>
  <c r="J19" i="8" s="1"/>
  <c r="G20" i="8"/>
  <c r="J20" i="8" s="1"/>
  <c r="J25" i="12" l="1"/>
  <c r="A40" i="12"/>
  <c r="J40" i="12" s="1"/>
  <c r="L26" i="12"/>
  <c r="T62" i="12"/>
  <c r="T27" i="12"/>
  <c r="N27" i="12"/>
  <c r="R49" i="12"/>
  <c r="A65" i="12"/>
  <c r="J65" i="12" s="1"/>
  <c r="X39" i="12"/>
  <c r="A51" i="12"/>
  <c r="J51" i="12" s="1"/>
  <c r="A54" i="12"/>
  <c r="J54" i="12" s="1"/>
  <c r="T63" i="12"/>
  <c r="L3" i="12"/>
  <c r="N7" i="12"/>
  <c r="L66" i="12"/>
  <c r="L23" i="12"/>
  <c r="R30" i="12"/>
  <c r="A37" i="12"/>
  <c r="J37" i="12" s="1"/>
  <c r="A68" i="12"/>
  <c r="J68" i="12" s="1"/>
  <c r="J4" i="12"/>
  <c r="L51" i="8"/>
  <c r="L63" i="8"/>
  <c r="L62" i="8"/>
  <c r="L61" i="8"/>
  <c r="L60" i="8"/>
  <c r="L59" i="8"/>
  <c r="L58" i="8"/>
  <c r="L57" i="8"/>
  <c r="L56" i="8"/>
  <c r="L55" i="8"/>
  <c r="L54" i="8"/>
  <c r="L53" i="8"/>
  <c r="L52" i="8"/>
  <c r="L50" i="8"/>
  <c r="L49" i="8"/>
  <c r="L48" i="8"/>
  <c r="L45" i="8"/>
  <c r="L44" i="8"/>
  <c r="L43" i="8"/>
  <c r="L42" i="8"/>
  <c r="L41" i="8"/>
  <c r="L40" i="8"/>
  <c r="L39" i="8"/>
  <c r="L38" i="8"/>
  <c r="L37" i="8"/>
  <c r="L36" i="8"/>
  <c r="L35" i="8"/>
  <c r="L34" i="8"/>
  <c r="L33" i="8"/>
  <c r="L32" i="8"/>
  <c r="L31" i="8"/>
  <c r="L19" i="8"/>
  <c r="L18" i="8"/>
  <c r="L17" i="8"/>
  <c r="L16" i="8"/>
  <c r="L15" i="8"/>
  <c r="L14" i="8"/>
  <c r="L13" i="8"/>
  <c r="L12" i="8"/>
  <c r="L11" i="8"/>
  <c r="L10" i="8"/>
  <c r="L9" i="8"/>
  <c r="L8" i="8"/>
  <c r="L7" i="8"/>
  <c r="L6" i="8"/>
  <c r="L5" i="8"/>
  <c r="T26" i="12" l="1"/>
  <c r="T61" i="12"/>
  <c r="P22" i="8"/>
  <c r="P21" i="8" s="1"/>
  <c r="P20" i="8" s="1"/>
  <c r="P19" i="8" s="1"/>
  <c r="P18" i="8" s="1"/>
  <c r="P17" i="8" s="1"/>
  <c r="P16" i="8" s="1"/>
  <c r="P15" i="8" s="1"/>
  <c r="P14" i="8" s="1"/>
  <c r="P13" i="8" s="1"/>
  <c r="P12" i="8" s="1"/>
  <c r="P11" i="8" s="1"/>
  <c r="P10" i="8" s="1"/>
  <c r="P9" i="8" s="1"/>
  <c r="P8" i="8" s="1"/>
  <c r="P25" i="8"/>
  <c r="P2" i="8"/>
  <c r="P3" i="8"/>
  <c r="T65" i="8"/>
  <c r="T64" i="8"/>
  <c r="T63" i="8"/>
  <c r="T62" i="8"/>
  <c r="T61" i="8"/>
  <c r="T60" i="8"/>
  <c r="T59" i="8"/>
  <c r="T58" i="8"/>
  <c r="T57" i="8"/>
  <c r="T56" i="8"/>
  <c r="T55" i="8"/>
  <c r="T54" i="8"/>
  <c r="T53" i="8"/>
  <c r="T52" i="8"/>
  <c r="T51" i="8"/>
  <c r="T50" i="8"/>
  <c r="T46" i="8"/>
  <c r="T45" i="8" s="1"/>
  <c r="T44" i="8" s="1"/>
  <c r="T43" i="8" s="1"/>
  <c r="T42" i="8" s="1"/>
  <c r="T41" i="8" s="1"/>
  <c r="T40" i="8" s="1"/>
  <c r="T39" i="8" s="1"/>
  <c r="T38" i="8" s="1"/>
  <c r="T37" i="8" s="1"/>
  <c r="T36" i="8" s="1"/>
  <c r="T35" i="8" s="1"/>
  <c r="T34" i="8" s="1"/>
  <c r="T33" i="8" s="1"/>
  <c r="T32" i="8" s="1"/>
  <c r="T31" i="8" s="1"/>
  <c r="T29" i="8"/>
  <c r="V13" i="8"/>
  <c r="V64" i="8"/>
  <c r="V46" i="8"/>
  <c r="V29" i="8"/>
  <c r="V63" i="8" s="1"/>
  <c r="V12" i="8"/>
  <c r="V8" i="8"/>
  <c r="Z24" i="8"/>
  <c r="Z19" i="8"/>
  <c r="Z12" i="8"/>
  <c r="T60" i="12" l="1"/>
  <c r="T25" i="12"/>
  <c r="V28" i="8"/>
  <c r="X6" i="8"/>
  <c r="Q27" i="8"/>
  <c r="Z61" i="8" s="1"/>
  <c r="Q26" i="8"/>
  <c r="Q25" i="8"/>
  <c r="Q24" i="8"/>
  <c r="Q23" i="8"/>
  <c r="Q22" i="8"/>
  <c r="Q21" i="8"/>
  <c r="Q20" i="8"/>
  <c r="Q19" i="8"/>
  <c r="Q18" i="8"/>
  <c r="Q17" i="8"/>
  <c r="Q16" i="8"/>
  <c r="Q15" i="8"/>
  <c r="Q14" i="8"/>
  <c r="Q13" i="8"/>
  <c r="Q12" i="8"/>
  <c r="R27" i="8"/>
  <c r="T27" i="8" s="1"/>
  <c r="R26" i="8"/>
  <c r="T26" i="8" s="1"/>
  <c r="R25" i="8"/>
  <c r="T25" i="8" s="1"/>
  <c r="R24" i="8"/>
  <c r="T24" i="8" s="1"/>
  <c r="R23" i="8"/>
  <c r="T23" i="8" s="1"/>
  <c r="R22" i="8"/>
  <c r="T22" i="8" s="1"/>
  <c r="R21" i="8"/>
  <c r="T21" i="8" s="1"/>
  <c r="R20" i="8"/>
  <c r="T20" i="8" s="1"/>
  <c r="R19" i="8"/>
  <c r="T19" i="8" s="1"/>
  <c r="R18" i="8"/>
  <c r="T18" i="8" s="1"/>
  <c r="R17" i="8"/>
  <c r="T17" i="8" s="1"/>
  <c r="R16" i="8"/>
  <c r="T16" i="8" s="1"/>
  <c r="R15" i="8"/>
  <c r="T15" i="8" s="1"/>
  <c r="R14" i="8"/>
  <c r="T14" i="8" s="1"/>
  <c r="R13" i="8"/>
  <c r="T13" i="8" s="1"/>
  <c r="R12" i="8"/>
  <c r="T12" i="8" s="1"/>
  <c r="R9" i="8"/>
  <c r="R7" i="8"/>
  <c r="Z60" i="8" l="1"/>
  <c r="Z90" i="8" s="1"/>
  <c r="T24" i="12"/>
  <c r="T59" i="12"/>
  <c r="V62" i="8"/>
  <c r="V27" i="8"/>
  <c r="L29" i="8"/>
  <c r="Z59" i="8" l="1"/>
  <c r="Z58" i="8" s="1"/>
  <c r="Z57" i="8" s="1"/>
  <c r="Z56" i="8" s="1"/>
  <c r="Z55" i="8" s="1"/>
  <c r="Z54" i="8" s="1"/>
  <c r="Z53" i="8" s="1"/>
  <c r="Z52" i="8" s="1"/>
  <c r="Z51" i="8" s="1"/>
  <c r="Z50" i="8" s="1"/>
  <c r="Z49" i="8" s="1"/>
  <c r="Z48" i="8" s="1"/>
  <c r="Z47" i="8" s="1"/>
  <c r="Z77" i="8" s="1"/>
  <c r="Z76" i="8" s="1"/>
  <c r="T58" i="12"/>
  <c r="T23" i="12"/>
  <c r="V26" i="8"/>
  <c r="V61" i="8"/>
  <c r="Z89" i="8" l="1"/>
  <c r="Z88" i="8"/>
  <c r="Z80" i="8"/>
  <c r="Z84" i="8"/>
  <c r="Z82" i="8"/>
  <c r="Z81" i="8"/>
  <c r="Z79" i="8"/>
  <c r="Z85" i="8"/>
  <c r="Z83" i="8"/>
  <c r="Z46" i="8"/>
  <c r="Z86" i="8"/>
  <c r="Z78" i="8"/>
  <c r="Z87" i="8"/>
  <c r="T57" i="12"/>
  <c r="T22" i="12"/>
  <c r="V25" i="8"/>
  <c r="V60" i="8"/>
  <c r="J15" i="8"/>
  <c r="J14" i="8"/>
  <c r="J13" i="8"/>
  <c r="J12" i="8"/>
  <c r="J11" i="8"/>
  <c r="J10" i="8"/>
  <c r="J9" i="8"/>
  <c r="J8" i="8"/>
  <c r="J7" i="8"/>
  <c r="G6" i="8"/>
  <c r="J6" i="8" s="1"/>
  <c r="G5" i="8"/>
  <c r="J5" i="8" s="1"/>
  <c r="L66" i="8"/>
  <c r="J3" i="8"/>
  <c r="J2" i="8"/>
  <c r="T56" i="12" l="1"/>
  <c r="T21" i="12"/>
  <c r="J4" i="8"/>
  <c r="L3" i="8"/>
  <c r="P7" i="8"/>
  <c r="P27" i="8"/>
  <c r="T49" i="8"/>
  <c r="T30" i="8"/>
  <c r="V24" i="8"/>
  <c r="V59" i="8"/>
  <c r="T55" i="12" l="1"/>
  <c r="T20" i="12"/>
  <c r="V23" i="8"/>
  <c r="V58" i="8"/>
  <c r="T54" i="12" l="1"/>
  <c r="T19" i="12"/>
  <c r="V22" i="8"/>
  <c r="V57" i="8"/>
  <c r="T53" i="12" l="1"/>
  <c r="T18" i="12"/>
  <c r="V56" i="8"/>
  <c r="V21" i="8"/>
  <c r="T17" i="12" l="1"/>
  <c r="T52" i="12"/>
  <c r="V55" i="8"/>
  <c r="V20" i="8"/>
  <c r="T16" i="12" l="1"/>
  <c r="T51" i="12"/>
  <c r="V54" i="8"/>
  <c r="V19" i="8"/>
  <c r="T50" i="12" l="1"/>
  <c r="T15" i="12"/>
  <c r="V18" i="8"/>
  <c r="V53" i="8"/>
  <c r="T14" i="12" l="1"/>
  <c r="T49" i="12"/>
  <c r="V17" i="8"/>
  <c r="V52" i="8"/>
  <c r="V16" i="8" l="1"/>
  <c r="V51" i="8"/>
  <c r="V15" i="8" l="1"/>
  <c r="V50" i="8"/>
  <c r="V14" i="8" l="1"/>
  <c r="V49" i="8"/>
  <c r="Z45" i="8"/>
</calcChain>
</file>

<file path=xl/sharedStrings.xml><?xml version="1.0" encoding="utf-8"?>
<sst xmlns="http://schemas.openxmlformats.org/spreadsheetml/2006/main" count="324" uniqueCount="116">
  <si>
    <t>Fields</t>
  </si>
  <si>
    <t>Schema</t>
  </si>
  <si>
    <t>Table</t>
  </si>
  <si>
    <t>CREATE TABLE</t>
  </si>
  <si>
    <t>(</t>
  </si>
  <si>
    <t>Type</t>
  </si>
  <si>
    <t>int</t>
  </si>
  <si>
    <t>Identity?</t>
  </si>
  <si>
    <t>Default</t>
  </si>
  <si>
    <t>);</t>
  </si>
  <si>
    <t>GO</t>
  </si>
  <si>
    <t>BEGIN</t>
  </si>
  <si>
    <t xml:space="preserve"> </t>
  </si>
  <si>
    <t>    </t>
  </si>
  <si>
    <t>END</t>
  </si>
  <si>
    <t>    FOR DELETE, INSERT, UPDATE AS</t>
  </si>
  <si>
    <t xml:space="preserve">        SET NoCount ON</t>
  </si>
  <si>
    <t xml:space="preserve">        DECLARE @Token UNIQUEIDENTIFIER;</t>
  </si>
  <si>
    <t xml:space="preserve">        EXEC [Audit].USP_ContextInfo_Get @Token OUTPUT</t>
  </si>
  <si>
    <t xml:space="preserve">        -- Detect inserts</t>
  </si>
  <si>
    <t xml:space="preserve">        IF EXISTS (select * from inserted) AND NOT EXISTS (select * from deleted)</t>
  </si>
  <si>
    <t xml:space="preserve">        BEGIN</t>
  </si>
  <si>
    <t xml:space="preserve">                SELECT *</t>
  </si>
  <si>
    <t xml:space="preserve">                FROM inserted Record</t>
  </si>
  <si>
    <t xml:space="preserve">                FOR XML AUTO, ELEMENTS, root('RecordSet'), type</t>
  </si>
  <si>
    <t xml:space="preserve">                )</t>
  </si>
  <si>
    <t xml:space="preserve">        FROM inserted P</t>
  </si>
  <si>
    <t xml:space="preserve">        RETURN;</t>
  </si>
  <si>
    <t xml:space="preserve">        END</t>
  </si>
  <si>
    <t xml:space="preserve">        -- Detect deletes</t>
  </si>
  <si>
    <t xml:space="preserve">        IF EXISTS (select * from deleted) AND NOT EXISTS (select * from inserted)</t>
  </si>
  <si>
    <t xml:space="preserve">                FROM deleted Record</t>
  </si>
  <si>
    <t xml:space="preserve">        -- Update inserts</t>
  </si>
  <si>
    <t>CREATE TRIGGER</t>
  </si>
  <si>
    <t xml:space="preserve">        IF EXISTS (select * from inserted) AND EXISTS (select * from deleted)</t>
  </si>
  <si>
    <t>Not Nullable?</t>
  </si>
  <si>
    <t>FK</t>
  </si>
  <si>
    <t>PK</t>
  </si>
  <si>
    <t>AS</t>
  </si>
  <si>
    <t>IF NOT EXISTS (</t>
  </si>
  <si>
    <t>WHERE</t>
  </si>
  <si>
    <t>)</t>
  </si>
  <si>
    <t>VALUES (</t>
  </si>
  <si>
    <t>RETURN @@ROWCOUNT</t>
  </si>
  <si>
    <t>ELSE</t>
  </si>
  <si>
    <t>SET</t>
  </si>
  <si>
    <t>using System.Collections.Generic;</t>
  </si>
  <si>
    <t>using System.Linq;</t>
  </si>
  <si>
    <t>using Dots.Domain.Communication;</t>
  </si>
  <si>
    <t>using System;</t>
  </si>
  <si>
    <t>{</t>
  </si>
  <si>
    <t>    {</t>
  </si>
  <si>
    <t>        {</t>
  </si>
  <si>
    <t>        }</t>
  </si>
  <si>
    <t>    }</t>
  </si>
  <si>
    <t>}</t>
  </si>
  <si>
    <t xml:space="preserve">    }</t>
  </si>
  <si>
    <t xml:space="preserve">        public int? Id { get; set; }</t>
  </si>
  <si>
    <t>Interface</t>
  </si>
  <si>
    <t>Class</t>
  </si>
  <si>
    <t>Repo</t>
  </si>
  <si>
    <t>IRepo</t>
  </si>
  <si>
    <t>using Dots.Data;</t>
  </si>
  <si>
    <t>using Dots.Data;</t>
  </si>
  <si>
    <t>using Dots.Domain.IdentityDocuments;</t>
  </si>
  <si>
    <t>using Dots.Domain.Investigation.Illustration;</t>
  </si>
  <si>
    <t>using Dots.Domain.Repositories.Helpers;</t>
  </si>
  <si>
    <t>using System.Data;</t>
  </si>
  <si>
    <t>            : base(unitOfWork, true)</t>
  </si>
  <si>
    <t>            {</t>
  </si>
  <si>
    <t>                command</t>
  </si>
  <si>
    <t>                return Get(command);</t>
  </si>
  <si>
    <t>            }</t>
  </si>
  <si>
    <t>                var result = Save(command, value, idParameter);</t>
  </si>
  <si>
    <t>                if (result.Type == DataResultType.Success)</t>
  </si>
  <si>
    <t>                {</t>
  </si>
  <si>
    <t>                    result.Value.Id = result.ValueId;</t>
  </si>
  <si>
    <t>                }</t>
  </si>
  <si>
    <t>                return result;</t>
  </si>
  <si>
    <t xml:space="preserve">        {</t>
  </si>
  <si>
    <t>        }</t>
  </si>
  <si>
    <t>Helper</t>
  </si>
  <si>
    <t>namespace Dots.Domain.Repositories.Helpers</t>
  </si>
  <si>
    <t>            );</t>
  </si>
  <si>
    <t>            while (reader.Read())</t>
  </si>
  <si>
    <t xml:space="preserve">            )</t>
  </si>
  <si>
    <t xml:space="preserve">            Id,</t>
  </si>
  <si>
    <t>Get SP</t>
  </si>
  <si>
    <t>Save SP</t>
  </si>
  <si>
    <t>SELECT</t>
  </si>
  <si>
    <t>FROM</t>
  </si>
  <si>
    <t>Create SP</t>
  </si>
  <si>
    <t>Update SP</t>
  </si>
  <si>
    <t>RETURN @@ROWCOUNT;</t>
  </si>
  <si>
    <t>SELECT 1</t>
  </si>
  <si>
    <t>string</t>
  </si>
  <si>
    <t>CurrencyType</t>
  </si>
  <si>
    <t>bool</t>
  </si>
  <si>
    <t xml:space="preserve">            return !value.Id.HasValue ? Create(value) : Update(value);</t>
  </si>
  <si>
    <t xml:space="preserve">        {</t>
  </si>
  <si>
    <t>                var result = ExecuteNonQueryWithId(command, idParameter);</t>
  </si>
  <si>
    <t>                value.Id = result.ValueId;</t>
  </si>
  <si>
    <t>                var result = ExecuteNonQuery(command);</t>
  </si>
  <si>
    <t>InvoiceLayoutType</t>
  </si>
  <si>
    <t>TimeFrequency</t>
  </si>
  <si>
    <t>CommunicationType</t>
  </si>
  <si>
    <t>dbo</t>
  </si>
  <si>
    <t>Name</t>
  </si>
  <si>
    <t>varchar(50)</t>
  </si>
  <si>
    <t>DeityId</t>
  </si>
  <si>
    <t>CompassionLevels</t>
  </si>
  <si>
    <t>Deities</t>
  </si>
  <si>
    <t>AuthorityLevelId</t>
  </si>
  <si>
    <t>CompassionLevelId</t>
  </si>
  <si>
    <t>FlavourText</t>
  </si>
  <si>
    <t>varchar(MAX)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</si>
</sst>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A66BD3"/>
        <bgColor indexed="64"/>
      </patternFill>
    </fill>
    <fill>
      <patternFill patternType="solid">
        <fgColor rgb="FFFF99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right"/>
    </xf>
    <xf numFmtId="0" fontId="0" fillId="4" borderId="0" xfId="0" applyFill="1" applyAlignment="1">
      <alignment horizontal="right"/>
    </xf>
    <xf numFmtId="0" fontId="0" fillId="5" borderId="0" xfId="0" applyFill="1" applyAlignment="1">
      <alignment horizontal="right"/>
    </xf>
    <xf numFmtId="0" fontId="0" fillId="6" borderId="0" xfId="0" applyFill="1" applyAlignment="1">
      <alignment horizontal="right"/>
    </xf>
    <xf numFmtId="0" fontId="0" fillId="7" borderId="0" xfId="0" applyFill="1" applyAlignment="1">
      <alignment horizontal="right"/>
    </xf>
    <xf numFmtId="0" fontId="0" fillId="8" borderId="0" xfId="0" applyFill="1"/>
    <xf numFmtId="0" fontId="0" fillId="9" borderId="0" xfId="0" applyFill="1"/>
    <xf numFmtId="0" fontId="0" fillId="0" borderId="0" xfId="0" applyFill="1"/>
    <xf numFmtId="0" fontId="0" fillId="0" borderId="0" xfId="0" applyFill="1" applyAlignment="1">
      <alignment horizontal="right"/>
    </xf>
    <xf numFmtId="0" fontId="0" fillId="10" borderId="0" xfId="0" applyFill="1"/>
    <xf numFmtId="0" fontId="0" fillId="11" borderId="0" xfId="0" applyFill="1" applyAlignment="1">
      <alignment horizontal="right"/>
    </xf>
    <xf numFmtId="0" fontId="0" fillId="11" borderId="0" xfId="0" applyFill="1"/>
    <xf numFmtId="0" fontId="0" fillId="3" borderId="0" xfId="0" quotePrefix="1" applyFill="1"/>
    <xf numFmtId="0" fontId="0" fillId="12" borderId="0" xfId="0" applyFill="1" applyAlignment="1">
      <alignment horizontal="right"/>
    </xf>
    <xf numFmtId="0" fontId="0" fillId="13" borderId="0" xfId="0" applyFill="1" applyAlignment="1">
      <alignment horizontal="right"/>
    </xf>
    <xf numFmtId="0" fontId="0" fillId="13" borderId="0" xfId="0" applyFill="1"/>
    <xf numFmtId="0" fontId="0" fillId="12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FF"/>
      <color rgb="FFA66BD3"/>
      <color rgb="FFCC99FF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02"/>
  <sheetViews>
    <sheetView tabSelected="1" zoomScaleNormal="100" workbookViewId="0">
      <selection activeCell="C7" sqref="C7"/>
    </sheetView>
  </sheetViews>
  <sheetFormatPr defaultRowHeight="15" x14ac:dyDescent="0.25"/>
  <cols>
    <col min="1" max="1" width="14" customWidth="1"/>
    <col min="2" max="2" width="26.7109375" bestFit="1" customWidth="1"/>
    <col min="3" max="3" width="13.140625" customWidth="1"/>
    <col min="4" max="4" width="9" bestFit="1" customWidth="1"/>
    <col min="5" max="5" width="13.42578125" bestFit="1" customWidth="1"/>
    <col min="6" max="6" width="5.42578125" bestFit="1" customWidth="1"/>
    <col min="7" max="7" width="27.85546875" customWidth="1"/>
    <col min="8" max="8" width="7.5703125" bestFit="1" customWidth="1"/>
    <col min="9" max="9" width="9.140625" customWidth="1"/>
    <col min="10" max="10" width="137.42578125" style="3" customWidth="1"/>
    <col min="11" max="11" width="9.140625" customWidth="1"/>
    <col min="12" max="12" width="57.7109375" style="22" customWidth="1"/>
    <col min="13" max="13" width="9.140625" style="14" customWidth="1"/>
    <col min="14" max="14" width="57.7109375" style="23" customWidth="1"/>
    <col min="15" max="15" width="9.140625" style="14" customWidth="1"/>
    <col min="16" max="16" width="51.140625" style="18" customWidth="1"/>
    <col min="17" max="17" width="13.140625" bestFit="1" customWidth="1"/>
    <col min="18" max="18" width="33.5703125" style="5" hidden="1" customWidth="1"/>
    <col min="19" max="19" width="9.140625" customWidth="1"/>
    <col min="20" max="20" width="40.85546875" style="6" bestFit="1" customWidth="1"/>
    <col min="21" max="21" width="9.140625" style="14" customWidth="1"/>
    <col min="22" max="22" width="75.85546875" style="16" bestFit="1" customWidth="1"/>
    <col min="23" max="23" width="9.140625" customWidth="1"/>
    <col min="24" max="24" width="45.7109375" style="12" bestFit="1" customWidth="1"/>
    <col min="25" max="25" width="9.140625" customWidth="1"/>
    <col min="26" max="26" width="90.42578125" style="13" bestFit="1" customWidth="1"/>
  </cols>
  <sheetData>
    <row r="1" spans="1:44" x14ac:dyDescent="0.25">
      <c r="B1" s="1" t="s">
        <v>1</v>
      </c>
      <c r="C1" s="1" t="s">
        <v>2</v>
      </c>
      <c r="I1" s="7" t="s">
        <v>2</v>
      </c>
      <c r="J1" s="8"/>
      <c r="K1" s="7" t="s">
        <v>91</v>
      </c>
      <c r="L1" s="21"/>
      <c r="M1" s="15" t="s">
        <v>92</v>
      </c>
      <c r="N1" s="20"/>
      <c r="O1" s="15" t="s">
        <v>87</v>
      </c>
      <c r="P1" s="17"/>
      <c r="Q1" s="7" t="s">
        <v>58</v>
      </c>
      <c r="R1" s="10"/>
      <c r="S1" s="7" t="s">
        <v>59</v>
      </c>
      <c r="T1" s="11"/>
      <c r="U1" s="15" t="s">
        <v>81</v>
      </c>
      <c r="W1" s="7" t="s">
        <v>61</v>
      </c>
      <c r="Y1" s="7" t="s">
        <v>60</v>
      </c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</row>
    <row r="2" spans="1:44" x14ac:dyDescent="0.25">
      <c r="A2" t="s">
        <v>3</v>
      </c>
      <c r="B2" s="2" t="s">
        <v>106</v>
      </c>
      <c r="C2" s="2" t="s">
        <v>111</v>
      </c>
      <c r="J2" s="3" t="str">
        <f>A2&amp;" ["&amp;B2&amp;"].["&amp;C2&amp;"]"</f>
        <v>CREATE TABLE [dbo].[Deities]</v>
      </c>
      <c r="L2" s="22" t="str">
        <f>"CREATE PROCEDURE"&amp;" ["&amp;B2&amp;"].[USP_"&amp;C2&amp;"_Create]"</f>
        <v>CREATE PROCEDURE [dbo].[USP_Deities_Create]</v>
      </c>
      <c r="N2" s="23" t="str">
        <f>"CREATE PROCEDURE"&amp;" ["&amp;B2&amp;"].[USP_"&amp;C2&amp;"_Update]"</f>
        <v>CREATE PROCEDURE [dbo].[USP_Deities_Update]</v>
      </c>
      <c r="P2" s="18" t="str">
        <f>"CREATE PROCEDURE"&amp;" ["&amp;B2&amp;"].[USP_"&amp;C2&amp;"_Get]"</f>
        <v>CREATE PROCEDURE [dbo].[USP_Deities_Get]</v>
      </c>
      <c r="R2" s="5" t="s">
        <v>46</v>
      </c>
      <c r="T2" s="6" t="s">
        <v>46</v>
      </c>
      <c r="V2" s="16" t="s">
        <v>63</v>
      </c>
      <c r="X2" s="12" t="s">
        <v>62</v>
      </c>
      <c r="Z2" s="13" t="s">
        <v>63</v>
      </c>
    </row>
    <row r="3" spans="1:44" x14ac:dyDescent="0.25">
      <c r="A3" t="s">
        <v>4</v>
      </c>
      <c r="B3" t="s">
        <v>109</v>
      </c>
      <c r="C3" s="1" t="s">
        <v>5</v>
      </c>
      <c r="D3" s="1" t="s">
        <v>7</v>
      </c>
      <c r="E3" s="1" t="s">
        <v>35</v>
      </c>
      <c r="F3" s="1" t="s">
        <v>37</v>
      </c>
      <c r="G3" s="1" t="s">
        <v>36</v>
      </c>
      <c r="H3" s="1" t="s">
        <v>8</v>
      </c>
      <c r="J3" s="3" t="str">
        <f>A3</f>
        <v>(</v>
      </c>
      <c r="L3" s="22" t="str">
        <f>IF(NOT(ISBLANK(B4)),"@"&amp;B4&amp;" "&amp;UPPER(C4)&amp;" = NULL OUTPUT,","")</f>
        <v>@DeityId INT = NULL OUTPUT,</v>
      </c>
      <c r="N3" s="23" t="str">
        <f>IF(NOT(ISBLANK(B4)),"@"&amp;B4&amp;" "&amp;UPPER(C4)&amp;",","")</f>
        <v>@DeityId INT,</v>
      </c>
      <c r="P3" s="18" t="str">
        <f>"@"&amp;C2&amp;"Id"&amp;" INT"</f>
        <v>@DeitiesId INT</v>
      </c>
      <c r="R3" s="5" t="s">
        <v>47</v>
      </c>
      <c r="T3" s="6" t="s">
        <v>47</v>
      </c>
      <c r="V3" s="16" t="s">
        <v>46</v>
      </c>
      <c r="Z3" s="13" t="s">
        <v>64</v>
      </c>
    </row>
    <row r="4" spans="1:44" x14ac:dyDescent="0.25">
      <c r="A4" s="1" t="s">
        <v>0</v>
      </c>
      <c r="B4" s="14" t="str">
        <f>IF(NOT(ISBLANK(B3)),B3,LEFT(C2,LEN(C2)-1)&amp;"Id")</f>
        <v>DeityId</v>
      </c>
      <c r="C4" s="14" t="s">
        <v>6</v>
      </c>
      <c r="D4" s="14" t="b">
        <v>1</v>
      </c>
      <c r="E4" s="14"/>
      <c r="F4" s="14" t="b">
        <v>1</v>
      </c>
      <c r="H4" s="14"/>
      <c r="J4" s="3" t="str">
        <f>"    "&amp;B4&amp;" "&amp;UPPER(C4)&amp;IF(E4," NOT NULL","")&amp;IF(D4," IDENTITY(1,1)","")&amp;IF(NOT(ISBLANK(F4))," CONSTRAINT "&amp;C$2&amp;"_"&amp;B4&amp;"_PK PRIMARY KEY","")&amp;IF(LEN(G4)&gt;0," CONSTRAINT "&amp;C$2&amp;"_"&amp;B4&amp;"_FK FOREIGN KEY REFERENCES "&amp;G4,"")&amp;IF(NOT(ISBLANK(H4))," CONSTRAINT "&amp;C$2&amp;"_"&amp;B4&amp;"_DF DEFAULT("&amp;H4&amp;")","")&amp;IF(NOT(ISBLANK(B5)),",","")</f>
        <v xml:space="preserve">    DeityId INT IDENTITY(1,1) CONSTRAINT Deities_DeityId_PK PRIMARY KEY,</v>
      </c>
      <c r="L4" s="22" t="str">
        <f>IF(NOT(ISBLANK(B5)),"@"&amp;B5&amp;" "&amp;UPPER(C5)&amp;IF(NOT(ISBLANK(B6)),",",""),"")</f>
        <v>@AuthorityLevelId INT,</v>
      </c>
      <c r="N4" s="23" t="str">
        <f>IF(NOT(ISBLANK(B5)),"@"&amp;B5&amp;" "&amp;UPPER(C5)&amp;IF(NOT(ISBLANK(B6)),",",""),"")</f>
        <v>@AuthorityLevelId INT,</v>
      </c>
      <c r="P4" s="18" t="s">
        <v>38</v>
      </c>
      <c r="R4" s="5" t="s">
        <v>48</v>
      </c>
      <c r="T4" s="6" t="s">
        <v>48</v>
      </c>
      <c r="V4" s="16" t="s">
        <v>67</v>
      </c>
      <c r="X4" s="12" t="str">
        <f>"namespace Dots.Domain."&amp;B2&amp;"s"</f>
        <v>namespace Dots.Domain.dbos</v>
      </c>
      <c r="Z4" s="13" t="s">
        <v>65</v>
      </c>
    </row>
    <row r="5" spans="1:44" x14ac:dyDescent="0.25">
      <c r="B5" s="2" t="s">
        <v>112</v>
      </c>
      <c r="C5" s="2" t="s">
        <v>6</v>
      </c>
      <c r="D5" s="2"/>
      <c r="E5" s="2"/>
      <c r="F5" s="2"/>
      <c r="G5" t="str">
        <f>IF(UPPER(RIGHT(B5,2))="ID",B$2&amp;"."&amp;LEFT(B5,LEN(B5)-2)&amp;"("&amp;B5&amp;")","")</f>
        <v>dbo.AuthorityLevel(AuthorityLevelId)</v>
      </c>
      <c r="H5" s="19"/>
      <c r="J5" s="3" t="str">
        <f t="shared" ref="J5:J32" si="0">"    "&amp;B5&amp;" "&amp;UPPER(C5)&amp;IF(E5," NOT NULL","")&amp;IF(D5," IDENTITY(1,1)","")&amp;IF(NOT(ISBLANK(F5))," CONSTRAINT "&amp;C$2&amp;"_"&amp;B5&amp;"_PK PRIMARY KEY","")&amp;IF(LEN(G5)&gt;0," CONSTRAINT "&amp;C$2&amp;"_"&amp;B5&amp;"_FK FOREIGN KEY REFERENCES "&amp;G5,"")&amp;IF(NOT(ISBLANK(H5))," CONSTRAINT "&amp;C$2&amp;"_"&amp;B5&amp;"_DF DEFAULT("&amp;H5&amp;")","")&amp;IF(NOT(ISBLANK(B6)),",","")</f>
        <v xml:space="preserve">    AuthorityLevelId INT CONSTRAINT Deities_AuthorityLevelId_FK FOREIGN KEY REFERENCES dbo.AuthorityLevel(AuthorityLevelId),</v>
      </c>
      <c r="L5" s="22" t="str">
        <f t="shared" ref="L5:L19" si="1">IF(NOT(ISBLANK(B6)),"@"&amp;B6&amp;" "&amp;UPPER(C6)&amp;IF(NOT(ISBLANK(B7)),",",""),"")</f>
        <v>@CompassionLevelId INT,</v>
      </c>
      <c r="N5" s="23" t="str">
        <f t="shared" ref="N5:N19" si="2">IF(NOT(ISBLANK(B6)),"@"&amp;B6&amp;" "&amp;UPPER(C6)&amp;IF(NOT(ISBLANK(B7)),",",""),"")</f>
        <v>@CompassionLevelId INT,</v>
      </c>
      <c r="R5" s="5" t="s">
        <v>49</v>
      </c>
      <c r="T5" s="6" t="s">
        <v>49</v>
      </c>
      <c r="V5" s="16" t="s">
        <v>12</v>
      </c>
      <c r="X5" s="12" t="s">
        <v>50</v>
      </c>
      <c r="Z5" s="13" t="s">
        <v>66</v>
      </c>
    </row>
    <row r="6" spans="1:44" x14ac:dyDescent="0.25">
      <c r="B6" s="2" t="s">
        <v>113</v>
      </c>
      <c r="C6" s="2" t="s">
        <v>6</v>
      </c>
      <c r="D6" s="2"/>
      <c r="E6" s="2"/>
      <c r="F6" s="2"/>
      <c r="G6" t="str">
        <f t="shared" ref="G6" si="3">IF(UPPER(RIGHT(B6,2))="ID",B$2&amp;"."&amp;LEFT(B6,LEN(B6)-2)&amp;"("&amp;B6&amp;")","")</f>
        <v>dbo.CompassionLevel(CompassionLevelId)</v>
      </c>
      <c r="H6" s="19"/>
      <c r="J6" s="3" t="str">
        <f t="shared" si="0"/>
        <v xml:space="preserve">    CompassionLevelId INT CONSTRAINT Deities_CompassionLevelId_FK FOREIGN KEY REFERENCES dbo.CompassionLevel(CompassionLevelId),</v>
      </c>
      <c r="L6" s="22" t="str">
        <f t="shared" si="1"/>
        <v>@FlavourText VARCHAR(MAX)</v>
      </c>
      <c r="N6" s="23" t="str">
        <f t="shared" si="2"/>
        <v>@FlavourText VARCHAR(MAX)</v>
      </c>
      <c r="P6" s="18" t="s">
        <v>89</v>
      </c>
      <c r="R6" s="5" t="s">
        <v>12</v>
      </c>
      <c r="T6" s="6" t="s">
        <v>12</v>
      </c>
      <c r="V6" s="16" t="str">
        <f>"namespace Dots.Domain.Repositories."&amp;B2&amp;"s"</f>
        <v>namespace Dots.Domain.Repositories.dbos</v>
      </c>
      <c r="X6" s="12" t="str">
        <f>"    public interface I"&amp;C2&amp;"Repository"</f>
        <v>    public interface IDeitiesRepository</v>
      </c>
      <c r="Z6" s="13" t="s">
        <v>67</v>
      </c>
    </row>
    <row r="7" spans="1:44" x14ac:dyDescent="0.25">
      <c r="B7" s="2" t="s">
        <v>114</v>
      </c>
      <c r="C7" s="2" t="s">
        <v>115</v>
      </c>
      <c r="D7" s="2"/>
      <c r="E7" s="2"/>
      <c r="F7" s="2"/>
      <c r="G7" t="str">
        <f t="shared" ref="G7:G20" si="4">IF(UPPER(RIGHT(B7,2))="ID",B$2&amp;"."&amp;LEFT(B7,LEN(B7)-2)&amp;"("&amp;B7&amp;")","")</f>
        <v/>
      </c>
      <c r="H7" s="2"/>
      <c r="J7" s="3" t="str">
        <f t="shared" si="0"/>
        <v xml:space="preserve">    FlavourText VARCHAR(MAX)</v>
      </c>
      <c r="L7" s="22" t="str">
        <f t="shared" si="1"/>
        <v/>
      </c>
      <c r="N7" s="23" t="str">
        <f t="shared" si="2"/>
        <v/>
      </c>
      <c r="P7" s="18" t="str">
        <f>IF(NOT(ISBLANK(B4)),"    ["&amp;B4&amp;"]"&amp;IF(LEN(P8)&gt;0,",",""),"")</f>
        <v xml:space="preserve">    [DeityId],</v>
      </c>
      <c r="R7" s="5" t="str">
        <f>"namespace Dots.Domain."&amp;B2</f>
        <v>namespace Dots.Domain.dbo</v>
      </c>
      <c r="T7" s="6" t="str">
        <f>"namespace Dots.Domain."&amp;B2&amp;"s"</f>
        <v>namespace Dots.Domain.dbos</v>
      </c>
      <c r="V7" s="16" t="s">
        <v>50</v>
      </c>
      <c r="X7" s="12" t="s">
        <v>51</v>
      </c>
      <c r="Z7" s="13" t="s">
        <v>12</v>
      </c>
    </row>
    <row r="8" spans="1:44" x14ac:dyDescent="0.25">
      <c r="B8" s="2"/>
      <c r="C8" s="2"/>
      <c r="D8" s="2"/>
      <c r="E8" s="2"/>
      <c r="F8" s="2"/>
      <c r="G8" t="str">
        <f t="shared" si="4"/>
        <v/>
      </c>
      <c r="H8" s="2"/>
      <c r="J8" s="3" t="str">
        <f t="shared" si="0"/>
        <v xml:space="preserve">     </v>
      </c>
      <c r="L8" s="22" t="str">
        <f t="shared" si="1"/>
        <v/>
      </c>
      <c r="N8" s="23" t="str">
        <f t="shared" si="2"/>
        <v/>
      </c>
      <c r="P8" s="18" t="str">
        <f t="shared" ref="P8:P22" si="5">IF(NOT(ISBLANK(B5)),"    ["&amp;B5&amp;"]"&amp;IF(LEN(P9)&gt;0,",",""),"")</f>
        <v xml:space="preserve">    [AuthorityLevelId],</v>
      </c>
      <c r="R8" s="5" t="s">
        <v>50</v>
      </c>
      <c r="T8" s="6" t="s">
        <v>50</v>
      </c>
      <c r="V8" s="16" t="str">
        <f>"    public static class "&amp;C2&amp;"Helper"</f>
        <v>    public static class DeitiesHelper</v>
      </c>
      <c r="X8" s="12" t="str">
        <f>"        "&amp;C2&amp;" Get(int "&amp;LOWER(C2)&amp;"Id);"</f>
        <v>        Deities Get(int deitiesId);</v>
      </c>
      <c r="Z8" s="13" t="str">
        <f>"namespace Dots.Domain.Repositories."&amp;B2&amp;"s"</f>
        <v>namespace Dots.Domain.Repositories.dbos</v>
      </c>
    </row>
    <row r="9" spans="1:44" x14ac:dyDescent="0.25">
      <c r="B9" s="2"/>
      <c r="C9" s="2"/>
      <c r="D9" s="2"/>
      <c r="E9" s="2"/>
      <c r="F9" s="2"/>
      <c r="G9" t="str">
        <f t="shared" si="4"/>
        <v/>
      </c>
      <c r="H9" s="2"/>
      <c r="J9" s="3" t="str">
        <f t="shared" si="0"/>
        <v xml:space="preserve">     </v>
      </c>
      <c r="L9" s="22" t="str">
        <f t="shared" si="1"/>
        <v/>
      </c>
      <c r="N9" s="23" t="str">
        <f t="shared" si="2"/>
        <v/>
      </c>
      <c r="P9" s="18" t="str">
        <f t="shared" si="5"/>
        <v xml:space="preserve">    [CompassionLevelId],</v>
      </c>
      <c r="R9" s="5" t="str">
        <f>"    public interface I"&amp;C2&amp;" : IEntity"</f>
        <v>    public interface IDeities : IEntity</v>
      </c>
      <c r="T9" s="6" t="str">
        <f>"    public class "&amp;C2&amp;" : IEntity"</f>
        <v>    public class Deities : IEntity</v>
      </c>
      <c r="V9" s="16" t="s">
        <v>51</v>
      </c>
      <c r="X9" s="12" t="s">
        <v>12</v>
      </c>
      <c r="Z9" s="13" t="s">
        <v>50</v>
      </c>
    </row>
    <row r="10" spans="1:44" x14ac:dyDescent="0.25">
      <c r="B10" s="2"/>
      <c r="C10" s="2"/>
      <c r="D10" s="2"/>
      <c r="E10" s="2"/>
      <c r="F10" s="2"/>
      <c r="G10" t="str">
        <f t="shared" si="4"/>
        <v/>
      </c>
      <c r="H10" s="19"/>
      <c r="J10" s="3" t="str">
        <f t="shared" si="0"/>
        <v xml:space="preserve">     </v>
      </c>
      <c r="L10" s="22" t="str">
        <f t="shared" si="1"/>
        <v/>
      </c>
      <c r="N10" s="23" t="str">
        <f t="shared" si="2"/>
        <v/>
      </c>
      <c r="P10" s="18" t="str">
        <f t="shared" si="5"/>
        <v xml:space="preserve">    [FlavourText]</v>
      </c>
      <c r="R10" s="5" t="s">
        <v>51</v>
      </c>
      <c r="T10" s="6" t="s">
        <v>51</v>
      </c>
      <c r="V10" s="16" t="str">
        <f>"        public static "&amp;C2&amp;" ParseReader(IDataReader reader)"</f>
        <v>        public static Deities ParseReader(IDataReader reader)</v>
      </c>
      <c r="X10" s="12" t="str">
        <f>"        DataResult&lt;"&amp;C2&amp;"&gt; Save("&amp;C2&amp;" "&amp;LOWER(C2)&amp;");"</f>
        <v>        DataResult&lt;Deities&gt; Save(Deities deities);</v>
      </c>
      <c r="Z10" s="13" t="str">
        <f>"    public class Sql"&amp;C2&amp;"Repository : Repository&lt;"&amp;C2&amp;"&gt;, I"&amp;C2&amp;"Repository"</f>
        <v>    public class SqlDeitiesRepository : Repository&lt;Deities&gt;, IDeitiesRepository</v>
      </c>
    </row>
    <row r="11" spans="1:44" x14ac:dyDescent="0.25">
      <c r="B11" s="2"/>
      <c r="C11" s="2"/>
      <c r="D11" s="2"/>
      <c r="E11" s="2"/>
      <c r="F11" s="2"/>
      <c r="G11" t="str">
        <f t="shared" si="4"/>
        <v/>
      </c>
      <c r="H11" s="19"/>
      <c r="J11" s="3" t="str">
        <f t="shared" si="0"/>
        <v xml:space="preserve">     </v>
      </c>
      <c r="L11" s="22" t="str">
        <f t="shared" si="1"/>
        <v/>
      </c>
      <c r="N11" s="23" t="str">
        <f t="shared" si="2"/>
        <v/>
      </c>
      <c r="P11" s="18" t="str">
        <f t="shared" si="5"/>
        <v/>
      </c>
      <c r="T11" s="6" t="s">
        <v>57</v>
      </c>
      <c r="V11" s="16" t="s">
        <v>52</v>
      </c>
      <c r="X11" s="12" t="s">
        <v>54</v>
      </c>
      <c r="Z11" s="13" t="s">
        <v>51</v>
      </c>
    </row>
    <row r="12" spans="1:44" x14ac:dyDescent="0.25">
      <c r="B12" s="2"/>
      <c r="C12" s="2"/>
      <c r="D12" s="2"/>
      <c r="E12" s="2"/>
      <c r="F12" s="2"/>
      <c r="G12" t="str">
        <f t="shared" si="4"/>
        <v/>
      </c>
      <c r="H12" s="19"/>
      <c r="J12" s="3" t="str">
        <f t="shared" si="0"/>
        <v xml:space="preserve">     </v>
      </c>
      <c r="L12" s="22" t="str">
        <f t="shared" si="1"/>
        <v/>
      </c>
      <c r="N12" s="23" t="str">
        <f t="shared" si="2"/>
        <v/>
      </c>
      <c r="P12" s="18" t="str">
        <f t="shared" si="5"/>
        <v/>
      </c>
      <c r="Q12" t="str">
        <f t="shared" ref="Q12:Q27" si="6">IF(NOT(ISBLANK(C5)),C5,"")</f>
        <v>int</v>
      </c>
      <c r="R12" s="5" t="str">
        <f t="shared" ref="R12:R27" si="7">IF(NOT(ISBLANK(C5)),"        "&amp;IF(ISBLANK(S12),C5,S12)&amp;" "&amp;B5&amp;" { get; set; }","")</f>
        <v xml:space="preserve">        string AuthorityLevelId { get; set; }</v>
      </c>
      <c r="S12" t="s">
        <v>95</v>
      </c>
      <c r="T12" s="6" t="str">
        <f t="shared" ref="T12:T27" si="8">IF(LEN(R12)&gt;0,"        public "&amp;TRIM(R12),"")</f>
        <v xml:space="preserve">        public string AuthorityLevelId { get; set; }</v>
      </c>
      <c r="V12" s="16" t="str">
        <f>"            return new "&amp;C2&amp;"("</f>
        <v>            return new Deities(</v>
      </c>
      <c r="X12" s="12" t="s">
        <v>55</v>
      </c>
      <c r="Z12" s="13" t="str">
        <f>"        public Sql"&amp;C2&amp;"Repository(IUnitOfWork unitOfWork)"</f>
        <v>        public SqlDeitiesRepository(IUnitOfWork unitOfWork)</v>
      </c>
    </row>
    <row r="13" spans="1:44" x14ac:dyDescent="0.25">
      <c r="B13" s="2"/>
      <c r="C13" s="2"/>
      <c r="D13" s="2"/>
      <c r="E13" s="2"/>
      <c r="F13" s="2"/>
      <c r="G13" t="str">
        <f t="shared" si="4"/>
        <v/>
      </c>
      <c r="H13" s="2"/>
      <c r="J13" s="3" t="str">
        <f t="shared" si="0"/>
        <v xml:space="preserve">     </v>
      </c>
      <c r="L13" s="22" t="str">
        <f t="shared" si="1"/>
        <v/>
      </c>
      <c r="N13" s="23" t="str">
        <f t="shared" si="2"/>
        <v/>
      </c>
      <c r="P13" s="18" t="str">
        <f t="shared" si="5"/>
        <v/>
      </c>
      <c r="Q13" t="str">
        <f t="shared" si="6"/>
        <v>int</v>
      </c>
      <c r="R13" s="5" t="str">
        <f t="shared" si="7"/>
        <v xml:space="preserve">        string CompassionLevelId { get; set; }</v>
      </c>
      <c r="S13" t="s">
        <v>95</v>
      </c>
      <c r="T13" s="6" t="str">
        <f t="shared" si="8"/>
        <v xml:space="preserve">        public string CompassionLevelId { get; set; }</v>
      </c>
      <c r="V13" s="16" t="str">
        <f>"                reader.Get&lt;int&gt;("&amp;C2&amp;"Col.Id),"</f>
        <v xml:space="preserve">                reader.Get&lt;int&gt;(DeitiesCol.Id),</v>
      </c>
      <c r="Z13" s="13" t="s">
        <v>68</v>
      </c>
    </row>
    <row r="14" spans="1:44" x14ac:dyDescent="0.25">
      <c r="B14" s="2"/>
      <c r="C14" s="2"/>
      <c r="D14" s="2"/>
      <c r="E14" s="2"/>
      <c r="F14" s="2"/>
      <c r="G14" t="str">
        <f t="shared" si="4"/>
        <v/>
      </c>
      <c r="H14" s="2"/>
      <c r="J14" s="3" t="str">
        <f t="shared" si="0"/>
        <v xml:space="preserve">     </v>
      </c>
      <c r="L14" s="22" t="str">
        <f t="shared" si="1"/>
        <v/>
      </c>
      <c r="N14" s="23" t="str">
        <f t="shared" si="2"/>
        <v/>
      </c>
      <c r="P14" s="18" t="str">
        <f t="shared" si="5"/>
        <v/>
      </c>
      <c r="Q14" t="str">
        <f t="shared" si="6"/>
        <v>varchar(MAX)</v>
      </c>
      <c r="R14" s="5" t="str">
        <f t="shared" si="7"/>
        <v xml:space="preserve">        int FlavourText { get; set; }</v>
      </c>
      <c r="S14" t="s">
        <v>6</v>
      </c>
      <c r="T14" s="6" t="str">
        <f t="shared" si="8"/>
        <v xml:space="preserve">        public int FlavourText { get; set; }</v>
      </c>
      <c r="V14" s="16" t="str">
        <f t="shared" ref="V14:V29" si="9">IF(LEN(S12)&gt;0,"                reader.Get&lt;"&amp;S12&amp;"&gt;("&amp;C$2&amp;"Col."&amp;B5&amp;")"&amp;IF(LEN(V15)&gt;0,",",""),"")</f>
        <v>                reader.Get&lt;string&gt;(DeitiesCol.AuthorityLevelId),</v>
      </c>
      <c r="Z14" s="13" t="s">
        <v>52</v>
      </c>
    </row>
    <row r="15" spans="1:44" x14ac:dyDescent="0.25">
      <c r="B15" s="2"/>
      <c r="C15" s="2"/>
      <c r="D15" s="2"/>
      <c r="E15" s="2"/>
      <c r="F15" s="2"/>
      <c r="G15" t="str">
        <f t="shared" si="4"/>
        <v/>
      </c>
      <c r="H15" s="2"/>
      <c r="J15" s="3" t="str">
        <f t="shared" si="0"/>
        <v xml:space="preserve">     </v>
      </c>
      <c r="L15" s="22" t="str">
        <f t="shared" si="1"/>
        <v/>
      </c>
      <c r="N15" s="23" t="str">
        <f t="shared" si="2"/>
        <v/>
      </c>
      <c r="P15" s="18" t="str">
        <f t="shared" si="5"/>
        <v/>
      </c>
      <c r="Q15" t="str">
        <f t="shared" si="6"/>
        <v/>
      </c>
      <c r="R15" s="5" t="str">
        <f t="shared" si="7"/>
        <v/>
      </c>
      <c r="S15" t="s">
        <v>96</v>
      </c>
      <c r="T15" s="6" t="str">
        <f t="shared" si="8"/>
        <v/>
      </c>
      <c r="V15" s="16" t="str">
        <f t="shared" si="9"/>
        <v>                reader.Get&lt;string&gt;(DeitiesCol.CompassionLevelId),</v>
      </c>
      <c r="Z15" s="13" t="s">
        <v>53</v>
      </c>
    </row>
    <row r="16" spans="1:44" x14ac:dyDescent="0.25">
      <c r="B16" s="2"/>
      <c r="C16" s="2"/>
      <c r="D16" s="2"/>
      <c r="E16" s="2"/>
      <c r="F16" s="2"/>
      <c r="G16" t="str">
        <f t="shared" si="4"/>
        <v/>
      </c>
      <c r="H16" s="2"/>
      <c r="J16" s="3" t="str">
        <f t="shared" si="0"/>
        <v xml:space="preserve">     </v>
      </c>
      <c r="L16" s="22" t="str">
        <f t="shared" si="1"/>
        <v/>
      </c>
      <c r="N16" s="23" t="str">
        <f t="shared" si="2"/>
        <v/>
      </c>
      <c r="P16" s="18" t="str">
        <f t="shared" si="5"/>
        <v/>
      </c>
      <c r="Q16" t="str">
        <f t="shared" si="6"/>
        <v/>
      </c>
      <c r="R16" s="5" t="str">
        <f t="shared" si="7"/>
        <v/>
      </c>
      <c r="S16" t="s">
        <v>97</v>
      </c>
      <c r="T16" s="6" t="str">
        <f t="shared" si="8"/>
        <v/>
      </c>
      <c r="V16" s="16" t="str">
        <f t="shared" si="9"/>
        <v>                reader.Get&lt;int&gt;(DeitiesCol.FlavourText),</v>
      </c>
    </row>
    <row r="17" spans="2:26" x14ac:dyDescent="0.25">
      <c r="B17" s="2"/>
      <c r="C17" s="2"/>
      <c r="D17" s="2"/>
      <c r="E17" s="2"/>
      <c r="F17" s="2"/>
      <c r="G17" t="str">
        <f t="shared" si="4"/>
        <v/>
      </c>
      <c r="H17" s="2"/>
      <c r="J17" s="3" t="str">
        <f t="shared" si="0"/>
        <v xml:space="preserve">     </v>
      </c>
      <c r="L17" s="22" t="str">
        <f t="shared" si="1"/>
        <v/>
      </c>
      <c r="N17" s="23" t="str">
        <f t="shared" si="2"/>
        <v/>
      </c>
      <c r="P17" s="18" t="str">
        <f t="shared" si="5"/>
        <v/>
      </c>
      <c r="Q17" t="str">
        <f t="shared" si="6"/>
        <v/>
      </c>
      <c r="R17" s="5" t="str">
        <f t="shared" si="7"/>
        <v/>
      </c>
      <c r="S17" t="s">
        <v>95</v>
      </c>
      <c r="T17" s="6" t="str">
        <f t="shared" si="8"/>
        <v/>
      </c>
      <c r="V17" s="16" t="str">
        <f t="shared" si="9"/>
        <v>                reader.Get&lt;CurrencyType&gt;(DeitiesCol.),</v>
      </c>
      <c r="Z17" s="13" t="str">
        <f>"        protected override "&amp;C2&amp;" Map(IDataReader reader)"</f>
        <v xml:space="preserve">        protected override Deities Map(IDataReader reader)</v>
      </c>
    </row>
    <row r="18" spans="2:26" x14ac:dyDescent="0.25">
      <c r="B18" s="2"/>
      <c r="C18" s="2"/>
      <c r="D18" s="2"/>
      <c r="E18" s="2"/>
      <c r="F18" s="2"/>
      <c r="G18" t="str">
        <f t="shared" si="4"/>
        <v/>
      </c>
      <c r="H18" s="2"/>
      <c r="J18" s="3" t="str">
        <f t="shared" si="0"/>
        <v xml:space="preserve">     </v>
      </c>
      <c r="L18" s="22" t="str">
        <f t="shared" si="1"/>
        <v/>
      </c>
      <c r="N18" s="23" t="str">
        <f t="shared" si="2"/>
        <v/>
      </c>
      <c r="P18" s="18" t="str">
        <f t="shared" si="5"/>
        <v/>
      </c>
      <c r="Q18" t="str">
        <f t="shared" si="6"/>
        <v/>
      </c>
      <c r="R18" s="5" t="str">
        <f t="shared" si="7"/>
        <v/>
      </c>
      <c r="S18" t="s">
        <v>95</v>
      </c>
      <c r="T18" s="6" t="str">
        <f t="shared" si="8"/>
        <v/>
      </c>
      <c r="V18" s="16" t="str">
        <f t="shared" si="9"/>
        <v>                reader.Get&lt;bool&gt;(DeitiesCol.),</v>
      </c>
      <c r="Z18" s="13" t="s">
        <v>79</v>
      </c>
    </row>
    <row r="19" spans="2:26" x14ac:dyDescent="0.25">
      <c r="B19" s="2"/>
      <c r="C19" s="2"/>
      <c r="D19" s="2"/>
      <c r="E19" s="2"/>
      <c r="F19" s="2"/>
      <c r="G19" t="str">
        <f t="shared" si="4"/>
        <v/>
      </c>
      <c r="H19" s="2"/>
      <c r="J19" s="3" t="str">
        <f t="shared" si="0"/>
        <v xml:space="preserve">     </v>
      </c>
      <c r="L19" s="22" t="str">
        <f t="shared" si="1"/>
        <v/>
      </c>
      <c r="N19" s="23" t="str">
        <f t="shared" si="2"/>
        <v/>
      </c>
      <c r="P19" s="18" t="str">
        <f t="shared" si="5"/>
        <v/>
      </c>
      <c r="Q19" t="str">
        <f t="shared" si="6"/>
        <v/>
      </c>
      <c r="R19" s="5" t="str">
        <f t="shared" si="7"/>
        <v/>
      </c>
      <c r="S19" t="s">
        <v>95</v>
      </c>
      <c r="T19" s="6" t="str">
        <f t="shared" si="8"/>
        <v/>
      </c>
      <c r="V19" s="16" t="str">
        <f t="shared" si="9"/>
        <v>                reader.Get&lt;string&gt;(DeitiesCol.),</v>
      </c>
      <c r="Z19" s="13" t="str">
        <f>"           return "&amp;C2&amp;"Helper.ParseReader(reader);"</f>
        <v>           return DeitiesHelper.ParseReader(reader);</v>
      </c>
    </row>
    <row r="20" spans="2:26" x14ac:dyDescent="0.25">
      <c r="B20" s="2"/>
      <c r="C20" s="2"/>
      <c r="D20" s="2"/>
      <c r="E20" s="2"/>
      <c r="F20" s="2"/>
      <c r="G20" t="str">
        <f t="shared" si="4"/>
        <v/>
      </c>
      <c r="H20" s="2"/>
      <c r="J20" s="3" t="str">
        <f t="shared" si="0"/>
        <v xml:space="preserve">     </v>
      </c>
      <c r="L20" s="22" t="s">
        <v>38</v>
      </c>
      <c r="N20" s="23" t="s">
        <v>38</v>
      </c>
      <c r="P20" s="18" t="str">
        <f t="shared" si="5"/>
        <v/>
      </c>
      <c r="Q20" t="str">
        <f t="shared" si="6"/>
        <v/>
      </c>
      <c r="R20" s="5" t="str">
        <f t="shared" si="7"/>
        <v/>
      </c>
      <c r="S20" t="s">
        <v>103</v>
      </c>
      <c r="T20" s="6" t="str">
        <f t="shared" si="8"/>
        <v/>
      </c>
      <c r="V20" s="16" t="str">
        <f t="shared" si="9"/>
        <v>                reader.Get&lt;string&gt;(DeitiesCol.),</v>
      </c>
      <c r="Z20" s="13" t="s">
        <v>80</v>
      </c>
    </row>
    <row r="21" spans="2:26" x14ac:dyDescent="0.25">
      <c r="B21" s="2"/>
      <c r="C21" s="2"/>
      <c r="D21" s="2"/>
      <c r="E21" s="2"/>
      <c r="F21" s="2"/>
      <c r="G21" t="str">
        <f t="shared" ref="G21:G24" si="10">IF(UPPER(RIGHT(B21,2))="ID",B$2&amp;"."&amp;LEFT(B21,LEN(B21)-2)&amp;"("&amp;B21&amp;")","")</f>
        <v/>
      </c>
      <c r="H21" s="2"/>
      <c r="J21" s="3" t="str">
        <f t="shared" si="0"/>
        <v xml:space="preserve">     </v>
      </c>
      <c r="N21" s="23" t="s">
        <v>11</v>
      </c>
      <c r="P21" s="18" t="str">
        <f t="shared" si="5"/>
        <v/>
      </c>
      <c r="Q21" t="str">
        <f t="shared" si="6"/>
        <v/>
      </c>
      <c r="R21" s="5" t="str">
        <f t="shared" si="7"/>
        <v/>
      </c>
      <c r="S21" t="s">
        <v>6</v>
      </c>
      <c r="T21" s="6" t="str">
        <f t="shared" si="8"/>
        <v/>
      </c>
      <c r="V21" s="16" t="str">
        <f t="shared" si="9"/>
        <v>                reader.Get&lt;string&gt;(DeitiesCol.),</v>
      </c>
    </row>
    <row r="22" spans="2:26" x14ac:dyDescent="0.25">
      <c r="B22" s="2"/>
      <c r="C22" s="2"/>
      <c r="D22" s="2"/>
      <c r="E22" s="2"/>
      <c r="F22" s="2"/>
      <c r="G22" t="str">
        <f t="shared" si="10"/>
        <v/>
      </c>
      <c r="H22" s="2"/>
      <c r="J22" s="3" t="str">
        <f t="shared" si="0"/>
        <v xml:space="preserve">     </v>
      </c>
      <c r="L22" s="22" t="s">
        <v>39</v>
      </c>
      <c r="P22" s="18" t="str">
        <f t="shared" si="5"/>
        <v/>
      </c>
      <c r="Q22" t="str">
        <f t="shared" si="6"/>
        <v/>
      </c>
      <c r="R22" s="5" t="str">
        <f t="shared" si="7"/>
        <v/>
      </c>
      <c r="S22" t="s">
        <v>104</v>
      </c>
      <c r="T22" s="6" t="str">
        <f t="shared" si="8"/>
        <v/>
      </c>
      <c r="V22" s="16" t="str">
        <f t="shared" si="9"/>
        <v>                reader.Get&lt;InvoiceLayoutType&gt;(DeitiesCol.),</v>
      </c>
      <c r="Z22" s="13" t="str">
        <f>"        public "&amp;C2&amp;" Get(int "&amp;LOWER(C2)&amp;"Id)"</f>
        <v>        public Deities Get(int deitiesId)</v>
      </c>
    </row>
    <row r="23" spans="2:26" x14ac:dyDescent="0.25">
      <c r="B23" s="2"/>
      <c r="C23" s="2"/>
      <c r="D23" s="2"/>
      <c r="E23" s="2"/>
      <c r="F23" s="2"/>
      <c r="G23" t="str">
        <f t="shared" si="10"/>
        <v/>
      </c>
      <c r="H23" s="2"/>
      <c r="J23" s="3" t="str">
        <f t="shared" si="0"/>
        <v xml:space="preserve">     </v>
      </c>
      <c r="L23" s="22" t="s">
        <v>94</v>
      </c>
      <c r="N23" s="23" t="str">
        <f>"UPDATE "&amp;B2&amp;"."&amp;C2</f>
        <v>UPDATE dbo.Deities</v>
      </c>
      <c r="Q23" t="str">
        <f t="shared" si="6"/>
        <v/>
      </c>
      <c r="R23" s="5" t="str">
        <f t="shared" si="7"/>
        <v/>
      </c>
      <c r="S23" t="s">
        <v>104</v>
      </c>
      <c r="T23" s="6" t="str">
        <f t="shared" si="8"/>
        <v/>
      </c>
      <c r="V23" s="16" t="str">
        <f t="shared" si="9"/>
        <v>                reader.Get&lt;int&gt;(DeitiesCol.),</v>
      </c>
      <c r="Z23" s="13" t="s">
        <v>52</v>
      </c>
    </row>
    <row r="24" spans="2:26" x14ac:dyDescent="0.25">
      <c r="B24" s="2"/>
      <c r="C24" s="2"/>
      <c r="D24" s="2"/>
      <c r="E24" s="2"/>
      <c r="F24" s="2"/>
      <c r="G24" t="str">
        <f t="shared" si="10"/>
        <v/>
      </c>
      <c r="H24" s="2"/>
      <c r="J24" s="3" t="str">
        <f t="shared" si="0"/>
        <v xml:space="preserve">     </v>
      </c>
      <c r="L24" s="22" t="str">
        <f>"FROM "&amp;B2&amp;"."&amp;C2</f>
        <v>FROM dbo.Deities</v>
      </c>
      <c r="N24" s="23" t="s">
        <v>45</v>
      </c>
      <c r="P24" s="18" t="s">
        <v>90</v>
      </c>
      <c r="Q24" t="str">
        <f t="shared" si="6"/>
        <v/>
      </c>
      <c r="R24" s="5" t="str">
        <f t="shared" si="7"/>
        <v/>
      </c>
      <c r="S24" t="s">
        <v>97</v>
      </c>
      <c r="T24" s="6" t="str">
        <f t="shared" si="8"/>
        <v/>
      </c>
      <c r="V24" s="16" t="str">
        <f t="shared" si="9"/>
        <v>                reader.Get&lt;TimeFrequency&gt;(DeitiesCol.),</v>
      </c>
      <c r="Z24" s="13" t="str">
        <f>"            using (var command = UnitOfWork.CreateStoredProcedure("""&amp;B2&amp;".USP_"&amp;C2&amp;"_Get""))"</f>
        <v>            using (var command = UnitOfWork.CreateStoredProcedure("dbo.USP_Deities_Get"))</v>
      </c>
    </row>
    <row r="25" spans="2:26" x14ac:dyDescent="0.25">
      <c r="B25" s="2"/>
      <c r="C25" s="2"/>
      <c r="D25" s="2"/>
      <c r="E25" s="2"/>
      <c r="F25" s="2"/>
      <c r="G25" t="str">
        <f t="shared" ref="G25:G29" si="11">IF(UPPER(RIGHT(B25,2))="ID",B$2&amp;"."&amp;LEFT(B25,LEN(B25)-2)&amp;"("&amp;B25&amp;")","")</f>
        <v/>
      </c>
      <c r="H25" s="2"/>
      <c r="J25" s="3" t="str">
        <f t="shared" si="0"/>
        <v xml:space="preserve">     </v>
      </c>
      <c r="L25" s="22" t="s">
        <v>40</v>
      </c>
      <c r="N25" s="23" t="str">
        <f t="shared" ref="N25:N40" si="12">IF(NOT(ISBLANK(B5)),"["&amp;B5&amp;"] = @"&amp;B5&amp;IF(NOT(ISBLANK(B6)),",",""),"")</f>
        <v>[AuthorityLevelId] = @AuthorityLevelId,</v>
      </c>
      <c r="P25" s="18" t="str">
        <f>"    "&amp;B2&amp;"."&amp;C2</f>
        <v xml:space="preserve">    dbo.Deities</v>
      </c>
      <c r="Q25" t="str">
        <f t="shared" si="6"/>
        <v/>
      </c>
      <c r="R25" s="5" t="str">
        <f t="shared" si="7"/>
        <v/>
      </c>
      <c r="S25" t="s">
        <v>105</v>
      </c>
      <c r="T25" s="6" t="str">
        <f t="shared" si="8"/>
        <v/>
      </c>
      <c r="V25" s="16" t="str">
        <f t="shared" si="9"/>
        <v>                reader.Get&lt;TimeFrequency&gt;(DeitiesCol.),</v>
      </c>
      <c r="Z25" s="13" t="s">
        <v>69</v>
      </c>
    </row>
    <row r="26" spans="2:26" x14ac:dyDescent="0.25">
      <c r="B26" s="2"/>
      <c r="C26" s="2"/>
      <c r="D26" s="2"/>
      <c r="E26" s="2"/>
      <c r="F26" s="2"/>
      <c r="G26" t="str">
        <f t="shared" si="11"/>
        <v/>
      </c>
      <c r="H26" s="2"/>
      <c r="J26" s="3" t="str">
        <f t="shared" si="0"/>
        <v xml:space="preserve">     </v>
      </c>
      <c r="L26" s="22" t="str">
        <f>IF(NOT(ISBLANK(B4)),"["&amp;B4&amp;"] = ISNULL(@"&amp;B4&amp;", 0)","")</f>
        <v>[DeityId] = ISNULL(@DeityId, 0)</v>
      </c>
      <c r="N26" s="23" t="str">
        <f t="shared" si="12"/>
        <v>[CompassionLevelId] = @CompassionLevelId,</v>
      </c>
      <c r="P26" s="18" t="s">
        <v>40</v>
      </c>
      <c r="Q26" t="str">
        <f t="shared" si="6"/>
        <v/>
      </c>
      <c r="R26" s="5" t="str">
        <f t="shared" si="7"/>
        <v/>
      </c>
      <c r="T26" s="6" t="str">
        <f t="shared" si="8"/>
        <v/>
      </c>
      <c r="V26" s="16" t="str">
        <f t="shared" si="9"/>
        <v>                reader.Get&lt;bool&gt;(DeitiesCol.),</v>
      </c>
      <c r="Z26" s="13" t="s">
        <v>70</v>
      </c>
    </row>
    <row r="27" spans="2:26" x14ac:dyDescent="0.25">
      <c r="B27" s="2"/>
      <c r="C27" s="2"/>
      <c r="D27" s="2"/>
      <c r="E27" s="2"/>
      <c r="F27" s="2"/>
      <c r="G27" t="str">
        <f t="shared" si="11"/>
        <v/>
      </c>
      <c r="H27" s="2"/>
      <c r="J27" s="3" t="str">
        <f t="shared" si="0"/>
        <v xml:space="preserve">     </v>
      </c>
      <c r="L27" s="22" t="s">
        <v>41</v>
      </c>
      <c r="N27" s="23" t="str">
        <f t="shared" si="12"/>
        <v>[FlavourText] = @FlavourText</v>
      </c>
      <c r="P27" s="18" t="str">
        <f>"    "&amp;B4&amp;" = @"&amp;B4</f>
        <v xml:space="preserve">    DeityId = @DeityId</v>
      </c>
      <c r="Q27" t="str">
        <f t="shared" si="6"/>
        <v/>
      </c>
      <c r="R27" s="5" t="str">
        <f t="shared" si="7"/>
        <v/>
      </c>
      <c r="T27" s="6" t="str">
        <f t="shared" si="8"/>
        <v/>
      </c>
      <c r="V27" s="16" t="str">
        <f t="shared" si="9"/>
        <v>                reader.Get&lt;CommunicationType&gt;(DeitiesCol.)</v>
      </c>
      <c r="Z27" s="13" t="str">
        <f>"                    .AddWithValue(""@"&amp;C2&amp;"Id"", "&amp;LOWER(C2)&amp;"Id, SqlDbType.Int);"</f>
        <v>                    .AddWithValue("@DeitiesId", deitiesId, SqlDbType.Int);</v>
      </c>
    </row>
    <row r="28" spans="2:26" x14ac:dyDescent="0.25">
      <c r="B28" s="2"/>
      <c r="C28" s="2"/>
      <c r="D28" s="2"/>
      <c r="E28" s="2"/>
      <c r="F28" s="2"/>
      <c r="G28" t="str">
        <f t="shared" si="11"/>
        <v/>
      </c>
      <c r="H28" s="2"/>
      <c r="J28" s="3" t="str">
        <f t="shared" si="0"/>
        <v xml:space="preserve">     </v>
      </c>
      <c r="L28" s="22" t="s">
        <v>11</v>
      </c>
      <c r="N28" s="23" t="str">
        <f t="shared" si="12"/>
        <v/>
      </c>
      <c r="R28" s="5" t="s">
        <v>56</v>
      </c>
      <c r="V28" s="16" t="str">
        <f t="shared" si="9"/>
        <v/>
      </c>
    </row>
    <row r="29" spans="2:26" x14ac:dyDescent="0.25">
      <c r="B29" s="2"/>
      <c r="C29" s="2"/>
      <c r="D29" s="2"/>
      <c r="E29" s="2"/>
      <c r="F29" s="2"/>
      <c r="G29" t="str">
        <f t="shared" si="11"/>
        <v/>
      </c>
      <c r="H29" s="2"/>
      <c r="J29" s="3" t="str">
        <f t="shared" si="0"/>
        <v xml:space="preserve">     </v>
      </c>
      <c r="L29" s="22" t="str">
        <f>"INSERT INTO "&amp;B2&amp;"."&amp;C2&amp;" ("</f>
        <v>INSERT INTO dbo.Deities (</v>
      </c>
      <c r="N29" s="23" t="str">
        <f t="shared" si="12"/>
        <v/>
      </c>
      <c r="R29" s="5" t="s">
        <v>55</v>
      </c>
      <c r="T29" s="6" t="str">
        <f>"        public "&amp;C2&amp;"("</f>
        <v>        public Deities(</v>
      </c>
      <c r="V29" s="16" t="str">
        <f t="shared" si="9"/>
        <v/>
      </c>
      <c r="Z29" s="13" t="s">
        <v>71</v>
      </c>
    </row>
    <row r="30" spans="2:26" x14ac:dyDescent="0.25">
      <c r="B30" s="2"/>
      <c r="C30" s="2"/>
      <c r="D30" s="2"/>
      <c r="E30" s="2"/>
      <c r="F30" s="2"/>
      <c r="G30" t="str">
        <f t="shared" ref="G30:G32" si="13">IF(UPPER(RIGHT(B30,2))="ID",B$2&amp;"."&amp;LEFT(B30,LEN(B30)-2)&amp;"("&amp;B30&amp;")","")</f>
        <v/>
      </c>
      <c r="H30" s="2"/>
      <c r="J30" s="3" t="str">
        <f t="shared" si="0"/>
        <v xml:space="preserve">     </v>
      </c>
      <c r="L30" s="22" t="str">
        <f>IF(NOT(ISBLANK(B5)),"["&amp;B5&amp;"]"&amp;IF(NOT(ISBLANK(B6)),",",""),"")</f>
        <v>[AuthorityLevelId],</v>
      </c>
      <c r="N30" s="23" t="str">
        <f t="shared" si="12"/>
        <v/>
      </c>
      <c r="T30" s="6" t="str">
        <f>IF(NOT(ISBLANK(B4)),"            int"&amp;" "&amp;LOWER(LEFT(B4,1))&amp;MID(B4,2,LEN(B4)-1)&amp;IF(LEN(T31)&gt;0,",",""),"")</f>
        <v xml:space="preserve">            int deityId,</v>
      </c>
      <c r="Z30" s="13" t="s">
        <v>72</v>
      </c>
    </row>
    <row r="31" spans="2:26" x14ac:dyDescent="0.25">
      <c r="B31" s="2"/>
      <c r="C31" s="2"/>
      <c r="D31" s="2"/>
      <c r="E31" s="2"/>
      <c r="F31" s="2"/>
      <c r="G31" t="str">
        <f t="shared" si="13"/>
        <v/>
      </c>
      <c r="H31" s="2"/>
      <c r="J31" s="3" t="str">
        <f t="shared" si="0"/>
        <v xml:space="preserve">     </v>
      </c>
      <c r="L31" s="22" t="str">
        <f t="shared" ref="L31:L45" si="14">IF(NOT(ISBLANK(B6)),"["&amp;B6&amp;"]"&amp;IF(NOT(ISBLANK(B7)),",",""),"")</f>
        <v>[CompassionLevelId],</v>
      </c>
      <c r="N31" s="23" t="str">
        <f t="shared" si="12"/>
        <v/>
      </c>
      <c r="T31" s="6" t="str">
        <f t="shared" ref="T31:T46" si="15">IF(NOT(ISBLANK(B5)),"            "&amp;S12&amp;" "&amp;LOWER(LEFT(B5,1))&amp;MID(B5,2,LEN(B5)-1)&amp;IF(LEN(T32)&gt;0,",",""),"")</f>
        <v xml:space="preserve">            string authorityLevelId,</v>
      </c>
      <c r="V31" s="16" t="s">
        <v>83</v>
      </c>
      <c r="Z31" s="13" t="s">
        <v>53</v>
      </c>
    </row>
    <row r="32" spans="2:26" x14ac:dyDescent="0.25">
      <c r="B32" s="2"/>
      <c r="C32" s="2"/>
      <c r="D32" s="2"/>
      <c r="E32" s="2"/>
      <c r="F32" s="2"/>
      <c r="G32" t="str">
        <f t="shared" si="13"/>
        <v/>
      </c>
      <c r="H32" s="2"/>
      <c r="J32" s="3" t="str">
        <f t="shared" si="0"/>
        <v xml:space="preserve">     </v>
      </c>
      <c r="L32" s="22" t="str">
        <f t="shared" si="14"/>
        <v>[FlavourText]</v>
      </c>
      <c r="N32" s="23" t="str">
        <f t="shared" si="12"/>
        <v/>
      </c>
      <c r="T32" s="6" t="str">
        <f t="shared" si="15"/>
        <v xml:space="preserve">            string compassionLevelId,</v>
      </c>
      <c r="V32" s="16" t="s">
        <v>53</v>
      </c>
    </row>
    <row r="33" spans="1:26" x14ac:dyDescent="0.25">
      <c r="A33" t="s">
        <v>9</v>
      </c>
      <c r="J33" s="3" t="str">
        <f>A33</f>
        <v>);</v>
      </c>
      <c r="L33" s="22" t="str">
        <f t="shared" si="14"/>
        <v/>
      </c>
      <c r="N33" s="23" t="str">
        <f t="shared" si="12"/>
        <v/>
      </c>
      <c r="T33" s="6" t="str">
        <f t="shared" si="15"/>
        <v xml:space="preserve">            int flavourText</v>
      </c>
      <c r="V33" s="16" t="s">
        <v>12</v>
      </c>
      <c r="Z33" s="13" t="str">
        <f>"        public DataResult&lt;"&amp;C2&amp;"&gt; Save("&amp;C2&amp;" value)"</f>
        <v xml:space="preserve">        public DataResult&lt;Deities&gt; Save(Deities value)</v>
      </c>
    </row>
    <row r="34" spans="1:26" x14ac:dyDescent="0.25">
      <c r="L34" s="22" t="str">
        <f t="shared" si="14"/>
        <v/>
      </c>
      <c r="N34" s="23" t="str">
        <f t="shared" si="12"/>
        <v/>
      </c>
      <c r="T34" s="6" t="str">
        <f t="shared" si="15"/>
        <v/>
      </c>
      <c r="V34" s="16" t="str">
        <f>"        public static IEnumerable&lt;"&amp;C2&amp;"&gt; ParseMultipleReader(IDataReader reader)"</f>
        <v>        public static IEnumerable&lt;Deities&gt; ParseMultipleReader(IDataReader reader)</v>
      </c>
      <c r="Z34" s="13" t="s">
        <v>99</v>
      </c>
    </row>
    <row r="35" spans="1:26" x14ac:dyDescent="0.25">
      <c r="L35" s="22" t="str">
        <f t="shared" si="14"/>
        <v/>
      </c>
      <c r="N35" s="23" t="str">
        <f t="shared" si="12"/>
        <v/>
      </c>
      <c r="T35" s="6" t="str">
        <f t="shared" si="15"/>
        <v/>
      </c>
      <c r="V35" s="16" t="s">
        <v>52</v>
      </c>
      <c r="Z35" s="13" t="s">
        <v>98</v>
      </c>
    </row>
    <row r="36" spans="1:26" x14ac:dyDescent="0.25">
      <c r="L36" s="22" t="str">
        <f t="shared" si="14"/>
        <v/>
      </c>
      <c r="N36" s="23" t="str">
        <f t="shared" si="12"/>
        <v/>
      </c>
      <c r="T36" s="6" t="str">
        <f t="shared" si="15"/>
        <v/>
      </c>
      <c r="V36" s="16" t="str">
        <f>"            var "&amp;LOWER(LEFT(C2,1))&amp;MID(C2,2,LEN(C2)-1)&amp;"s = new List&lt;"&amp;C2&amp;"&gt;();"</f>
        <v>            var deitiess = new List&lt;Deities&gt;();</v>
      </c>
      <c r="Z36" s="13" t="s">
        <v>53</v>
      </c>
    </row>
    <row r="37" spans="1:26" x14ac:dyDescent="0.25">
      <c r="L37" s="22" t="str">
        <f t="shared" si="14"/>
        <v/>
      </c>
      <c r="N37" s="23" t="str">
        <f t="shared" si="12"/>
        <v/>
      </c>
      <c r="T37" s="6" t="str">
        <f t="shared" si="15"/>
        <v/>
      </c>
      <c r="V37" s="16" t="s">
        <v>12</v>
      </c>
    </row>
    <row r="38" spans="1:26" x14ac:dyDescent="0.25">
      <c r="L38" s="22" t="str">
        <f t="shared" si="14"/>
        <v/>
      </c>
      <c r="N38" s="23" t="str">
        <f t="shared" si="12"/>
        <v/>
      </c>
      <c r="T38" s="6" t="str">
        <f t="shared" si="15"/>
        <v/>
      </c>
      <c r="V38" s="16" t="s">
        <v>84</v>
      </c>
      <c r="Z38" s="13" t="str">
        <f>"        public DataResult&lt;"&amp;C2&amp;"&gt; Create("&amp;C2&amp;" value)"</f>
        <v xml:space="preserve">        public DataResult&lt;Deities&gt; Create(Deities value)</v>
      </c>
    </row>
    <row r="39" spans="1:26" x14ac:dyDescent="0.25">
      <c r="L39" s="22" t="str">
        <f t="shared" si="14"/>
        <v/>
      </c>
      <c r="N39" s="23" t="str">
        <f t="shared" si="12"/>
        <v/>
      </c>
      <c r="T39" s="6" t="str">
        <f t="shared" si="15"/>
        <v/>
      </c>
      <c r="V39" s="16" t="s">
        <v>69</v>
      </c>
      <c r="Z39" s="13" t="s">
        <v>52</v>
      </c>
    </row>
    <row r="40" spans="1:26" x14ac:dyDescent="0.25">
      <c r="L40" s="22" t="str">
        <f t="shared" si="14"/>
        <v/>
      </c>
      <c r="N40" s="23" t="str">
        <f t="shared" si="12"/>
        <v/>
      </c>
      <c r="T40" s="6" t="str">
        <f t="shared" si="15"/>
        <v/>
      </c>
      <c r="V40" s="16" t="str">
        <f>"                "&amp;LOWER(LEFT(C2,1))&amp;MID(C2,2,LEN(C2)-1)&amp;".Add(ParseReader(reader));"</f>
        <v>                deities.Add(ParseReader(reader));</v>
      </c>
      <c r="Z40" s="13" t="str">
        <f>"            using (var command = UnitOfWork.CreateStoredProcedure("""&amp;B2&amp;".USP_"&amp;C2&amp;"_Create""))"</f>
        <v>            using (var command = UnitOfWork.CreateStoredProcedure("dbo.USP_Deities_Create"))</v>
      </c>
    </row>
    <row r="41" spans="1:26" x14ac:dyDescent="0.25">
      <c r="L41" s="22" t="str">
        <f t="shared" si="14"/>
        <v/>
      </c>
      <c r="N41" s="23" t="str">
        <f>IF(NOT(ISBLANK(B4)),"WHERE ["&amp;B4&amp;"] = ISNULL(@"&amp;B4&amp;", 0)","")</f>
        <v>WHERE [DeityId] = ISNULL(@DeityId, 0)</v>
      </c>
      <c r="T41" s="6" t="str">
        <f t="shared" si="15"/>
        <v/>
      </c>
      <c r="V41" s="16" t="s">
        <v>72</v>
      </c>
      <c r="Z41" s="13" t="s">
        <v>69</v>
      </c>
    </row>
    <row r="42" spans="1:26" x14ac:dyDescent="0.25">
      <c r="L42" s="22" t="str">
        <f t="shared" si="14"/>
        <v/>
      </c>
      <c r="N42" s="23" t="str">
        <f>IF(NOT(ISBLANK(D16)),"["&amp;D16&amp;"]"&amp;IF(NOT(ISBLANK(D17)),",",""),"")</f>
        <v/>
      </c>
      <c r="T42" s="6" t="str">
        <f t="shared" si="15"/>
        <v/>
      </c>
      <c r="V42" s="16" t="s">
        <v>12</v>
      </c>
      <c r="Z42" s="13" t="str">
        <f>"                var idParameter = command.AddOutput(""@"&amp;C2&amp;"Id"", SqlDbType.Int);"</f>
        <v>                var idParameter = command.AddOutput("@DeitiesId", SqlDbType.Int);</v>
      </c>
    </row>
    <row r="43" spans="1:26" x14ac:dyDescent="0.25">
      <c r="L43" s="22" t="str">
        <f t="shared" si="14"/>
        <v/>
      </c>
      <c r="N43" s="23" t="s">
        <v>93</v>
      </c>
      <c r="T43" s="6" t="str">
        <f t="shared" si="15"/>
        <v/>
      </c>
      <c r="V43" s="16" t="str">
        <f>"            return "&amp;LOWER(LEFT(C2,1))&amp;MID(C2,2,LEN(C2)-1)&amp;";"</f>
        <v>            return deities;</v>
      </c>
    </row>
    <row r="44" spans="1:26" x14ac:dyDescent="0.25">
      <c r="L44" s="22" t="str">
        <f t="shared" si="14"/>
        <v/>
      </c>
      <c r="N44" s="23" t="str">
        <f>IF(NOT(ISBLANK(D18)),"["&amp;D18&amp;"]"&amp;IF(NOT(ISBLANK(D19)),",",""),"")</f>
        <v/>
      </c>
      <c r="T44" s="6" t="str">
        <f t="shared" si="15"/>
        <v/>
      </c>
      <c r="V44" s="16" t="s">
        <v>53</v>
      </c>
      <c r="Z44" s="13" t="s">
        <v>70</v>
      </c>
    </row>
    <row r="45" spans="1:26" x14ac:dyDescent="0.25">
      <c r="L45" s="22" t="str">
        <f t="shared" si="14"/>
        <v/>
      </c>
      <c r="N45" s="23" t="s">
        <v>14</v>
      </c>
      <c r="T45" s="6" t="str">
        <f t="shared" si="15"/>
        <v/>
      </c>
      <c r="V45" s="16" t="s">
        <v>12</v>
      </c>
      <c r="Z45" s="13" t="str">
        <f t="shared" ref="Z45" si="16">IF(NOT(ISBLANK(B4)),"                    .AddWithValue(""@"&amp;B4&amp;""", value.Id,  SqlDbType.Int"&amp;")"&amp;IF(LEN(Z46)&gt;0,"",";"),"")</f>
        <v>                    .AddWithValue("@DeityId", value.Id,  SqlDbType.Int)</v>
      </c>
    </row>
    <row r="46" spans="1:26" x14ac:dyDescent="0.25">
      <c r="L46" s="22" t="s">
        <v>41</v>
      </c>
      <c r="T46" s="6" t="str">
        <f t="shared" si="15"/>
        <v/>
      </c>
      <c r="V46" s="16" t="str">
        <f>"        private enum "&amp;C2&amp;"Col"</f>
        <v>        private enum DeitiesCol</v>
      </c>
      <c r="Z46" s="13" t="str">
        <f>IF(NOT(ISBLANK(B5)),"                    .AddWithValue(""@"&amp;B5&amp;""", value."&amp;B5&amp;", SqlDbType."&amp;IF(NOT(OR(ISBLANK(Q12),Q12="int")),UPPER(LEFT(Q12,1))&amp;MID(Q12,2,LEN(Q12)-1),"Int")&amp;")"&amp;IF(LEFT(Z47,24)="                    .Add","",";"),"")</f>
        <v>                    .AddWithValue("@AuthorityLevelId", value.AuthorityLevelId, SqlDbType.Int)</v>
      </c>
    </row>
    <row r="47" spans="1:26" x14ac:dyDescent="0.25">
      <c r="L47" s="22" t="s">
        <v>42</v>
      </c>
      <c r="T47" s="6" t="s">
        <v>85</v>
      </c>
      <c r="V47" s="16" t="s">
        <v>52</v>
      </c>
      <c r="Z47" s="13" t="str">
        <f t="shared" ref="Z47:Z62" si="17">IF(NOT(ISBLANK(B6)),"                    .AddWithValue(""@"&amp;B6&amp;""", value."&amp;B6&amp;", SqlDbType."&amp;IF(NOT(OR(ISBLANK(Q13),Q13="int")),UPPER(LEFT(Q13,1))&amp;MID(Q13,2,LEN(Q13)-1),"Int")&amp;")"&amp;IF(LEFT(Z48,24)="                    .Add","",";"),"")</f>
        <v>                    .AddWithValue("@CompassionLevelId", value.CompassionLevelId, SqlDbType.Int)</v>
      </c>
    </row>
    <row r="48" spans="1:26" x14ac:dyDescent="0.25">
      <c r="L48" s="22" t="str">
        <f>IF(NOT(ISBLANK(B5)),"@"&amp;B5&amp;IF(NOT(ISBLANK(B6)),",",""),"")</f>
        <v>@AuthorityLevelId,</v>
      </c>
      <c r="T48" s="6" t="s">
        <v>52</v>
      </c>
      <c r="V48" s="16" t="s">
        <v>86</v>
      </c>
      <c r="Z48" s="13" t="str">
        <f t="shared" si="17"/>
        <v>                    .AddWithValue("@FlavourText", value.FlavourText, SqlDbType.Varchar(MAX));</v>
      </c>
    </row>
    <row r="49" spans="12:26" x14ac:dyDescent="0.25">
      <c r="L49" s="22" t="str">
        <f t="shared" ref="L49:L63" si="18">IF(NOT(ISBLANK(B6)),"@"&amp;B6&amp;IF(NOT(ISBLANK(B7)),",",""),"")</f>
        <v>@CompassionLevelId,</v>
      </c>
      <c r="T49" s="6" t="str">
        <f>IF(NOT(ISBLANK(B4)),"            Id = "&amp;LOWER(LEFT(B4,1))&amp;MID(B4,2,LEN(B4)-1)&amp;";","")</f>
        <v xml:space="preserve">            Id = deityId;</v>
      </c>
      <c r="V49" s="16" t="str">
        <f t="shared" ref="V49:V64" si="19">IF(NOT(ISBLANK(B5)),"            "&amp;B5&amp;IF(LEN(V15)&gt;0,",",""),"")</f>
        <v xml:space="preserve">            AuthorityLevelId,</v>
      </c>
      <c r="Z49" s="13" t="str">
        <f t="shared" si="17"/>
        <v/>
      </c>
    </row>
    <row r="50" spans="12:26" x14ac:dyDescent="0.25">
      <c r="L50" s="22" t="str">
        <f t="shared" si="18"/>
        <v>@FlavourText</v>
      </c>
      <c r="T50" s="6" t="str">
        <f t="shared" ref="T50:T65" si="20">IF(NOT(ISBLANK(B5)),"            "&amp;B5&amp;" = "&amp;LOWER(LEFT(B5,1))&amp;MID(B5,2,LEN(B5)-1)&amp;";","")</f>
        <v xml:space="preserve">            AuthorityLevelId = authorityLevelId;</v>
      </c>
      <c r="V50" s="16" t="str">
        <f t="shared" si="19"/>
        <v xml:space="preserve">            CompassionLevelId,</v>
      </c>
      <c r="Z50" s="13" t="str">
        <f t="shared" si="17"/>
        <v/>
      </c>
    </row>
    <row r="51" spans="12:26" x14ac:dyDescent="0.25">
      <c r="L51" s="22" t="str">
        <f>IF(NOT(ISBLANK(B8)),"@"&amp;B8&amp;IF(NOT(ISBLANK(B9)),",",""),"")</f>
        <v/>
      </c>
      <c r="T51" s="6" t="str">
        <f t="shared" si="20"/>
        <v xml:space="preserve">            CompassionLevelId = compassionLevelId;</v>
      </c>
      <c r="V51" s="16" t="str">
        <f t="shared" si="19"/>
        <v xml:space="preserve">            FlavourText,</v>
      </c>
      <c r="Z51" s="13" t="str">
        <f t="shared" si="17"/>
        <v/>
      </c>
    </row>
    <row r="52" spans="12:26" x14ac:dyDescent="0.25">
      <c r="L52" s="22" t="str">
        <f t="shared" si="18"/>
        <v/>
      </c>
      <c r="T52" s="6" t="str">
        <f t="shared" si="20"/>
        <v xml:space="preserve">            FlavourText = flavourText;</v>
      </c>
      <c r="V52" s="16" t="str">
        <f t="shared" si="19"/>
        <v/>
      </c>
      <c r="Z52" s="13" t="str">
        <f t="shared" si="17"/>
        <v/>
      </c>
    </row>
    <row r="53" spans="12:26" x14ac:dyDescent="0.25">
      <c r="L53" s="22" t="str">
        <f t="shared" si="18"/>
        <v/>
      </c>
      <c r="T53" s="6" t="str">
        <f t="shared" si="20"/>
        <v/>
      </c>
      <c r="V53" s="16" t="str">
        <f t="shared" si="19"/>
        <v/>
      </c>
      <c r="Z53" s="13" t="str">
        <f t="shared" si="17"/>
        <v/>
      </c>
    </row>
    <row r="54" spans="12:26" x14ac:dyDescent="0.25">
      <c r="L54" s="22" t="str">
        <f t="shared" si="18"/>
        <v/>
      </c>
      <c r="T54" s="6" t="str">
        <f t="shared" si="20"/>
        <v/>
      </c>
      <c r="V54" s="16" t="str">
        <f t="shared" si="19"/>
        <v/>
      </c>
      <c r="Z54" s="13" t="str">
        <f t="shared" si="17"/>
        <v/>
      </c>
    </row>
    <row r="55" spans="12:26" x14ac:dyDescent="0.25">
      <c r="L55" s="22" t="str">
        <f t="shared" si="18"/>
        <v/>
      </c>
      <c r="T55" s="6" t="str">
        <f t="shared" si="20"/>
        <v/>
      </c>
      <c r="V55" s="16" t="str">
        <f t="shared" si="19"/>
        <v/>
      </c>
      <c r="Z55" s="13" t="str">
        <f t="shared" si="17"/>
        <v/>
      </c>
    </row>
    <row r="56" spans="12:26" x14ac:dyDescent="0.25">
      <c r="L56" s="22" t="str">
        <f t="shared" si="18"/>
        <v/>
      </c>
      <c r="T56" s="6" t="str">
        <f t="shared" si="20"/>
        <v/>
      </c>
      <c r="V56" s="16" t="str">
        <f t="shared" si="19"/>
        <v/>
      </c>
      <c r="Z56" s="13" t="str">
        <f t="shared" si="17"/>
        <v/>
      </c>
    </row>
    <row r="57" spans="12:26" x14ac:dyDescent="0.25">
      <c r="L57" s="22" t="str">
        <f t="shared" si="18"/>
        <v/>
      </c>
      <c r="T57" s="6" t="str">
        <f t="shared" si="20"/>
        <v/>
      </c>
      <c r="V57" s="16" t="str">
        <f t="shared" si="19"/>
        <v/>
      </c>
      <c r="Z57" s="13" t="str">
        <f t="shared" si="17"/>
        <v/>
      </c>
    </row>
    <row r="58" spans="12:26" x14ac:dyDescent="0.25">
      <c r="L58" s="22" t="str">
        <f t="shared" si="18"/>
        <v/>
      </c>
      <c r="T58" s="6" t="str">
        <f t="shared" si="20"/>
        <v/>
      </c>
      <c r="V58" s="16" t="str">
        <f t="shared" si="19"/>
        <v/>
      </c>
      <c r="Z58" s="13" t="str">
        <f t="shared" si="17"/>
        <v/>
      </c>
    </row>
    <row r="59" spans="12:26" x14ac:dyDescent="0.25">
      <c r="L59" s="22" t="str">
        <f t="shared" si="18"/>
        <v/>
      </c>
      <c r="T59" s="6" t="str">
        <f t="shared" si="20"/>
        <v/>
      </c>
      <c r="V59" s="16" t="str">
        <f t="shared" si="19"/>
        <v/>
      </c>
      <c r="Z59" s="13" t="str">
        <f t="shared" si="17"/>
        <v/>
      </c>
    </row>
    <row r="60" spans="12:26" x14ac:dyDescent="0.25">
      <c r="L60" s="22" t="str">
        <f t="shared" si="18"/>
        <v/>
      </c>
      <c r="T60" s="6" t="str">
        <f t="shared" si="20"/>
        <v/>
      </c>
      <c r="V60" s="16" t="str">
        <f t="shared" si="19"/>
        <v/>
      </c>
      <c r="Z60" s="13" t="str">
        <f t="shared" si="17"/>
        <v/>
      </c>
    </row>
    <row r="61" spans="12:26" x14ac:dyDescent="0.25">
      <c r="L61" s="22" t="str">
        <f t="shared" si="18"/>
        <v/>
      </c>
      <c r="T61" s="6" t="str">
        <f t="shared" si="20"/>
        <v/>
      </c>
      <c r="V61" s="16" t="str">
        <f t="shared" si="19"/>
        <v/>
      </c>
      <c r="Z61" s="13" t="str">
        <f t="shared" si="17"/>
        <v/>
      </c>
    </row>
    <row r="62" spans="12:26" x14ac:dyDescent="0.25">
      <c r="L62" s="22" t="str">
        <f t="shared" si="18"/>
        <v/>
      </c>
      <c r="T62" s="6" t="str">
        <f t="shared" si="20"/>
        <v/>
      </c>
      <c r="V62" s="16" t="str">
        <f t="shared" si="19"/>
        <v/>
      </c>
      <c r="Z62" s="13" t="str">
        <f t="shared" si="17"/>
        <v/>
      </c>
    </row>
    <row r="63" spans="12:26" x14ac:dyDescent="0.25">
      <c r="L63" s="22" t="str">
        <f t="shared" si="18"/>
        <v/>
      </c>
      <c r="T63" s="6" t="str">
        <f t="shared" si="20"/>
        <v/>
      </c>
      <c r="V63" s="16" t="str">
        <f t="shared" si="19"/>
        <v/>
      </c>
      <c r="Z63" s="13" t="s">
        <v>100</v>
      </c>
    </row>
    <row r="64" spans="12:26" x14ac:dyDescent="0.25">
      <c r="L64" s="22" t="s">
        <v>41</v>
      </c>
      <c r="T64" s="6" t="str">
        <f t="shared" si="20"/>
        <v/>
      </c>
      <c r="V64" s="16" t="str">
        <f t="shared" si="19"/>
        <v/>
      </c>
    </row>
    <row r="65" spans="12:26" x14ac:dyDescent="0.25">
      <c r="T65" s="6" t="str">
        <f t="shared" si="20"/>
        <v/>
      </c>
      <c r="V65" s="16" t="s">
        <v>53</v>
      </c>
      <c r="Z65" s="13" t="s">
        <v>101</v>
      </c>
    </row>
    <row r="66" spans="12:26" x14ac:dyDescent="0.25">
      <c r="L66" s="22" t="str">
        <f>"SELECT @"&amp;B4&amp;" = SCOPE_IDENTITY()"</f>
        <v>SELECT @DeityId = SCOPE_IDENTITY()</v>
      </c>
      <c r="V66" s="16" t="s">
        <v>54</v>
      </c>
    </row>
    <row r="67" spans="12:26" x14ac:dyDescent="0.25">
      <c r="T67" s="6" t="s">
        <v>53</v>
      </c>
      <c r="V67" s="16" t="s">
        <v>55</v>
      </c>
      <c r="Z67" s="13" t="str">
        <f>"                return new DataResult&lt;"&amp;C2&amp;"&gt;(value, result);"</f>
        <v>                return new DataResult&lt;Deities&gt;(value, result);</v>
      </c>
    </row>
    <row r="68" spans="12:26" x14ac:dyDescent="0.25">
      <c r="L68" s="22" t="s">
        <v>43</v>
      </c>
      <c r="T68" s="6" t="s">
        <v>54</v>
      </c>
      <c r="Z68" s="13" t="s">
        <v>72</v>
      </c>
    </row>
    <row r="69" spans="12:26" x14ac:dyDescent="0.25">
      <c r="L69" s="22" t="s">
        <v>14</v>
      </c>
      <c r="T69" s="6" t="s">
        <v>55</v>
      </c>
      <c r="Z69" s="13" t="s">
        <v>53</v>
      </c>
    </row>
    <row r="71" spans="12:26" x14ac:dyDescent="0.25">
      <c r="Z71" s="13" t="str">
        <f>"        public DataResult&lt;"&amp;C2&amp;"&gt; Update("&amp;C2&amp;" value)"</f>
        <v xml:space="preserve">        public DataResult&lt;Deities&gt; Update(Deities value)</v>
      </c>
    </row>
    <row r="72" spans="12:26" x14ac:dyDescent="0.25">
      <c r="Z72" s="13" t="s">
        <v>52</v>
      </c>
    </row>
    <row r="73" spans="12:26" x14ac:dyDescent="0.25">
      <c r="Z73" s="13" t="str">
        <f>"            using (var command = UnitOfWork.CreateStoredProcedure("""&amp;B2&amp;".USP_"&amp;C2&amp;"_Update""))"</f>
        <v>            using (var command = UnitOfWork.CreateStoredProcedure("dbo.USP_Deities_Update"))</v>
      </c>
    </row>
    <row r="74" spans="12:26" x14ac:dyDescent="0.25">
      <c r="Z74" s="13" t="s">
        <v>69</v>
      </c>
    </row>
    <row r="75" spans="12:26" x14ac:dyDescent="0.25">
      <c r="Z75" s="13" t="s">
        <v>70</v>
      </c>
    </row>
    <row r="76" spans="12:26" x14ac:dyDescent="0.25">
      <c r="Z76" s="13" t="str">
        <f t="shared" ref="Z76" si="21">IF(NOT(ISBLANK(B4)),"                    .AddWithValue(""@"&amp;B4&amp;""", value.Id,  SqlDbType.Int"&amp;")"&amp;IF(LEN(Z77)&gt;0,"",";"),"")</f>
        <v>                    .AddWithValue("@DeityId", value.Id,  SqlDbType.Int)</v>
      </c>
    </row>
    <row r="77" spans="12:26" x14ac:dyDescent="0.25">
      <c r="Z77" s="13" t="str">
        <f>IF(NOT(ISBLANK(B5)),"                    .AddWithValue(""@"&amp;B5&amp;""", value."&amp;B5&amp;", SqlDbType."&amp;IF(NOT(OR(ISBLANK(Q12),Q12="int")),UPPER(LEFT(Q12,1))&amp;MID(Q12,2,LEN(Q12)-1),"Int")&amp;")"&amp;IF(LEFT(Z47,24)="                    .Add","",";"),"")</f>
        <v>                    .AddWithValue("@AuthorityLevelId", value.AuthorityLevelId, SqlDbType.Int)</v>
      </c>
    </row>
    <row r="78" spans="12:26" x14ac:dyDescent="0.25">
      <c r="Z78" s="13" t="str">
        <f t="shared" ref="Z78:Z90" si="22">IF(NOT(ISBLANK(B6)),"                    .AddWithValue(""@"&amp;B6&amp;""", value."&amp;B6&amp;", SqlDbType."&amp;IF(NOT(OR(ISBLANK(Q13),Q13="int")),UPPER(LEFT(Q13,1))&amp;MID(Q13,2,LEN(Q13)-1),"Int")&amp;")"&amp;IF(LEFT(Z48,24)="                    .Add","",";"),"")</f>
        <v>                    .AddWithValue("@CompassionLevelId", value.CompassionLevelId, SqlDbType.Int)</v>
      </c>
    </row>
    <row r="79" spans="12:26" x14ac:dyDescent="0.25">
      <c r="Z79" s="13" t="str">
        <f t="shared" si="22"/>
        <v>                    .AddWithValue("@FlavourText", value.FlavourText, SqlDbType.Varchar(MAX));</v>
      </c>
    </row>
    <row r="80" spans="12:26" x14ac:dyDescent="0.25">
      <c r="Z80" s="13" t="str">
        <f t="shared" si="22"/>
        <v/>
      </c>
    </row>
    <row r="81" spans="26:26" x14ac:dyDescent="0.25">
      <c r="Z81" s="13" t="str">
        <f t="shared" si="22"/>
        <v/>
      </c>
    </row>
    <row r="82" spans="26:26" x14ac:dyDescent="0.25">
      <c r="Z82" s="13" t="str">
        <f t="shared" si="22"/>
        <v/>
      </c>
    </row>
    <row r="83" spans="26:26" x14ac:dyDescent="0.25">
      <c r="Z83" s="13" t="str">
        <f t="shared" si="22"/>
        <v/>
      </c>
    </row>
    <row r="84" spans="26:26" x14ac:dyDescent="0.25">
      <c r="Z84" s="13" t="str">
        <f t="shared" si="22"/>
        <v/>
      </c>
    </row>
    <row r="85" spans="26:26" x14ac:dyDescent="0.25">
      <c r="Z85" s="13" t="str">
        <f t="shared" si="22"/>
        <v/>
      </c>
    </row>
    <row r="86" spans="26:26" x14ac:dyDescent="0.25">
      <c r="Z86" s="13" t="str">
        <f t="shared" si="22"/>
        <v/>
      </c>
    </row>
    <row r="87" spans="26:26" x14ac:dyDescent="0.25">
      <c r="Z87" s="13" t="str">
        <f t="shared" si="22"/>
        <v/>
      </c>
    </row>
    <row r="88" spans="26:26" x14ac:dyDescent="0.25">
      <c r="Z88" s="13" t="str">
        <f t="shared" si="22"/>
        <v/>
      </c>
    </row>
    <row r="89" spans="26:26" x14ac:dyDescent="0.25">
      <c r="Z89" s="13" t="str">
        <f t="shared" si="22"/>
        <v/>
      </c>
    </row>
    <row r="90" spans="26:26" x14ac:dyDescent="0.25">
      <c r="Z90" s="13" t="str">
        <f t="shared" si="22"/>
        <v/>
      </c>
    </row>
    <row r="91" spans="26:26" x14ac:dyDescent="0.25">
      <c r="Z91" s="13" t="str">
        <f t="shared" ref="Z91:Z95" si="23">IF(NOT(ISBLANK(B19)),"                    .AddWithValue(""@"&amp;B19&amp;""", value.Id,  SqlDbType.Int"&amp;")"&amp;IF(LEN(Z92)&gt;0,"",";"),"")</f>
        <v/>
      </c>
    </row>
    <row r="92" spans="26:26" x14ac:dyDescent="0.25">
      <c r="Z92" s="13" t="str">
        <f t="shared" si="23"/>
        <v/>
      </c>
    </row>
    <row r="93" spans="26:26" x14ac:dyDescent="0.25">
      <c r="Z93" s="13" t="str">
        <f t="shared" si="23"/>
        <v/>
      </c>
    </row>
    <row r="94" spans="26:26" x14ac:dyDescent="0.25">
      <c r="Z94" s="13" t="str">
        <f t="shared" si="23"/>
        <v/>
      </c>
    </row>
    <row r="95" spans="26:26" x14ac:dyDescent="0.25">
      <c r="Z95" s="13" t="str">
        <f t="shared" si="23"/>
        <v/>
      </c>
    </row>
    <row r="96" spans="26:26" x14ac:dyDescent="0.25">
      <c r="Z96" s="13" t="s">
        <v>102</v>
      </c>
    </row>
    <row r="98" spans="26:26" x14ac:dyDescent="0.25">
      <c r="Z98" s="13" t="str">
        <f>"                return new DataResult&lt;"&amp;C2&amp;"&gt;(value, result);"</f>
        <v>                return new DataResult&lt;Deities&gt;(value, result);</v>
      </c>
    </row>
    <row r="99" spans="26:26" x14ac:dyDescent="0.25">
      <c r="Z99" s="13" t="s">
        <v>72</v>
      </c>
    </row>
    <row r="100" spans="26:26" x14ac:dyDescent="0.25">
      <c r="Z100" s="13" t="s">
        <v>53</v>
      </c>
    </row>
    <row r="101" spans="26:26" x14ac:dyDescent="0.25">
      <c r="Z101" s="13" t="s">
        <v>54</v>
      </c>
    </row>
    <row r="102" spans="26:26" x14ac:dyDescent="0.25">
      <c r="Z102" s="13" t="s">
        <v>55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94"/>
  <sheetViews>
    <sheetView zoomScaleNormal="100" workbookViewId="0"/>
  </sheetViews>
  <sheetFormatPr defaultRowHeight="15" x14ac:dyDescent="0.25"/>
  <cols>
    <col min="1" max="1" width="14" customWidth="1"/>
    <col min="2" max="2" width="21" customWidth="1"/>
    <col min="3" max="3" width="13.140625" customWidth="1"/>
    <col min="4" max="4" width="9" bestFit="1" customWidth="1"/>
    <col min="5" max="5" width="13.42578125" bestFit="1" customWidth="1"/>
    <col min="6" max="6" width="5.42578125" bestFit="1" customWidth="1"/>
    <col min="7" max="7" width="27.85546875" customWidth="1"/>
    <col min="8" max="8" width="7.5703125" bestFit="1" customWidth="1"/>
    <col min="9" max="9" width="9.140625" customWidth="1"/>
    <col min="10" max="10" width="137.42578125" style="3" customWidth="1"/>
    <col min="11" max="11" width="9.140625" customWidth="1"/>
    <col min="12" max="12" width="57.7109375" style="4" customWidth="1"/>
    <col min="13" max="13" width="9.140625" style="14" customWidth="1"/>
    <col min="14" max="14" width="51.140625" style="18" customWidth="1"/>
    <col min="15" max="15" width="9.140625" customWidth="1"/>
    <col min="16" max="16" width="33.5703125" style="5" bestFit="1" customWidth="1"/>
    <col min="17" max="17" width="9.140625" customWidth="1"/>
    <col min="18" max="18" width="40.85546875" style="6" bestFit="1" customWidth="1"/>
    <col min="19" max="19" width="9.140625" style="14" customWidth="1"/>
    <col min="20" max="20" width="75.85546875" style="16" bestFit="1" customWidth="1"/>
    <col min="21" max="21" width="9.140625" customWidth="1"/>
    <col min="22" max="22" width="45.7109375" style="12" bestFit="1" customWidth="1"/>
    <col min="23" max="23" width="9.140625" customWidth="1"/>
    <col min="24" max="24" width="90.42578125" style="13" bestFit="1" customWidth="1"/>
  </cols>
  <sheetData>
    <row r="1" spans="1:42" x14ac:dyDescent="0.25">
      <c r="B1" s="1" t="s">
        <v>1</v>
      </c>
      <c r="C1" s="1" t="s">
        <v>2</v>
      </c>
      <c r="I1" s="7" t="s">
        <v>2</v>
      </c>
      <c r="J1" s="8"/>
      <c r="K1" s="7" t="s">
        <v>88</v>
      </c>
      <c r="L1" s="9"/>
      <c r="M1" s="15" t="s">
        <v>87</v>
      </c>
      <c r="N1" s="17"/>
      <c r="O1" s="7" t="s">
        <v>58</v>
      </c>
      <c r="P1" s="10"/>
      <c r="Q1" s="7" t="s">
        <v>59</v>
      </c>
      <c r="R1" s="11"/>
      <c r="S1" s="15" t="s">
        <v>81</v>
      </c>
      <c r="U1" s="7" t="s">
        <v>61</v>
      </c>
      <c r="W1" s="7" t="s">
        <v>60</v>
      </c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</row>
    <row r="2" spans="1:42" x14ac:dyDescent="0.25">
      <c r="A2" t="s">
        <v>3</v>
      </c>
      <c r="B2" s="2" t="s">
        <v>106</v>
      </c>
      <c r="C2" s="2" t="s">
        <v>110</v>
      </c>
      <c r="J2" s="3" t="str">
        <f>A2&amp;" ["&amp;B2&amp;"].["&amp;C2&amp;"]"</f>
        <v>CREATE TABLE [dbo].[CompassionLevels]</v>
      </c>
      <c r="L2" s="4" t="str">
        <f>"CREATE PROCEDURE"&amp;" ["&amp;B2&amp;"].[USP_"&amp;C2&amp;"_CreateUpdate]"</f>
        <v>CREATE PROCEDURE [dbo].[USP_CompassionLevels_CreateUpdate]</v>
      </c>
      <c r="N2" s="18" t="str">
        <f>"CREATE PROCEDURE"&amp;" ["&amp;B2&amp;"].[USP_"&amp;C2&amp;"_Get]"</f>
        <v>CREATE PROCEDURE [dbo].[USP_CompassionLevels_Get]</v>
      </c>
      <c r="P2" s="5" t="s">
        <v>46</v>
      </c>
      <c r="R2" s="6" t="s">
        <v>46</v>
      </c>
      <c r="T2" s="16" t="s">
        <v>63</v>
      </c>
      <c r="V2" s="12" t="s">
        <v>62</v>
      </c>
      <c r="X2" s="13" t="s">
        <v>63</v>
      </c>
    </row>
    <row r="3" spans="1:42" x14ac:dyDescent="0.25">
      <c r="A3" t="s">
        <v>4</v>
      </c>
      <c r="C3" s="1" t="s">
        <v>5</v>
      </c>
      <c r="D3" s="1" t="s">
        <v>7</v>
      </c>
      <c r="E3" s="1" t="s">
        <v>35</v>
      </c>
      <c r="F3" s="1" t="s">
        <v>37</v>
      </c>
      <c r="G3" s="1" t="s">
        <v>36</v>
      </c>
      <c r="H3" s="1" t="s">
        <v>8</v>
      </c>
      <c r="J3" s="3" t="str">
        <f>A3</f>
        <v>(</v>
      </c>
      <c r="L3" s="4" t="str">
        <f>IF(NOT(ISBLANK(B4)),"@"&amp;B4&amp;" "&amp;UPPER(C4)&amp;" = NULL OUTPUT,","")</f>
        <v>@CompassionLevelId INT = NULL OUTPUT,</v>
      </c>
      <c r="N3" s="18" t="str">
        <f>"@"&amp;C2&amp;"Id"&amp;" INT"</f>
        <v>@CompassionLevelsId INT</v>
      </c>
      <c r="P3" s="5" t="s">
        <v>47</v>
      </c>
      <c r="R3" s="6" t="s">
        <v>47</v>
      </c>
      <c r="T3" s="16" t="s">
        <v>46</v>
      </c>
      <c r="X3" s="13" t="s">
        <v>64</v>
      </c>
    </row>
    <row r="4" spans="1:42" x14ac:dyDescent="0.25">
      <c r="A4" s="1" t="s">
        <v>0</v>
      </c>
      <c r="B4" s="14" t="str">
        <f>LEFT(C2,LEN(C2)-1)&amp;"Id"</f>
        <v>CompassionLevelId</v>
      </c>
      <c r="C4" s="14" t="s">
        <v>6</v>
      </c>
      <c r="D4" s="14" t="b">
        <v>1</v>
      </c>
      <c r="E4" s="14"/>
      <c r="F4" s="14" t="b">
        <v>1</v>
      </c>
      <c r="H4" s="14"/>
      <c r="J4" s="3" t="str">
        <f>"    "&amp;B4&amp;" "&amp;UPPER(C4)&amp;IF(E4," NOT NULL","")&amp;IF(D4," IDENTITY(1,1)","")&amp;IF(NOT(ISBLANK(F4))," CONSTRAINT "&amp;C$2&amp;"_"&amp;B4&amp;"_PK PRIMARY KEY","")&amp;IF(LEN(G4)&gt;0," CONSTRAINT "&amp;C$2&amp;"_"&amp;B4&amp;"_FK FOREIGN KEY REFERENCES "&amp;G4,"")&amp;IF(NOT(ISBLANK(H4))," CONSTRAINT "&amp;C$2&amp;"_"&amp;B4&amp;"_DF DEFAULT("&amp;H4&amp;")","")&amp;IF(NOT(ISBLANK(B5)),",","")</f>
        <v xml:space="preserve">    CompassionLevelId INT IDENTITY(1,1) CONSTRAINT CompassionLevels_CompassionLevelId_PK PRIMARY KEY,</v>
      </c>
      <c r="L4" s="4" t="str">
        <f>IF(NOT(ISBLANK(B5)),"@"&amp;B5&amp;" "&amp;UPPER(C5)&amp;IF(NOT(ISBLANK(B6)),",",""),"")</f>
        <v>@Name VARCHAR(50)</v>
      </c>
      <c r="N4" s="18" t="s">
        <v>38</v>
      </c>
      <c r="P4" s="5" t="s">
        <v>48</v>
      </c>
      <c r="R4" s="6" t="s">
        <v>48</v>
      </c>
      <c r="T4" s="16" t="s">
        <v>67</v>
      </c>
      <c r="V4" s="12" t="str">
        <f>"namespace Dots.Domain.Repositories."&amp;B2</f>
        <v>namespace Dots.Domain.Repositories.dbo</v>
      </c>
      <c r="X4" s="13" t="s">
        <v>65</v>
      </c>
    </row>
    <row r="5" spans="1:42" x14ac:dyDescent="0.25">
      <c r="B5" s="2" t="s">
        <v>107</v>
      </c>
      <c r="C5" s="2" t="s">
        <v>108</v>
      </c>
      <c r="D5" s="2"/>
      <c r="E5" s="2" t="b">
        <v>1</v>
      </c>
      <c r="F5" s="2"/>
      <c r="G5" t="str">
        <f>IF(UPPER(RIGHT(B5,2))="ID",B$2&amp;"."&amp;LEFT(B5,LEN(B5)-2)&amp;"("&amp;B5&amp;")","")</f>
        <v/>
      </c>
      <c r="H5" s="2"/>
      <c r="J5" s="3" t="str">
        <f t="shared" ref="J5:J20" si="0">"    "&amp;B5&amp;" "&amp;UPPER(C5)&amp;IF(E5," NOT NULL","")&amp;IF(D5," IDENTITY(1,1)","")&amp;IF(NOT(ISBLANK(F5))," CONSTRAINT "&amp;C$2&amp;"_"&amp;B5&amp;"_PK PRIMARY KEY","")&amp;IF(LEN(G5)&gt;0," CONSTRAINT "&amp;C$2&amp;"_"&amp;B5&amp;"_FK FOREIGN KEY REFERENCES "&amp;G5,"")&amp;IF(NOT(ISBLANK(H5))," CONSTRAINT "&amp;C$2&amp;"_"&amp;B5&amp;"_DF DEFAULT("&amp;H5&amp;")","")&amp;IF(NOT(ISBLANK(B6)),",","")</f>
        <v xml:space="preserve">    Name VARCHAR(50) NOT NULL</v>
      </c>
      <c r="L5" s="4" t="str">
        <f t="shared" ref="L5:L19" si="1">IF(NOT(ISBLANK(B6)),"@"&amp;B6&amp;" "&amp;UPPER(C6)&amp;IF(NOT(ISBLANK(B7)),",",""),"")</f>
        <v/>
      </c>
      <c r="P5" s="5" t="s">
        <v>49</v>
      </c>
      <c r="R5" s="6" t="s">
        <v>49</v>
      </c>
      <c r="T5" s="16" t="s">
        <v>12</v>
      </c>
      <c r="V5" s="12" t="s">
        <v>50</v>
      </c>
      <c r="X5" s="13" t="s">
        <v>66</v>
      </c>
    </row>
    <row r="6" spans="1:42" x14ac:dyDescent="0.25">
      <c r="B6" s="2"/>
      <c r="C6" s="2"/>
      <c r="D6" s="2"/>
      <c r="E6" s="2"/>
      <c r="F6" s="2"/>
      <c r="G6" t="str">
        <f t="shared" ref="G6:G20" si="2">IF(UPPER(RIGHT(B6,2))="ID",B$2&amp;"."&amp;LEFT(B6,LEN(B6)-2)&amp;"("&amp;B6&amp;")","")</f>
        <v/>
      </c>
      <c r="H6" s="2"/>
      <c r="J6" s="3" t="str">
        <f t="shared" si="0"/>
        <v xml:space="preserve">     </v>
      </c>
      <c r="L6" s="4" t="str">
        <f t="shared" si="1"/>
        <v/>
      </c>
      <c r="N6" s="18" t="s">
        <v>89</v>
      </c>
      <c r="P6" s="5" t="s">
        <v>12</v>
      </c>
      <c r="R6" s="6" t="s">
        <v>12</v>
      </c>
      <c r="T6" s="16" t="s">
        <v>82</v>
      </c>
      <c r="V6" s="12" t="str">
        <f>"    public interface I"&amp;C2&amp;"Repository"</f>
        <v>    public interface ICompassionLevelsRepository</v>
      </c>
      <c r="X6" s="13" t="s">
        <v>67</v>
      </c>
    </row>
    <row r="7" spans="1:42" x14ac:dyDescent="0.25">
      <c r="B7" s="2"/>
      <c r="C7" s="2"/>
      <c r="D7" s="2"/>
      <c r="E7" s="2"/>
      <c r="F7" s="2"/>
      <c r="G7" t="str">
        <f t="shared" si="2"/>
        <v/>
      </c>
      <c r="H7" s="2"/>
      <c r="J7" s="3" t="str">
        <f t="shared" si="0"/>
        <v xml:space="preserve">     </v>
      </c>
      <c r="L7" s="4" t="str">
        <f t="shared" si="1"/>
        <v/>
      </c>
      <c r="N7" s="18" t="str">
        <f>IF(NOT(ISBLANK(B4)),"    ["&amp;B4&amp;"]"&amp;IF(LEN(N8)&gt;0,",",""),"")</f>
        <v xml:space="preserve">    [CompassionLevelId],</v>
      </c>
      <c r="P7" s="5" t="str">
        <f>"namespace Dots.Domain."&amp;B2</f>
        <v>namespace Dots.Domain.dbo</v>
      </c>
      <c r="R7" s="6" t="str">
        <f>"namespace Dots.Domain."&amp;B2</f>
        <v>namespace Dots.Domain.dbo</v>
      </c>
      <c r="T7" s="16" t="s">
        <v>50</v>
      </c>
      <c r="V7" s="12" t="s">
        <v>51</v>
      </c>
      <c r="X7" s="13" t="s">
        <v>12</v>
      </c>
    </row>
    <row r="8" spans="1:42" x14ac:dyDescent="0.25">
      <c r="B8" s="2"/>
      <c r="C8" s="2"/>
      <c r="D8" s="2"/>
      <c r="E8" s="2"/>
      <c r="F8" s="2"/>
      <c r="G8" t="str">
        <f t="shared" si="2"/>
        <v/>
      </c>
      <c r="H8" s="2"/>
      <c r="J8" s="3" t="str">
        <f t="shared" si="0"/>
        <v xml:space="preserve">     </v>
      </c>
      <c r="L8" s="4" t="str">
        <f t="shared" si="1"/>
        <v/>
      </c>
      <c r="N8" s="18" t="str">
        <f t="shared" ref="N8:N22" si="3">IF(NOT(ISBLANK(B5)),"    ["&amp;B5&amp;"]"&amp;IF(LEN(N9)&gt;0,",",""),"")</f>
        <v xml:space="preserve">    [Name]</v>
      </c>
      <c r="P8" s="5" t="s">
        <v>50</v>
      </c>
      <c r="R8" s="6" t="s">
        <v>50</v>
      </c>
      <c r="T8" s="16" t="str">
        <f>"    public static class "&amp;C2&amp;"Helper"</f>
        <v>    public static class CompassionLevelsHelper</v>
      </c>
      <c r="V8" s="12" t="str">
        <f>"        I"&amp;C2&amp;" Get(int "&amp;LOWER(C2)&amp;"Id);"</f>
        <v>        ICompassionLevels Get(int compassionlevelsId);</v>
      </c>
      <c r="X8" s="13" t="str">
        <f>"namespace Dots.Domain.Repositories."&amp;B2</f>
        <v>namespace Dots.Domain.Repositories.dbo</v>
      </c>
    </row>
    <row r="9" spans="1:42" x14ac:dyDescent="0.25">
      <c r="B9" s="2"/>
      <c r="C9" s="2"/>
      <c r="D9" s="2"/>
      <c r="E9" s="2"/>
      <c r="F9" s="2"/>
      <c r="G9" t="str">
        <f t="shared" si="2"/>
        <v/>
      </c>
      <c r="H9" s="2"/>
      <c r="J9" s="3" t="str">
        <f t="shared" si="0"/>
        <v xml:space="preserve">     </v>
      </c>
      <c r="L9" s="4" t="str">
        <f t="shared" si="1"/>
        <v/>
      </c>
      <c r="N9" s="18" t="str">
        <f t="shared" si="3"/>
        <v/>
      </c>
      <c r="P9" s="5" t="str">
        <f>"    public interface I"&amp;C2&amp;" : IEntity"</f>
        <v>    public interface ICompassionLevels : IEntity</v>
      </c>
      <c r="R9" s="6" t="str">
        <f>"    public class "&amp;C2&amp;" : I"&amp;C2</f>
        <v>    public class CompassionLevels : ICompassionLevels</v>
      </c>
      <c r="T9" s="16" t="s">
        <v>51</v>
      </c>
      <c r="V9" s="12" t="s">
        <v>12</v>
      </c>
      <c r="X9" s="13" t="s">
        <v>50</v>
      </c>
    </row>
    <row r="10" spans="1:42" x14ac:dyDescent="0.25">
      <c r="B10" s="2"/>
      <c r="C10" s="2"/>
      <c r="D10" s="2"/>
      <c r="E10" s="2"/>
      <c r="F10" s="2"/>
      <c r="G10" t="str">
        <f t="shared" si="2"/>
        <v/>
      </c>
      <c r="H10" s="2"/>
      <c r="J10" s="3" t="str">
        <f t="shared" si="0"/>
        <v xml:space="preserve">     </v>
      </c>
      <c r="L10" s="4" t="str">
        <f t="shared" si="1"/>
        <v/>
      </c>
      <c r="N10" s="18" t="str">
        <f t="shared" si="3"/>
        <v/>
      </c>
      <c r="P10" s="5" t="s">
        <v>51</v>
      </c>
      <c r="R10" s="6" t="s">
        <v>51</v>
      </c>
      <c r="T10" s="16" t="str">
        <f>"        public static I"&amp;C2&amp;" ParseReader(IDataReader reader)"</f>
        <v>        public static ICompassionLevels ParseReader(IDataReader reader)</v>
      </c>
      <c r="V10" s="12" t="str">
        <f>"        DataResult&lt;I"&amp;C2&amp;"&gt; Save(I"&amp;C2&amp;" "&amp;LOWER(C2)&amp;");"</f>
        <v>        DataResult&lt;ICompassionLevels&gt; Save(ICompassionLevels compassionlevels);</v>
      </c>
      <c r="X10" s="13" t="str">
        <f>"    public class Sql"&amp;C2&amp;"Repository : Repository&lt;I"&amp;C2&amp;"&gt;, I"&amp;C2&amp;"Repository"</f>
        <v>    public class SqlCompassionLevelsRepository : Repository&lt;ICompassionLevels&gt;, ICompassionLevelsRepository</v>
      </c>
    </row>
    <row r="11" spans="1:42" x14ac:dyDescent="0.25">
      <c r="B11" s="2"/>
      <c r="C11" s="2"/>
      <c r="D11" s="2"/>
      <c r="E11" s="2"/>
      <c r="F11" s="2"/>
      <c r="G11" t="str">
        <f t="shared" si="2"/>
        <v/>
      </c>
      <c r="H11" s="2"/>
      <c r="J11" s="3" t="str">
        <f t="shared" si="0"/>
        <v xml:space="preserve">     </v>
      </c>
      <c r="L11" s="4" t="str">
        <f t="shared" si="1"/>
        <v/>
      </c>
      <c r="N11" s="18" t="str">
        <f t="shared" si="3"/>
        <v/>
      </c>
      <c r="R11" s="6" t="s">
        <v>57</v>
      </c>
      <c r="T11" s="16" t="s">
        <v>52</v>
      </c>
      <c r="V11" s="12" t="s">
        <v>54</v>
      </c>
      <c r="X11" s="13" t="s">
        <v>51</v>
      </c>
    </row>
    <row r="12" spans="1:42" x14ac:dyDescent="0.25">
      <c r="B12" s="2"/>
      <c r="C12" s="2"/>
      <c r="D12" s="2"/>
      <c r="E12" s="2"/>
      <c r="F12" s="2"/>
      <c r="G12" t="str">
        <f t="shared" si="2"/>
        <v/>
      </c>
      <c r="H12" s="2"/>
      <c r="J12" s="3" t="str">
        <f t="shared" si="0"/>
        <v xml:space="preserve">     </v>
      </c>
      <c r="L12" s="4" t="str">
        <f t="shared" si="1"/>
        <v/>
      </c>
      <c r="N12" s="18" t="str">
        <f t="shared" si="3"/>
        <v/>
      </c>
      <c r="O12" t="str">
        <f t="shared" ref="O12:O27" si="4">IF(NOT(ISBLANK(C5)),C5,"")</f>
        <v>varchar(50)</v>
      </c>
      <c r="P12" s="5" t="str">
        <f t="shared" ref="P12:P27" si="5">IF(NOT(ISBLANK(C5)),"        "&amp;IF(ISBLANK(Q12),C5,Q12)&amp;" "&amp;B5&amp;" { get; set; }","")</f>
        <v xml:space="preserve">        varchar(50) Name { get; set; }</v>
      </c>
      <c r="R12" s="6" t="str">
        <f t="shared" ref="R12:R27" si="6">IF(LEN(P12)&gt;0,"        public "&amp;TRIM(P12),"")</f>
        <v xml:space="preserve">        public varchar(50) Name { get; set; }</v>
      </c>
      <c r="T12" s="16" t="str">
        <f>"            return new "&amp;C2&amp;"("</f>
        <v>            return new CompassionLevels(</v>
      </c>
      <c r="V12" s="12" t="s">
        <v>55</v>
      </c>
      <c r="X12" s="13" t="str">
        <f>"        public Sql"&amp;C2&amp;"Repository(IUnitOfWork unitOfWork)"</f>
        <v>        public SqlCompassionLevelsRepository(IUnitOfWork unitOfWork)</v>
      </c>
    </row>
    <row r="13" spans="1:42" x14ac:dyDescent="0.25">
      <c r="B13" s="2"/>
      <c r="C13" s="2"/>
      <c r="D13" s="2"/>
      <c r="E13" s="2"/>
      <c r="F13" s="2"/>
      <c r="G13" t="str">
        <f t="shared" si="2"/>
        <v/>
      </c>
      <c r="H13" s="2"/>
      <c r="J13" s="3" t="str">
        <f t="shared" si="0"/>
        <v xml:space="preserve">     </v>
      </c>
      <c r="L13" s="4" t="str">
        <f t="shared" si="1"/>
        <v/>
      </c>
      <c r="N13" s="18" t="str">
        <f t="shared" si="3"/>
        <v/>
      </c>
      <c r="O13" t="str">
        <f t="shared" si="4"/>
        <v/>
      </c>
      <c r="P13" s="5" t="str">
        <f t="shared" si="5"/>
        <v/>
      </c>
      <c r="R13" s="6" t="str">
        <f t="shared" si="6"/>
        <v/>
      </c>
      <c r="T13" s="16" t="str">
        <f>"                reader.Get&lt;int&gt;("&amp;C2&amp;"Col.Id),"</f>
        <v xml:space="preserve">                reader.Get&lt;int&gt;(CompassionLevelsCol.Id),</v>
      </c>
      <c r="X13" s="13" t="s">
        <v>68</v>
      </c>
    </row>
    <row r="14" spans="1:42" x14ac:dyDescent="0.25">
      <c r="B14" s="2"/>
      <c r="C14" s="2"/>
      <c r="D14" s="2"/>
      <c r="E14" s="2"/>
      <c r="F14" s="2"/>
      <c r="G14" t="str">
        <f t="shared" si="2"/>
        <v/>
      </c>
      <c r="H14" s="2"/>
      <c r="J14" s="3" t="str">
        <f t="shared" si="0"/>
        <v xml:space="preserve">     </v>
      </c>
      <c r="L14" s="4" t="str">
        <f t="shared" si="1"/>
        <v/>
      </c>
      <c r="N14" s="18" t="str">
        <f t="shared" si="3"/>
        <v/>
      </c>
      <c r="O14" t="str">
        <f t="shared" si="4"/>
        <v/>
      </c>
      <c r="P14" s="5" t="str">
        <f t="shared" si="5"/>
        <v/>
      </c>
      <c r="R14" s="6" t="str">
        <f t="shared" si="6"/>
        <v/>
      </c>
      <c r="T14" s="16" t="str">
        <f t="shared" ref="T14:T29" si="7">IF(LEN(Q12)&gt;0,"                reader.Get&lt;"&amp;Q12&amp;"&gt;("&amp;C$2&amp;"Col."&amp;B5&amp;")"&amp;IF(LEN(T15)&gt;0,",",""),"")</f>
        <v/>
      </c>
      <c r="X14" s="13" t="s">
        <v>52</v>
      </c>
    </row>
    <row r="15" spans="1:42" x14ac:dyDescent="0.25">
      <c r="B15" s="2"/>
      <c r="C15" s="2"/>
      <c r="D15" s="2"/>
      <c r="E15" s="2"/>
      <c r="F15" s="2"/>
      <c r="G15" t="str">
        <f t="shared" si="2"/>
        <v/>
      </c>
      <c r="H15" s="2"/>
      <c r="J15" s="3" t="str">
        <f t="shared" si="0"/>
        <v xml:space="preserve">     </v>
      </c>
      <c r="L15" s="4" t="str">
        <f t="shared" si="1"/>
        <v/>
      </c>
      <c r="N15" s="18" t="str">
        <f t="shared" si="3"/>
        <v/>
      </c>
      <c r="O15" t="str">
        <f t="shared" si="4"/>
        <v/>
      </c>
      <c r="P15" s="5" t="str">
        <f t="shared" si="5"/>
        <v/>
      </c>
      <c r="R15" s="6" t="str">
        <f t="shared" si="6"/>
        <v/>
      </c>
      <c r="T15" s="16" t="str">
        <f t="shared" si="7"/>
        <v/>
      </c>
      <c r="X15" s="13" t="s">
        <v>53</v>
      </c>
    </row>
    <row r="16" spans="1:42" x14ac:dyDescent="0.25">
      <c r="B16" s="2"/>
      <c r="C16" s="2"/>
      <c r="D16" s="2"/>
      <c r="E16" s="2"/>
      <c r="F16" s="2"/>
      <c r="G16" t="str">
        <f t="shared" si="2"/>
        <v/>
      </c>
      <c r="H16" s="2"/>
      <c r="J16" s="3" t="str">
        <f t="shared" si="0"/>
        <v xml:space="preserve">     </v>
      </c>
      <c r="L16" s="4" t="str">
        <f t="shared" si="1"/>
        <v/>
      </c>
      <c r="N16" s="18" t="str">
        <f t="shared" si="3"/>
        <v/>
      </c>
      <c r="O16" t="str">
        <f t="shared" si="4"/>
        <v/>
      </c>
      <c r="P16" s="5" t="str">
        <f t="shared" si="5"/>
        <v/>
      </c>
      <c r="R16" s="6" t="str">
        <f t="shared" si="6"/>
        <v/>
      </c>
      <c r="T16" s="16" t="str">
        <f t="shared" si="7"/>
        <v/>
      </c>
    </row>
    <row r="17" spans="1:24" x14ac:dyDescent="0.25">
      <c r="B17" s="2"/>
      <c r="C17" s="2"/>
      <c r="D17" s="2"/>
      <c r="E17" s="2"/>
      <c r="F17" s="2"/>
      <c r="G17" t="str">
        <f t="shared" si="2"/>
        <v/>
      </c>
      <c r="H17" s="2"/>
      <c r="J17" s="3" t="str">
        <f t="shared" si="0"/>
        <v xml:space="preserve">     </v>
      </c>
      <c r="L17" s="4" t="str">
        <f t="shared" si="1"/>
        <v/>
      </c>
      <c r="N17" s="18" t="str">
        <f t="shared" si="3"/>
        <v/>
      </c>
      <c r="O17" t="str">
        <f t="shared" si="4"/>
        <v/>
      </c>
      <c r="P17" s="5" t="str">
        <f t="shared" si="5"/>
        <v/>
      </c>
      <c r="R17" s="6" t="str">
        <f t="shared" si="6"/>
        <v/>
      </c>
      <c r="T17" s="16" t="str">
        <f t="shared" si="7"/>
        <v/>
      </c>
      <c r="X17" s="13" t="str">
        <f>"        protected override I"&amp;C2&amp;" Map(IDataReader reader)"</f>
        <v xml:space="preserve">        protected override ICompassionLevels Map(IDataReader reader)</v>
      </c>
    </row>
    <row r="18" spans="1:24" x14ac:dyDescent="0.25">
      <c r="B18" s="2"/>
      <c r="C18" s="2"/>
      <c r="D18" s="2"/>
      <c r="E18" s="2"/>
      <c r="F18" s="2"/>
      <c r="G18" t="str">
        <f t="shared" si="2"/>
        <v/>
      </c>
      <c r="H18" s="2"/>
      <c r="J18" s="3" t="str">
        <f t="shared" si="0"/>
        <v xml:space="preserve">     </v>
      </c>
      <c r="L18" s="4" t="str">
        <f t="shared" si="1"/>
        <v/>
      </c>
      <c r="N18" s="18" t="str">
        <f t="shared" si="3"/>
        <v/>
      </c>
      <c r="O18" t="str">
        <f t="shared" si="4"/>
        <v/>
      </c>
      <c r="P18" s="5" t="str">
        <f t="shared" si="5"/>
        <v/>
      </c>
      <c r="R18" s="6" t="str">
        <f t="shared" si="6"/>
        <v/>
      </c>
      <c r="T18" s="16" t="str">
        <f t="shared" si="7"/>
        <v/>
      </c>
      <c r="X18" s="13" t="s">
        <v>79</v>
      </c>
    </row>
    <row r="19" spans="1:24" x14ac:dyDescent="0.25">
      <c r="B19" s="2"/>
      <c r="C19" s="2"/>
      <c r="D19" s="2"/>
      <c r="E19" s="2"/>
      <c r="F19" s="2"/>
      <c r="G19" t="str">
        <f t="shared" si="2"/>
        <v/>
      </c>
      <c r="H19" s="2"/>
      <c r="J19" s="3" t="str">
        <f t="shared" si="0"/>
        <v xml:space="preserve">     </v>
      </c>
      <c r="L19" s="4" t="str">
        <f t="shared" si="1"/>
        <v/>
      </c>
      <c r="N19" s="18" t="str">
        <f t="shared" si="3"/>
        <v/>
      </c>
      <c r="O19" t="str">
        <f t="shared" si="4"/>
        <v/>
      </c>
      <c r="P19" s="5" t="str">
        <f t="shared" si="5"/>
        <v/>
      </c>
      <c r="R19" s="6" t="str">
        <f t="shared" si="6"/>
        <v/>
      </c>
      <c r="T19" s="16" t="str">
        <f t="shared" si="7"/>
        <v/>
      </c>
      <c r="X19" s="13" t="str">
        <f>"           return "&amp;C2&amp;"Helper.ParseReader(reader);"</f>
        <v>           return CompassionLevelsHelper.ParseReader(reader);</v>
      </c>
    </row>
    <row r="20" spans="1:24" x14ac:dyDescent="0.25">
      <c r="B20" s="2"/>
      <c r="C20" s="2"/>
      <c r="D20" s="2"/>
      <c r="E20" s="2"/>
      <c r="F20" s="2"/>
      <c r="G20" t="str">
        <f t="shared" si="2"/>
        <v/>
      </c>
      <c r="H20" s="2"/>
      <c r="J20" s="3" t="str">
        <f t="shared" si="0"/>
        <v xml:space="preserve">     </v>
      </c>
      <c r="L20" s="4" t="s">
        <v>38</v>
      </c>
      <c r="N20" s="18" t="str">
        <f t="shared" si="3"/>
        <v/>
      </c>
      <c r="O20" t="str">
        <f t="shared" si="4"/>
        <v/>
      </c>
      <c r="P20" s="5" t="str">
        <f t="shared" si="5"/>
        <v/>
      </c>
      <c r="R20" s="6" t="str">
        <f t="shared" si="6"/>
        <v/>
      </c>
      <c r="T20" s="16" t="str">
        <f t="shared" si="7"/>
        <v/>
      </c>
      <c r="X20" s="13" t="s">
        <v>80</v>
      </c>
    </row>
    <row r="21" spans="1:24" x14ac:dyDescent="0.25">
      <c r="A21" t="s">
        <v>9</v>
      </c>
      <c r="J21" s="3" t="str">
        <f>A21</f>
        <v>);</v>
      </c>
      <c r="N21" s="18" t="str">
        <f t="shared" si="3"/>
        <v/>
      </c>
      <c r="O21" t="str">
        <f t="shared" si="4"/>
        <v/>
      </c>
      <c r="P21" s="5" t="str">
        <f t="shared" si="5"/>
        <v/>
      </c>
      <c r="R21" s="6" t="str">
        <f t="shared" si="6"/>
        <v/>
      </c>
      <c r="T21" s="16" t="str">
        <f t="shared" si="7"/>
        <v/>
      </c>
    </row>
    <row r="22" spans="1:24" x14ac:dyDescent="0.25">
      <c r="L22" s="4" t="s">
        <v>39</v>
      </c>
      <c r="N22" s="18" t="str">
        <f t="shared" si="3"/>
        <v/>
      </c>
      <c r="O22" t="str">
        <f t="shared" si="4"/>
        <v/>
      </c>
      <c r="P22" s="5" t="str">
        <f t="shared" si="5"/>
        <v/>
      </c>
      <c r="R22" s="6" t="str">
        <f t="shared" si="6"/>
        <v/>
      </c>
      <c r="T22" s="16" t="str">
        <f t="shared" si="7"/>
        <v/>
      </c>
      <c r="X22" s="13" t="str">
        <f>"        public I"&amp;C2&amp;" Get(int "&amp;LOWER(C2)&amp;"Id)"</f>
        <v>        public ICompassionLevels Get(int compassionlevelsId)</v>
      </c>
    </row>
    <row r="23" spans="1:24" x14ac:dyDescent="0.25">
      <c r="A23" t="s">
        <v>10</v>
      </c>
      <c r="J23" s="3" t="str">
        <f t="shared" ref="J23" si="8">A23</f>
        <v>GO</v>
      </c>
      <c r="L23" s="4" t="str">
        <f>"SELECT "&amp;B4</f>
        <v>SELECT CompassionLevelId</v>
      </c>
      <c r="O23" t="str">
        <f t="shared" si="4"/>
        <v/>
      </c>
      <c r="P23" s="5" t="str">
        <f t="shared" si="5"/>
        <v/>
      </c>
      <c r="R23" s="6" t="str">
        <f t="shared" si="6"/>
        <v/>
      </c>
      <c r="T23" s="16" t="str">
        <f t="shared" si="7"/>
        <v/>
      </c>
      <c r="X23" s="13" t="s">
        <v>52</v>
      </c>
    </row>
    <row r="24" spans="1:24" x14ac:dyDescent="0.25">
      <c r="L24" s="4" t="str">
        <f>"FROM "&amp;B2&amp;"."&amp;C2</f>
        <v>FROM dbo.CompassionLevels</v>
      </c>
      <c r="N24" s="18" t="s">
        <v>90</v>
      </c>
      <c r="O24" t="str">
        <f t="shared" si="4"/>
        <v/>
      </c>
      <c r="P24" s="5" t="str">
        <f t="shared" si="5"/>
        <v/>
      </c>
      <c r="R24" s="6" t="str">
        <f t="shared" si="6"/>
        <v/>
      </c>
      <c r="T24" s="16" t="str">
        <f t="shared" si="7"/>
        <v/>
      </c>
      <c r="X24" s="13" t="str">
        <f>"            using (var command = UnitOfWork.CreateStoredProcedure("""&amp;B2&amp;".USP_"&amp;C2&amp;"_Get""))"</f>
        <v>            using (var command = UnitOfWork.CreateStoredProcedure("dbo.USP_CompassionLevels_Get"))</v>
      </c>
    </row>
    <row r="25" spans="1:24" x14ac:dyDescent="0.25">
      <c r="A25" t="s">
        <v>33</v>
      </c>
      <c r="B25" t="str">
        <f>B2</f>
        <v>dbo</v>
      </c>
      <c r="C25" t="str">
        <f>"Trigger_"&amp;C2&amp;"_AuditData"</f>
        <v>Trigger_CompassionLevels_AuditData</v>
      </c>
      <c r="J25" s="3" t="str">
        <f>A25&amp;" ["&amp;B25&amp;"].["&amp;C25&amp;"] ON ["&amp;B2&amp;"].["&amp;C2&amp;"]"</f>
        <v>CREATE TRIGGER [dbo].[Trigger_CompassionLevels_AuditData] ON [dbo].[CompassionLevels]</v>
      </c>
      <c r="L25" s="4" t="s">
        <v>40</v>
      </c>
      <c r="N25" s="18" t="str">
        <f>"    "&amp;B2&amp;"."&amp;C2</f>
        <v xml:space="preserve">    dbo.CompassionLevels</v>
      </c>
      <c r="O25" t="str">
        <f t="shared" si="4"/>
        <v/>
      </c>
      <c r="P25" s="5" t="str">
        <f t="shared" si="5"/>
        <v/>
      </c>
      <c r="R25" s="6" t="str">
        <f t="shared" si="6"/>
        <v/>
      </c>
      <c r="T25" s="16" t="str">
        <f t="shared" si="7"/>
        <v/>
      </c>
      <c r="X25" s="13" t="s">
        <v>69</v>
      </c>
    </row>
    <row r="26" spans="1:24" x14ac:dyDescent="0.25">
      <c r="A26" t="s">
        <v>15</v>
      </c>
      <c r="J26" s="3" t="str">
        <f>A26</f>
        <v>    FOR DELETE, INSERT, UPDATE AS</v>
      </c>
      <c r="L26" s="4" t="str">
        <f>IF(NOT(ISBLANK(B4)),"["&amp;B4&amp;"] = ISNULL(@"&amp;B4&amp;", 0)","")</f>
        <v>[CompassionLevelId] = ISNULL(@CompassionLevelId, 0)</v>
      </c>
      <c r="N26" s="18" t="s">
        <v>40</v>
      </c>
      <c r="O26" t="str">
        <f t="shared" si="4"/>
        <v/>
      </c>
      <c r="P26" s="5" t="str">
        <f t="shared" si="5"/>
        <v/>
      </c>
      <c r="R26" s="6" t="str">
        <f t="shared" si="6"/>
        <v/>
      </c>
      <c r="T26" s="16" t="str">
        <f t="shared" si="7"/>
        <v/>
      </c>
      <c r="X26" s="13" t="s">
        <v>70</v>
      </c>
    </row>
    <row r="27" spans="1:24" x14ac:dyDescent="0.25">
      <c r="A27" t="s">
        <v>11</v>
      </c>
      <c r="J27" s="3" t="str">
        <f t="shared" ref="J27:J74" si="9">A27</f>
        <v>BEGIN</v>
      </c>
      <c r="L27" s="4" t="s">
        <v>41</v>
      </c>
      <c r="N27" s="18" t="str">
        <f>"    "&amp;B4&amp;" = @"&amp;B4</f>
        <v xml:space="preserve">    CompassionLevelId = @CompassionLevelId</v>
      </c>
      <c r="O27" t="str">
        <f t="shared" si="4"/>
        <v/>
      </c>
      <c r="P27" s="5" t="str">
        <f t="shared" si="5"/>
        <v/>
      </c>
      <c r="R27" s="6" t="str">
        <f t="shared" si="6"/>
        <v/>
      </c>
      <c r="T27" s="16" t="str">
        <f t="shared" si="7"/>
        <v/>
      </c>
      <c r="X27" s="13" t="str">
        <f>"                    .AddWithValue(""@"&amp;C2&amp;"Id"", "&amp;LOWER(C2)&amp;"Id, DbType.Int32);"</f>
        <v>                    .AddWithValue("@CompassionLevelsId", compassionlevelsId, DbType.Int32);</v>
      </c>
    </row>
    <row r="28" spans="1:24" x14ac:dyDescent="0.25">
      <c r="A28" t="s">
        <v>16</v>
      </c>
      <c r="J28" s="3" t="str">
        <f t="shared" si="9"/>
        <v xml:space="preserve">        SET NoCount ON</v>
      </c>
      <c r="L28" s="4" t="s">
        <v>11</v>
      </c>
      <c r="P28" s="5" t="s">
        <v>56</v>
      </c>
      <c r="T28" s="16" t="str">
        <f t="shared" si="7"/>
        <v/>
      </c>
    </row>
    <row r="29" spans="1:24" x14ac:dyDescent="0.25">
      <c r="A29" t="s">
        <v>12</v>
      </c>
      <c r="J29" s="3" t="str">
        <f t="shared" si="9"/>
        <v xml:space="preserve"> </v>
      </c>
      <c r="L29" s="4" t="str">
        <f>"INSERT INTO "&amp;B2&amp;"."&amp;C2&amp;" ("</f>
        <v>INSERT INTO dbo.CompassionLevels (</v>
      </c>
      <c r="P29" s="5" t="s">
        <v>55</v>
      </c>
      <c r="R29" s="6" t="str">
        <f>"        public "&amp;C2&amp;"("</f>
        <v>        public CompassionLevels(</v>
      </c>
      <c r="T29" s="16" t="str">
        <f t="shared" si="7"/>
        <v/>
      </c>
      <c r="X29" s="13" t="s">
        <v>71</v>
      </c>
    </row>
    <row r="30" spans="1:24" x14ac:dyDescent="0.25">
      <c r="A30" t="s">
        <v>17</v>
      </c>
      <c r="J30" s="3" t="str">
        <f t="shared" si="9"/>
        <v xml:space="preserve">        DECLARE @Token UNIQUEIDENTIFIER;</v>
      </c>
      <c r="L30" s="4" t="str">
        <f>IF(NOT(ISBLANK(B5)),"["&amp;B5&amp;"]"&amp;IF(NOT(ISBLANK(B6)),",",""),"")</f>
        <v>[Name]</v>
      </c>
      <c r="R30" s="6" t="str">
        <f>IF(NOT(ISBLANK(B4)),"            int"&amp;" "&amp;LOWER(LEFT(B4,1))&amp;MID(B4,2,LEN(B4)-1)&amp;IF(LEN(R31)&gt;0,",",""),"")</f>
        <v xml:space="preserve">            int compassionLevelId,</v>
      </c>
      <c r="X30" s="13" t="s">
        <v>72</v>
      </c>
    </row>
    <row r="31" spans="1:24" x14ac:dyDescent="0.25">
      <c r="A31" t="s">
        <v>18</v>
      </c>
      <c r="J31" s="3" t="str">
        <f t="shared" si="9"/>
        <v xml:space="preserve">        EXEC [Audit].USP_ContextInfo_Get @Token OUTPUT</v>
      </c>
      <c r="L31" s="4" t="str">
        <f t="shared" ref="L31:L45" si="10">IF(NOT(ISBLANK(B6)),"["&amp;B6&amp;"]"&amp;IF(NOT(ISBLANK(B7)),",",""),"")</f>
        <v/>
      </c>
      <c r="R31" s="6" t="str">
        <f t="shared" ref="R31:R46" si="11">IF(NOT(ISBLANK(B5)),"            "&amp;Q12&amp;" "&amp;LOWER(LEFT(B5,1))&amp;MID(B5,2,LEN(B5)-1)&amp;IF(LEN(R32)&gt;0,",",""),"")</f>
        <v xml:space="preserve">             name</v>
      </c>
      <c r="T31" s="16" t="s">
        <v>83</v>
      </c>
      <c r="X31" s="13" t="s">
        <v>53</v>
      </c>
    </row>
    <row r="32" spans="1:24" x14ac:dyDescent="0.25">
      <c r="A32" t="s">
        <v>12</v>
      </c>
      <c r="J32" s="3" t="str">
        <f t="shared" si="9"/>
        <v xml:space="preserve"> </v>
      </c>
      <c r="L32" s="4" t="str">
        <f t="shared" si="10"/>
        <v/>
      </c>
      <c r="R32" s="6" t="str">
        <f t="shared" si="11"/>
        <v/>
      </c>
      <c r="T32" s="16" t="s">
        <v>53</v>
      </c>
    </row>
    <row r="33" spans="1:24" x14ac:dyDescent="0.25">
      <c r="A33" t="s">
        <v>19</v>
      </c>
      <c r="J33" s="3" t="str">
        <f t="shared" si="9"/>
        <v xml:space="preserve">        -- Detect inserts</v>
      </c>
      <c r="L33" s="4" t="str">
        <f t="shared" si="10"/>
        <v/>
      </c>
      <c r="R33" s="6" t="str">
        <f t="shared" si="11"/>
        <v/>
      </c>
      <c r="T33" s="16" t="s">
        <v>12</v>
      </c>
      <c r="X33" s="13" t="str">
        <f>"        public DataResult&lt;I"&amp;C2&amp;"&gt; Save(I"&amp;C2&amp;" value)"</f>
        <v xml:space="preserve">        public DataResult&lt;ICompassionLevels&gt; Save(ICompassionLevels value)</v>
      </c>
    </row>
    <row r="34" spans="1:24" x14ac:dyDescent="0.25">
      <c r="A34" t="s">
        <v>20</v>
      </c>
      <c r="J34" s="3" t="str">
        <f t="shared" si="9"/>
        <v xml:space="preserve">        IF EXISTS (select * from inserted) AND NOT EXISTS (select * from deleted)</v>
      </c>
      <c r="L34" s="4" t="str">
        <f t="shared" si="10"/>
        <v/>
      </c>
      <c r="R34" s="6" t="str">
        <f t="shared" si="11"/>
        <v/>
      </c>
      <c r="T34" s="16" t="str">
        <f>"        public static IEnumerable&lt;I"&amp;C2&amp;"&gt; ParseMultipleReader(IDataReader reader)"</f>
        <v>        public static IEnumerable&lt;ICompassionLevels&gt; ParseMultipleReader(IDataReader reader)</v>
      </c>
      <c r="X34" s="13" t="s">
        <v>52</v>
      </c>
    </row>
    <row r="35" spans="1:24" x14ac:dyDescent="0.25">
      <c r="A35" t="s">
        <v>21</v>
      </c>
      <c r="J35" s="3" t="str">
        <f t="shared" si="9"/>
        <v xml:space="preserve">        BEGIN</v>
      </c>
      <c r="L35" s="4" t="str">
        <f t="shared" si="10"/>
        <v/>
      </c>
      <c r="R35" s="6" t="str">
        <f t="shared" si="11"/>
        <v/>
      </c>
      <c r="T35" s="16" t="s">
        <v>52</v>
      </c>
      <c r="X35" s="13" t="str">
        <f>"            using (var command = UnitOfWork.CreateStoredProcedure("""&amp;B2&amp;".USP_"&amp;C2&amp;"_Save""))"</f>
        <v>            using (var command = UnitOfWork.CreateStoredProcedure("dbo.USP_CompassionLevels_Save"))</v>
      </c>
    </row>
    <row r="36" spans="1:24" x14ac:dyDescent="0.25">
      <c r="A36" t="str">
        <f>"        INSERT ["&amp;B$2&amp;"].[AuditData] (ChangeType, ChangeToken, SchemaName, ObjectName, RecordId, Record)"</f>
        <v xml:space="preserve">        INSERT [dbo].[AuditData] (ChangeType, ChangeToken, SchemaName, ObjectName, RecordId, Record)</v>
      </c>
      <c r="J36" s="3" t="str">
        <f t="shared" si="9"/>
        <v xml:space="preserve">        INSERT [dbo].[AuditData] (ChangeType, ChangeToken, SchemaName, ObjectName, RecordId, Record)</v>
      </c>
      <c r="L36" s="4" t="str">
        <f t="shared" si="10"/>
        <v/>
      </c>
      <c r="R36" s="6" t="str">
        <f t="shared" si="11"/>
        <v/>
      </c>
      <c r="T36" s="16" t="str">
        <f>"            var "&amp;LOWER(LEFT(C2,1))&amp;MID(C2,2,LEN(C2)-1)&amp;"s = new List&lt;I"&amp;C2&amp;"&gt;();"</f>
        <v>            var compassionLevelss = new List&lt;ICompassionLevels&gt;();</v>
      </c>
      <c r="X36" s="13" t="s">
        <v>69</v>
      </c>
    </row>
    <row r="37" spans="1:24" x14ac:dyDescent="0.25">
      <c r="A37" t="str">
        <f>"        SELECT 'INSERT', @Token, '["&amp;B$2&amp;"]', '["&amp;C$2&amp;"]', P."&amp;B$4&amp;", DATA = ("</f>
        <v xml:space="preserve">        SELECT 'INSERT', @Token, '[dbo]', '[CompassionLevels]', P.CompassionLevelId, DATA = (</v>
      </c>
      <c r="J37" s="3" t="str">
        <f t="shared" si="9"/>
        <v xml:space="preserve">        SELECT 'INSERT', @Token, '[dbo]', '[CompassionLevels]', P.CompassionLevelId, DATA = (</v>
      </c>
      <c r="L37" s="4" t="str">
        <f t="shared" si="10"/>
        <v/>
      </c>
      <c r="R37" s="6" t="str">
        <f t="shared" si="11"/>
        <v/>
      </c>
      <c r="T37" s="16" t="s">
        <v>12</v>
      </c>
      <c r="X37" s="13" t="str">
        <f>"                var idParameter = command.AddOutput(""@"&amp;C2&amp;"Id"", DbType.Int32);"</f>
        <v>                var idParameter = command.AddOutput("@CompassionLevelsId", DbType.Int32);</v>
      </c>
    </row>
    <row r="38" spans="1:24" x14ac:dyDescent="0.25">
      <c r="A38" t="s">
        <v>22</v>
      </c>
      <c r="J38" s="3" t="str">
        <f t="shared" si="9"/>
        <v xml:space="preserve">                SELECT *</v>
      </c>
      <c r="L38" s="4" t="str">
        <f t="shared" si="10"/>
        <v/>
      </c>
      <c r="R38" s="6" t="str">
        <f t="shared" si="11"/>
        <v/>
      </c>
      <c r="T38" s="16" t="s">
        <v>84</v>
      </c>
      <c r="X38" s="13" t="s">
        <v>70</v>
      </c>
    </row>
    <row r="39" spans="1:24" x14ac:dyDescent="0.25">
      <c r="A39" t="s">
        <v>23</v>
      </c>
      <c r="J39" s="3" t="str">
        <f t="shared" si="9"/>
        <v xml:space="preserve">                FROM inserted Record</v>
      </c>
      <c r="L39" s="4" t="str">
        <f t="shared" si="10"/>
        <v/>
      </c>
      <c r="R39" s="6" t="str">
        <f t="shared" si="11"/>
        <v/>
      </c>
      <c r="T39" s="16" t="s">
        <v>69</v>
      </c>
      <c r="X39" s="13" t="str">
        <f>IF(NOT(ISBLANK(B4)),"                    .AddWithValue(""@"&amp;B4&amp;""", value.Id, DbType.Int32"&amp;")"&amp;IF(LEN(X40)&gt;0,"",";"),"")</f>
        <v>                    .AddWithValue("@CompassionLevelId", value.Id, DbType.Int32)</v>
      </c>
    </row>
    <row r="40" spans="1:24" x14ac:dyDescent="0.25">
      <c r="A40" t="str">
        <f>"                WHERE Record."&amp;B$4&amp;" = P."&amp;B$4</f>
        <v xml:space="preserve">                WHERE Record.CompassionLevelId = P.CompassionLevelId</v>
      </c>
      <c r="J40" s="3" t="str">
        <f t="shared" si="9"/>
        <v xml:space="preserve">                WHERE Record.CompassionLevelId = P.CompassionLevelId</v>
      </c>
      <c r="L40" s="4" t="str">
        <f t="shared" si="10"/>
        <v/>
      </c>
      <c r="R40" s="6" t="str">
        <f t="shared" si="11"/>
        <v/>
      </c>
      <c r="T40" s="16" t="str">
        <f>"                "&amp;LOWER(LEFT(C2,1))&amp;MID(C2,2,LEN(C2)-1)&amp;"s.Add(ParseReader(reader));"</f>
        <v>                compassionLevelss.Add(ParseReader(reader));</v>
      </c>
      <c r="X40" s="13" t="str">
        <f t="shared" ref="X40:X55" si="12">IF(NOT(ISBLANK(B5)),"                    .AddWithValue(""@"&amp;B5&amp;""", value."&amp;B5&amp;", DbType."&amp;IF(NOT(OR(ISBLANK(Q12),Q12="int")),UPPER(LEFT(Q12,1))&amp;MID(Q12,2,LEN(Q12)-1),"Int32")&amp;")"&amp;IF(LEFT(X41,24)="                    .Add","",";"),"")</f>
        <v>                    .AddWithValue("@Name", value.Name, DbType.Int32);</v>
      </c>
    </row>
    <row r="41" spans="1:24" x14ac:dyDescent="0.25">
      <c r="A41" t="s">
        <v>24</v>
      </c>
      <c r="J41" s="3" t="str">
        <f t="shared" si="9"/>
        <v xml:space="preserve">                FOR XML AUTO, ELEMENTS, root('RecordSet'), type</v>
      </c>
      <c r="L41" s="4" t="str">
        <f t="shared" si="10"/>
        <v/>
      </c>
      <c r="R41" s="6" t="str">
        <f t="shared" si="11"/>
        <v/>
      </c>
      <c r="T41" s="16" t="s">
        <v>72</v>
      </c>
      <c r="X41" s="13" t="str">
        <f t="shared" si="12"/>
        <v/>
      </c>
    </row>
    <row r="42" spans="1:24" x14ac:dyDescent="0.25">
      <c r="A42" t="s">
        <v>25</v>
      </c>
      <c r="J42" s="3" t="str">
        <f t="shared" si="9"/>
        <v xml:space="preserve">                )</v>
      </c>
      <c r="L42" s="4" t="str">
        <f t="shared" si="10"/>
        <v/>
      </c>
      <c r="R42" s="6" t="str">
        <f t="shared" si="11"/>
        <v/>
      </c>
      <c r="T42" s="16" t="s">
        <v>12</v>
      </c>
      <c r="X42" s="13" t="str">
        <f t="shared" si="12"/>
        <v/>
      </c>
    </row>
    <row r="43" spans="1:24" x14ac:dyDescent="0.25">
      <c r="A43" t="s">
        <v>26</v>
      </c>
      <c r="J43" s="3" t="str">
        <f t="shared" si="9"/>
        <v xml:space="preserve">        FROM inserted P</v>
      </c>
      <c r="L43" s="4" t="str">
        <f t="shared" si="10"/>
        <v/>
      </c>
      <c r="R43" s="6" t="str">
        <f t="shared" si="11"/>
        <v/>
      </c>
      <c r="T43" s="16" t="str">
        <f>"            return "&amp;LOWER(LEFT(C2,1))&amp;MID(C2,2,LEN(C2)-1)&amp;"s;"</f>
        <v>            return compassionLevelss;</v>
      </c>
      <c r="X43" s="13" t="str">
        <f t="shared" si="12"/>
        <v/>
      </c>
    </row>
    <row r="44" spans="1:24" x14ac:dyDescent="0.25">
      <c r="A44" t="s">
        <v>27</v>
      </c>
      <c r="J44" s="3" t="str">
        <f t="shared" si="9"/>
        <v xml:space="preserve">        RETURN;</v>
      </c>
      <c r="L44" s="4" t="str">
        <f t="shared" si="10"/>
        <v/>
      </c>
      <c r="R44" s="6" t="str">
        <f t="shared" si="11"/>
        <v/>
      </c>
      <c r="T44" s="16" t="s">
        <v>53</v>
      </c>
      <c r="X44" s="13" t="str">
        <f t="shared" si="12"/>
        <v/>
      </c>
    </row>
    <row r="45" spans="1:24" x14ac:dyDescent="0.25">
      <c r="A45" t="s">
        <v>28</v>
      </c>
      <c r="J45" s="3" t="str">
        <f t="shared" si="9"/>
        <v xml:space="preserve">        END</v>
      </c>
      <c r="L45" s="4" t="str">
        <f t="shared" si="10"/>
        <v/>
      </c>
      <c r="R45" s="6" t="str">
        <f t="shared" si="11"/>
        <v/>
      </c>
      <c r="T45" s="16" t="s">
        <v>12</v>
      </c>
      <c r="X45" s="13" t="str">
        <f t="shared" si="12"/>
        <v/>
      </c>
    </row>
    <row r="46" spans="1:24" x14ac:dyDescent="0.25">
      <c r="A46" t="s">
        <v>13</v>
      </c>
      <c r="J46" s="3" t="str">
        <f t="shared" si="9"/>
        <v>    </v>
      </c>
      <c r="L46" s="4" t="s">
        <v>41</v>
      </c>
      <c r="R46" s="6" t="str">
        <f t="shared" si="11"/>
        <v/>
      </c>
      <c r="T46" s="16" t="str">
        <f>"        private enum "&amp;C2&amp;"Col"</f>
        <v>        private enum CompassionLevelsCol</v>
      </c>
      <c r="X46" s="13" t="str">
        <f t="shared" si="12"/>
        <v/>
      </c>
    </row>
    <row r="47" spans="1:24" x14ac:dyDescent="0.25">
      <c r="A47" t="s">
        <v>29</v>
      </c>
      <c r="J47" s="3" t="str">
        <f t="shared" si="9"/>
        <v xml:space="preserve">        -- Detect deletes</v>
      </c>
      <c r="L47" s="4" t="s">
        <v>42</v>
      </c>
      <c r="R47" s="6" t="s">
        <v>85</v>
      </c>
      <c r="T47" s="16" t="s">
        <v>52</v>
      </c>
      <c r="X47" s="13" t="str">
        <f t="shared" si="12"/>
        <v/>
      </c>
    </row>
    <row r="48" spans="1:24" x14ac:dyDescent="0.25">
      <c r="A48" t="s">
        <v>30</v>
      </c>
      <c r="J48" s="3" t="str">
        <f t="shared" si="9"/>
        <v xml:space="preserve">        IF EXISTS (select * from deleted) AND NOT EXISTS (select * from inserted)</v>
      </c>
      <c r="L48" s="4" t="str">
        <f>IF(NOT(ISBLANK(B5)),"@"&amp;B5&amp;IF(NOT(ISBLANK(B6)),",",""),"")</f>
        <v>@Name</v>
      </c>
      <c r="R48" s="6" t="s">
        <v>52</v>
      </c>
      <c r="T48" s="16" t="s">
        <v>86</v>
      </c>
      <c r="X48" s="13" t="str">
        <f t="shared" si="12"/>
        <v/>
      </c>
    </row>
    <row r="49" spans="1:24" x14ac:dyDescent="0.25">
      <c r="A49" t="s">
        <v>21</v>
      </c>
      <c r="J49" s="3" t="str">
        <f t="shared" si="9"/>
        <v xml:space="preserve">        BEGIN</v>
      </c>
      <c r="L49" s="4" t="str">
        <f t="shared" ref="L49:L63" si="13">IF(NOT(ISBLANK(B6)),"@"&amp;B6&amp;IF(NOT(ISBLANK(B7)),",",""),"")</f>
        <v/>
      </c>
      <c r="R49" s="6" t="str">
        <f>IF(NOT(ISBLANK(B4)),"            Id = "&amp;LOWER(LEFT(B4,1))&amp;MID(B4,2,LEN(B4)-1)&amp;";","")</f>
        <v xml:space="preserve">            Id = compassionLevelId;</v>
      </c>
      <c r="T49" s="16" t="str">
        <f t="shared" ref="T49:T64" si="14">IF(NOT(ISBLANK(B5)),"            "&amp;B5&amp;IF(LEN(T15)&gt;0,",",""),"")</f>
        <v xml:space="preserve">            Name</v>
      </c>
      <c r="X49" s="13" t="str">
        <f t="shared" si="12"/>
        <v/>
      </c>
    </row>
    <row r="50" spans="1:24" x14ac:dyDescent="0.25">
      <c r="A50" t="str">
        <f>"        INSERT ["&amp;B$2&amp;"].[AuditData] (ChangeType, ChangeToken, SchemaName, ObjectName, RecordId, Record)"</f>
        <v xml:space="preserve">        INSERT [dbo].[AuditData] (ChangeType, ChangeToken, SchemaName, ObjectName, RecordId, Record)</v>
      </c>
      <c r="J50" s="3" t="str">
        <f t="shared" si="9"/>
        <v xml:space="preserve">        INSERT [dbo].[AuditData] (ChangeType, ChangeToken, SchemaName, ObjectName, RecordId, Record)</v>
      </c>
      <c r="L50" s="4" t="str">
        <f t="shared" si="13"/>
        <v/>
      </c>
      <c r="R50" s="6" t="str">
        <f t="shared" ref="R50:R65" si="15">IF(NOT(ISBLANK(B5)),"            "&amp;B5&amp;" = "&amp;LOWER(LEFT(B5,1))&amp;MID(B5,2,LEN(B5)-1)&amp;";","")</f>
        <v xml:space="preserve">            Name = name;</v>
      </c>
      <c r="T50" s="16" t="str">
        <f t="shared" si="14"/>
        <v/>
      </c>
      <c r="X50" s="13" t="str">
        <f t="shared" si="12"/>
        <v/>
      </c>
    </row>
    <row r="51" spans="1:24" x14ac:dyDescent="0.25">
      <c r="A51" t="str">
        <f>"        SELECT 'DELETE', @Token, '["&amp;B$2&amp;"]', '["&amp;C$2&amp;"]', P."&amp;B$4&amp;", DATA = ("</f>
        <v xml:space="preserve">        SELECT 'DELETE', @Token, '[dbo]', '[CompassionLevels]', P.CompassionLevelId, DATA = (</v>
      </c>
      <c r="J51" s="3" t="str">
        <f t="shared" si="9"/>
        <v xml:space="preserve">        SELECT 'DELETE', @Token, '[dbo]', '[CompassionLevels]', P.CompassionLevelId, DATA = (</v>
      </c>
      <c r="L51" s="4" t="str">
        <f>IF(NOT(ISBLANK(B8)),"@"&amp;B8&amp;IF(NOT(ISBLANK(B9)),",",""),"")</f>
        <v/>
      </c>
      <c r="R51" s="6" t="str">
        <f t="shared" si="15"/>
        <v/>
      </c>
      <c r="T51" s="16" t="str">
        <f t="shared" si="14"/>
        <v/>
      </c>
      <c r="X51" s="13" t="str">
        <f t="shared" si="12"/>
        <v/>
      </c>
    </row>
    <row r="52" spans="1:24" x14ac:dyDescent="0.25">
      <c r="A52" t="s">
        <v>22</v>
      </c>
      <c r="J52" s="3" t="str">
        <f t="shared" si="9"/>
        <v xml:space="preserve">                SELECT *</v>
      </c>
      <c r="L52" s="4" t="str">
        <f t="shared" si="13"/>
        <v/>
      </c>
      <c r="R52" s="6" t="str">
        <f t="shared" si="15"/>
        <v/>
      </c>
      <c r="T52" s="16" t="str">
        <f t="shared" si="14"/>
        <v/>
      </c>
      <c r="X52" s="13" t="str">
        <f t="shared" si="12"/>
        <v/>
      </c>
    </row>
    <row r="53" spans="1:24" x14ac:dyDescent="0.25">
      <c r="A53" t="s">
        <v>31</v>
      </c>
      <c r="J53" s="3" t="str">
        <f t="shared" si="9"/>
        <v xml:space="preserve">                FROM deleted Record</v>
      </c>
      <c r="L53" s="4" t="str">
        <f t="shared" si="13"/>
        <v/>
      </c>
      <c r="R53" s="6" t="str">
        <f t="shared" si="15"/>
        <v/>
      </c>
      <c r="T53" s="16" t="str">
        <f t="shared" si="14"/>
        <v/>
      </c>
      <c r="X53" s="13" t="str">
        <f t="shared" si="12"/>
        <v/>
      </c>
    </row>
    <row r="54" spans="1:24" x14ac:dyDescent="0.25">
      <c r="A54" t="str">
        <f>"                WHERE Record."&amp;B$4&amp;" = P."&amp;B$4</f>
        <v xml:space="preserve">                WHERE Record.CompassionLevelId = P.CompassionLevelId</v>
      </c>
      <c r="J54" s="3" t="str">
        <f t="shared" si="9"/>
        <v xml:space="preserve">                WHERE Record.CompassionLevelId = P.CompassionLevelId</v>
      </c>
      <c r="L54" s="4" t="str">
        <f t="shared" si="13"/>
        <v/>
      </c>
      <c r="R54" s="6" t="str">
        <f t="shared" si="15"/>
        <v/>
      </c>
      <c r="T54" s="16" t="str">
        <f t="shared" si="14"/>
        <v/>
      </c>
      <c r="X54" s="13" t="str">
        <f t="shared" si="12"/>
        <v/>
      </c>
    </row>
    <row r="55" spans="1:24" x14ac:dyDescent="0.25">
      <c r="A55" t="s">
        <v>24</v>
      </c>
      <c r="J55" s="3" t="str">
        <f t="shared" si="9"/>
        <v xml:space="preserve">                FOR XML AUTO, ELEMENTS, root('RecordSet'), type</v>
      </c>
      <c r="L55" s="4" t="str">
        <f t="shared" si="13"/>
        <v/>
      </c>
      <c r="R55" s="6" t="str">
        <f t="shared" si="15"/>
        <v/>
      </c>
      <c r="T55" s="16" t="str">
        <f t="shared" si="14"/>
        <v/>
      </c>
      <c r="X55" s="13" t="str">
        <f t="shared" si="12"/>
        <v/>
      </c>
    </row>
    <row r="56" spans="1:24" x14ac:dyDescent="0.25">
      <c r="A56" t="s">
        <v>25</v>
      </c>
      <c r="J56" s="3" t="str">
        <f t="shared" si="9"/>
        <v xml:space="preserve">                )</v>
      </c>
      <c r="L56" s="4" t="str">
        <f t="shared" si="13"/>
        <v/>
      </c>
      <c r="R56" s="6" t="str">
        <f t="shared" si="15"/>
        <v/>
      </c>
      <c r="T56" s="16" t="str">
        <f t="shared" si="14"/>
        <v/>
      </c>
    </row>
    <row r="57" spans="1:24" x14ac:dyDescent="0.25">
      <c r="A57" t="s">
        <v>26</v>
      </c>
      <c r="J57" s="3" t="str">
        <f t="shared" si="9"/>
        <v xml:space="preserve">        FROM inserted P</v>
      </c>
      <c r="L57" s="4" t="str">
        <f t="shared" si="13"/>
        <v/>
      </c>
      <c r="R57" s="6" t="str">
        <f t="shared" si="15"/>
        <v/>
      </c>
      <c r="T57" s="16" t="str">
        <f t="shared" si="14"/>
        <v/>
      </c>
      <c r="X57" s="13" t="s">
        <v>73</v>
      </c>
    </row>
    <row r="58" spans="1:24" x14ac:dyDescent="0.25">
      <c r="A58" t="s">
        <v>27</v>
      </c>
      <c r="J58" s="3" t="str">
        <f t="shared" si="9"/>
        <v xml:space="preserve">        RETURN;</v>
      </c>
      <c r="L58" s="4" t="str">
        <f t="shared" si="13"/>
        <v/>
      </c>
      <c r="R58" s="6" t="str">
        <f t="shared" si="15"/>
        <v/>
      </c>
      <c r="T58" s="16" t="str">
        <f t="shared" si="14"/>
        <v/>
      </c>
      <c r="X58" s="13" t="s">
        <v>74</v>
      </c>
    </row>
    <row r="59" spans="1:24" x14ac:dyDescent="0.25">
      <c r="A59" t="s">
        <v>28</v>
      </c>
      <c r="J59" s="3" t="str">
        <f t="shared" si="9"/>
        <v xml:space="preserve">        END</v>
      </c>
      <c r="L59" s="4" t="str">
        <f t="shared" si="13"/>
        <v/>
      </c>
      <c r="R59" s="6" t="str">
        <f t="shared" si="15"/>
        <v/>
      </c>
      <c r="T59" s="16" t="str">
        <f t="shared" si="14"/>
        <v/>
      </c>
      <c r="X59" s="13" t="s">
        <v>75</v>
      </c>
    </row>
    <row r="60" spans="1:24" x14ac:dyDescent="0.25">
      <c r="A60" t="s">
        <v>12</v>
      </c>
      <c r="J60" s="3" t="str">
        <f t="shared" si="9"/>
        <v xml:space="preserve"> </v>
      </c>
      <c r="L60" s="4" t="str">
        <f t="shared" si="13"/>
        <v/>
      </c>
      <c r="R60" s="6" t="str">
        <f t="shared" si="15"/>
        <v/>
      </c>
      <c r="T60" s="16" t="str">
        <f t="shared" si="14"/>
        <v/>
      </c>
      <c r="X60" s="13" t="s">
        <v>76</v>
      </c>
    </row>
    <row r="61" spans="1:24" x14ac:dyDescent="0.25">
      <c r="A61" t="s">
        <v>32</v>
      </c>
      <c r="J61" s="3" t="str">
        <f t="shared" si="9"/>
        <v xml:space="preserve">        -- Update inserts</v>
      </c>
      <c r="L61" s="4" t="str">
        <f t="shared" si="13"/>
        <v/>
      </c>
      <c r="R61" s="6" t="str">
        <f t="shared" si="15"/>
        <v/>
      </c>
      <c r="T61" s="16" t="str">
        <f t="shared" si="14"/>
        <v/>
      </c>
      <c r="X61" s="13" t="s">
        <v>77</v>
      </c>
    </row>
    <row r="62" spans="1:24" x14ac:dyDescent="0.25">
      <c r="A62" t="s">
        <v>34</v>
      </c>
      <c r="J62" s="3" t="str">
        <f t="shared" si="9"/>
        <v xml:space="preserve">        IF EXISTS (select * from inserted) AND EXISTS (select * from deleted)</v>
      </c>
      <c r="L62" s="4" t="str">
        <f t="shared" si="13"/>
        <v/>
      </c>
      <c r="R62" s="6" t="str">
        <f t="shared" si="15"/>
        <v/>
      </c>
      <c r="T62" s="16" t="str">
        <f t="shared" si="14"/>
        <v/>
      </c>
    </row>
    <row r="63" spans="1:24" x14ac:dyDescent="0.25">
      <c r="A63" t="s">
        <v>21</v>
      </c>
      <c r="J63" s="3" t="str">
        <f t="shared" si="9"/>
        <v xml:space="preserve">        BEGIN</v>
      </c>
      <c r="L63" s="4" t="str">
        <f t="shared" si="13"/>
        <v/>
      </c>
      <c r="R63" s="6" t="str">
        <f t="shared" si="15"/>
        <v/>
      </c>
      <c r="T63" s="16" t="str">
        <f t="shared" si="14"/>
        <v/>
      </c>
      <c r="X63" s="13" t="s">
        <v>78</v>
      </c>
    </row>
    <row r="64" spans="1:24" x14ac:dyDescent="0.25">
      <c r="A64" t="str">
        <f>"        INSERT ["&amp;B$2&amp;"].[AuditData] (ChangeType, ChangeToken, SchemaName, ObjectName, RecordId, Record)"</f>
        <v xml:space="preserve">        INSERT [dbo].[AuditData] (ChangeType, ChangeToken, SchemaName, ObjectName, RecordId, Record)</v>
      </c>
      <c r="J64" s="3" t="str">
        <f t="shared" si="9"/>
        <v xml:space="preserve">        INSERT [dbo].[AuditData] (ChangeType, ChangeToken, SchemaName, ObjectName, RecordId, Record)</v>
      </c>
      <c r="L64" s="4" t="s">
        <v>41</v>
      </c>
      <c r="R64" s="6" t="str">
        <f t="shared" si="15"/>
        <v/>
      </c>
      <c r="T64" s="16" t="str">
        <f t="shared" si="14"/>
        <v/>
      </c>
      <c r="X64" s="13" t="s">
        <v>72</v>
      </c>
    </row>
    <row r="65" spans="1:24" x14ac:dyDescent="0.25">
      <c r="A65" t="str">
        <f>"        SELECT 'UPDATE', @Token, '["&amp;B$2&amp;"]', '["&amp;C$2&amp;"]', P."&amp;B$4&amp;", DATA = ("</f>
        <v xml:space="preserve">        SELECT 'UPDATE', @Token, '[dbo]', '[CompassionLevels]', P.CompassionLevelId, DATA = (</v>
      </c>
      <c r="J65" s="3" t="str">
        <f t="shared" si="9"/>
        <v xml:space="preserve">        SELECT 'UPDATE', @Token, '[dbo]', '[CompassionLevels]', P.CompassionLevelId, DATA = (</v>
      </c>
      <c r="R65" s="6" t="str">
        <f t="shared" si="15"/>
        <v/>
      </c>
      <c r="T65" s="16" t="s">
        <v>53</v>
      </c>
      <c r="X65" s="13" t="s">
        <v>53</v>
      </c>
    </row>
    <row r="66" spans="1:24" x14ac:dyDescent="0.25">
      <c r="A66" t="s">
        <v>22</v>
      </c>
      <c r="J66" s="3" t="str">
        <f t="shared" si="9"/>
        <v xml:space="preserve">                SELECT *</v>
      </c>
      <c r="L66" s="4" t="str">
        <f>"SELECT @"&amp;B4&amp;" = SCOPE_IDENTITY()"</f>
        <v>SELECT @CompassionLevelId = SCOPE_IDENTITY()</v>
      </c>
      <c r="T66" s="16" t="s">
        <v>54</v>
      </c>
      <c r="X66" s="13" t="s">
        <v>54</v>
      </c>
    </row>
    <row r="67" spans="1:24" x14ac:dyDescent="0.25">
      <c r="A67" t="s">
        <v>23</v>
      </c>
      <c r="J67" s="3" t="str">
        <f t="shared" si="9"/>
        <v xml:space="preserve">                FROM inserted Record</v>
      </c>
      <c r="R67" s="6" t="s">
        <v>53</v>
      </c>
      <c r="T67" s="16" t="s">
        <v>55</v>
      </c>
      <c r="X67" s="13" t="s">
        <v>55</v>
      </c>
    </row>
    <row r="68" spans="1:24" x14ac:dyDescent="0.25">
      <c r="A68" t="str">
        <f>"                WHERE Record."&amp;B$4&amp;" = P."&amp;B$4</f>
        <v xml:space="preserve">                WHERE Record.CompassionLevelId = P.CompassionLevelId</v>
      </c>
      <c r="J68" s="3" t="str">
        <f t="shared" si="9"/>
        <v xml:space="preserve">                WHERE Record.CompassionLevelId = P.CompassionLevelId</v>
      </c>
      <c r="L68" s="4" t="s">
        <v>43</v>
      </c>
      <c r="R68" s="6" t="s">
        <v>54</v>
      </c>
    </row>
    <row r="69" spans="1:24" x14ac:dyDescent="0.25">
      <c r="A69" t="s">
        <v>24</v>
      </c>
      <c r="J69" s="3" t="str">
        <f t="shared" si="9"/>
        <v xml:space="preserve">                FOR XML AUTO, ELEMENTS, root('RecordSet'), type</v>
      </c>
      <c r="L69" s="4" t="s">
        <v>14</v>
      </c>
      <c r="R69" s="6" t="s">
        <v>55</v>
      </c>
    </row>
    <row r="70" spans="1:24" x14ac:dyDescent="0.25">
      <c r="A70" t="s">
        <v>25</v>
      </c>
      <c r="J70" s="3" t="str">
        <f t="shared" si="9"/>
        <v xml:space="preserve">                )</v>
      </c>
      <c r="L70" s="4" t="s">
        <v>44</v>
      </c>
    </row>
    <row r="71" spans="1:24" x14ac:dyDescent="0.25">
      <c r="A71" t="s">
        <v>26</v>
      </c>
      <c r="J71" s="3" t="str">
        <f t="shared" si="9"/>
        <v xml:space="preserve">        FROM inserted P</v>
      </c>
      <c r="L71" s="4" t="s">
        <v>11</v>
      </c>
    </row>
    <row r="72" spans="1:24" x14ac:dyDescent="0.25">
      <c r="A72" t="s">
        <v>27</v>
      </c>
      <c r="J72" s="3" t="str">
        <f t="shared" si="9"/>
        <v xml:space="preserve">        RETURN;</v>
      </c>
      <c r="L72" s="4" t="str">
        <f>"UPDATE "&amp;B2&amp;"."&amp;C2</f>
        <v>UPDATE dbo.CompassionLevels</v>
      </c>
    </row>
    <row r="73" spans="1:24" x14ac:dyDescent="0.25">
      <c r="A73" t="s">
        <v>28</v>
      </c>
      <c r="J73" s="3" t="str">
        <f t="shared" si="9"/>
        <v xml:space="preserve">        END</v>
      </c>
      <c r="L73" s="4" t="s">
        <v>45</v>
      </c>
    </row>
    <row r="74" spans="1:24" x14ac:dyDescent="0.25">
      <c r="A74" t="s">
        <v>14</v>
      </c>
      <c r="J74" s="3" t="str">
        <f t="shared" si="9"/>
        <v>END</v>
      </c>
      <c r="L74" s="4" t="str">
        <f t="shared" ref="L74:L89" si="16">IF(AND(NOT(ISBLANK(B5)),ISERROR(FIND("Id",B5))),"["&amp;B5&amp;"] = @"&amp;B5&amp;IF(NOT(ISBLANK(B6)),",",""),"")</f>
        <v>[Name] = @Name</v>
      </c>
    </row>
    <row r="75" spans="1:24" x14ac:dyDescent="0.25">
      <c r="L75" s="4" t="str">
        <f t="shared" si="16"/>
        <v/>
      </c>
    </row>
    <row r="76" spans="1:24" x14ac:dyDescent="0.25">
      <c r="L76" s="4" t="str">
        <f t="shared" si="16"/>
        <v/>
      </c>
    </row>
    <row r="77" spans="1:24" x14ac:dyDescent="0.25">
      <c r="L77" s="4" t="str">
        <f t="shared" si="16"/>
        <v/>
      </c>
    </row>
    <row r="78" spans="1:24" x14ac:dyDescent="0.25">
      <c r="L78" s="4" t="str">
        <f t="shared" si="16"/>
        <v/>
      </c>
    </row>
    <row r="79" spans="1:24" x14ac:dyDescent="0.25">
      <c r="L79" s="4" t="str">
        <f t="shared" si="16"/>
        <v/>
      </c>
    </row>
    <row r="80" spans="1:24" x14ac:dyDescent="0.25">
      <c r="L80" s="4" t="str">
        <f t="shared" si="16"/>
        <v/>
      </c>
    </row>
    <row r="81" spans="12:12" x14ac:dyDescent="0.25">
      <c r="L81" s="4" t="str">
        <f t="shared" si="16"/>
        <v/>
      </c>
    </row>
    <row r="82" spans="12:12" x14ac:dyDescent="0.25">
      <c r="L82" s="4" t="str">
        <f t="shared" si="16"/>
        <v/>
      </c>
    </row>
    <row r="83" spans="12:12" x14ac:dyDescent="0.25">
      <c r="L83" s="4" t="str">
        <f t="shared" si="16"/>
        <v/>
      </c>
    </row>
    <row r="84" spans="12:12" x14ac:dyDescent="0.25">
      <c r="L84" s="4" t="str">
        <f t="shared" si="16"/>
        <v/>
      </c>
    </row>
    <row r="85" spans="12:12" x14ac:dyDescent="0.25">
      <c r="L85" s="4" t="str">
        <f t="shared" si="16"/>
        <v/>
      </c>
    </row>
    <row r="86" spans="12:12" x14ac:dyDescent="0.25">
      <c r="L86" s="4" t="str">
        <f t="shared" si="16"/>
        <v/>
      </c>
    </row>
    <row r="87" spans="12:12" x14ac:dyDescent="0.25">
      <c r="L87" s="4" t="str">
        <f t="shared" si="16"/>
        <v/>
      </c>
    </row>
    <row r="88" spans="12:12" x14ac:dyDescent="0.25">
      <c r="L88" s="4" t="str">
        <f t="shared" si="16"/>
        <v/>
      </c>
    </row>
    <row r="89" spans="12:12" x14ac:dyDescent="0.25">
      <c r="L89" s="4" t="str">
        <f t="shared" si="16"/>
        <v/>
      </c>
    </row>
    <row r="90" spans="12:12" x14ac:dyDescent="0.25">
      <c r="L90" s="4" t="s">
        <v>40</v>
      </c>
    </row>
    <row r="91" spans="12:12" x14ac:dyDescent="0.25">
      <c r="L91" s="4" t="str">
        <f>"["&amp;B4&amp;"] = @"&amp;B4</f>
        <v>[CompassionLevelId] = @CompassionLevelId</v>
      </c>
    </row>
    <row r="93" spans="12:12" x14ac:dyDescent="0.25">
      <c r="L93" s="4" t="s">
        <v>43</v>
      </c>
    </row>
    <row r="94" spans="12:12" x14ac:dyDescent="0.25">
      <c r="L94" s="4" t="s">
        <v>14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Worker</vt:lpstr>
      <vt:lpstr>Enum Tables</vt:lpstr>
    </vt:vector>
  </TitlesOfParts>
  <Company>PayStream Accounting Services Limited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Drew Morgan</dc:creator>
  <cp:lastModifiedBy>Drew Morgan</cp:lastModifiedBy>
  <dcterms:created xsi:type="dcterms:W3CDTF">2015-11-05T17:24:55Z</dcterms:created>
  <dcterms:modified xsi:type="dcterms:W3CDTF">2016-11-28T20:35:05Z</dcterms:modified>
</cp:coreProperties>
</file>