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tron\Pos_Tron\bin\Debug\"/>
    </mc:Choice>
  </mc:AlternateContent>
  <xr:revisionPtr revIDLastSave="0" documentId="13_ncr:1_{ACB2CB58-F272-45A9-8E2B-7ECC8635D3D3}" xr6:coauthVersionLast="47" xr6:coauthVersionMax="47" xr10:uidLastSave="{00000000-0000-0000-0000-000000000000}"/>
  <bookViews>
    <workbookView xWindow="-120" yWindow="-120" windowWidth="29040" windowHeight="15840" firstSheet="2" activeTab="5" xr2:uid="{D41C0C1D-0918-4914-B8D5-E58C8AA3038A}"/>
  </bookViews>
  <sheets>
    <sheet name="Tháng 4" sheetId="1" r:id="rId1"/>
    <sheet name="Tháng 5" sheetId="2" r:id="rId2"/>
    <sheet name="Tháng 6" sheetId="4" r:id="rId3"/>
    <sheet name="Tháng 7" sheetId="5" r:id="rId4"/>
    <sheet name="Tiền " sheetId="3" r:id="rId5"/>
    <sheet name="Tháng 8" sheetId="6" r:id="rId6"/>
    <sheet name="Tháng 9" sheetId="7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<sst xmlns="http://schemas.openxmlformats.org/spreadsheetml/2006/main" count="132" uniqueCount="132">
  <si>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Tiền bán cà phê</t>
  </si>
  <si>
    <t>Tổng kết lời tháng</t>
  </si>
  <si>
    <t>Ngày</t>
  </si>
  <si>
    <t>Cà phê đen</t>
  </si>
  <si>
    <t>Cà phê sữa</t>
  </si>
  <si>
    <t>Bạc sỉu</t>
  </si>
  <si>
    <t>Cà phê muối</t>
  </si>
  <si>
    <t>Ca cao</t>
  </si>
  <si>
    <t>Ca cao muối</t>
  </si>
  <si>
    <t>Tổng Ly</t>
  </si>
  <si>
    <t>Tổng Lời</t>
  </si>
  <si>
    <t>Tổng Cost</t>
  </si>
  <si>
    <t>Tổng kết cost tháng</t>
  </si>
  <si>
    <t>Số lượng</t>
  </si>
  <si>
    <t>Tổng</t>
  </si>
  <si>
    <t>Tổng kết tháng</t>
  </si>
  <si>
    <t xml:space="preserve">  nj</t>
  </si>
  <si>
    <t>Lời Thực Tế</t>
  </si>
  <si>
    <t>Cost</t>
  </si>
  <si>
    <t xml:space="preserve">662.000
-71.000
+133.000
=722.000</t>
  </si>
  <si>
    <t xml:space="preserve">Tiền lời của Tùng </t>
  </si>
  <si>
    <t xml:space="preserve">722.000
-10.000
+145.000
=857.000</t>
  </si>
  <si>
    <t>Tiền lời của Nga</t>
  </si>
  <si>
    <t xml:space="preserve">857.000
-10.000
+116.000
-730.000
=233.000</t>
  </si>
  <si>
    <t xml:space="preserve">233.000
-10.000
-310.000
+121.000
=34.000</t>
  </si>
  <si>
    <t xml:space="preserve">34.000
-10.000
+180.000
=204.000</t>
  </si>
  <si>
    <t xml:space="preserve">204.000
-10.000
+180.000
=374.000</t>
  </si>
  <si>
    <t xml:space="preserve">374.000
-10.000
+191.000
=556.000</t>
  </si>
  <si>
    <t xml:space="preserve">556.000
-10.000
-190.000
+113.000
=469.000</t>
  </si>
  <si>
    <t xml:space="preserve">469.000
-13.000
-220.000
+204.000
=440.000</t>
  </si>
  <si>
    <t xml:space="preserve">440.000
-12.000
-150.000
+248.000
=526.000</t>
  </si>
  <si>
    <t xml:space="preserve">526.000
-10.000
+156.000
=672.000</t>
  </si>
  <si>
    <t xml:space="preserve">672.00
-192.000
-10.000
-348.000
-48.000
+ 120.000
=200.000</t>
  </si>
  <si>
    <t xml:space="preserve">200.000
-10.000
+190.000
=380.000</t>
  </si>
  <si>
    <t xml:space="preserve">380.000
-10.000
- 220.000
+187.000
= 342.000</t>
  </si>
  <si>
    <t xml:space="preserve">342.000
-10.000
+143.000
=475.000</t>
  </si>
  <si>
    <t xml:space="preserve">475.000
-10.000
- 133.000
+134.000
=466.000</t>
  </si>
  <si>
    <t xml:space="preserve">466.000
-10.000
-220.000
+263.000
=500.000</t>
  </si>
  <si>
    <t xml:space="preserve">500.000
-13.000
-175.000
-180.000
+279.000
= 411.000</t>
  </si>
  <si>
    <t xml:space="preserve">411.000
-10.000
+204.000
=605.000</t>
  </si>
  <si>
    <t xml:space="preserve">605.000
-10.000
-153.000
+192.000
= 634.000</t>
  </si>
  <si>
    <t xml:space="preserve">634.000
-10.000
-348.000
+220.000
=501.000</t>
  </si>
  <si>
    <t xml:space="preserve">501.000
-10.000
-220.000
+177.000
=448.000</t>
  </si>
  <si>
    <t xml:space="preserve">448.000
-10.000
-360.000
+200.000
=290.000</t>
  </si>
  <si>
    <t xml:space="preserve">290.000
-10.000
-215.000
+230.000
=295.000</t>
  </si>
  <si>
    <t xml:space="preserve">295.000
-10.000
+240.000
=525.000</t>
  </si>
  <si>
    <t xml:space="preserve">525.000
-10.000
+240.000
=755.000</t>
  </si>
  <si>
    <t xml:space="preserve">755.000
-75.000
+185.000
=865.000</t>
  </si>
  <si>
    <t xml:space="preserve"> </t>
  </si>
  <si>
    <t xml:space="preserve">255.000
-10.000
-280.000
+230.000
=195.000</t>
  </si>
  <si>
    <t xml:space="preserve">195.000
-10.000
-62.000
+182.000
=305.000</t>
  </si>
  <si>
    <t xml:space="preserve">305.000
-10.000
-25.000
- 350.000
+165.000
=85.000</t>
  </si>
  <si>
    <t xml:space="preserve">85.000
-40.000
+270.000
=315.000</t>
  </si>
  <si>
    <t xml:space="preserve">315.000
-220.000
-27.000
+186.000
=274.000</t>
  </si>
  <si>
    <t xml:space="preserve">274.000
-25.000
+171.000
=422.000</t>
  </si>
  <si>
    <t xml:space="preserve">422.000
-30.000
+190.000
=631.000</t>
  </si>
  <si>
    <t xml:space="preserve">631.000
-10.000
-220.000
-190.000
+208.00
=434.000</t>
  </si>
  <si>
    <t xml:space="preserve">434.000
-13.000
-64.000
-43.000
+248.000
=600.000</t>
  </si>
  <si>
    <t xml:space="preserve">600.000
-32.000
-360.000
+161.000
=391.000</t>
  </si>
  <si>
    <t xml:space="preserve">391.000
-13.000
-27.000
-348.000
+203.000
=234.000</t>
  </si>
  <si>
    <t xml:space="preserve">234.000
-10.000
-35.000
+305.000
=495.000</t>
  </si>
  <si>
    <t xml:space="preserve">495.000
-10.000
-220.000
-60.000
-17.000
+160.000
=348.000</t>
  </si>
  <si>
    <t xml:space="preserve">348.000
-28.000
+234.000
=554.000</t>
  </si>
  <si>
    <t xml:space="preserve">554.000
-17.000
+163.000
=700.000</t>
  </si>
  <si>
    <t xml:space="preserve">700.000
-27.000
-230.000
+240.000
=682.000</t>
  </si>
  <si>
    <t xml:space="preserve">682.000
-10.000
-27.0000
-360.000
+245.000
=567.000</t>
  </si>
  <si>
    <t xml:space="preserve">567.000
-12.000
-28.000
-60.000
+230.000
=700.000</t>
  </si>
  <si>
    <t xml:space="preserve">700.000
-13.000
-220.000
-33.000
+253.000
=687.000</t>
  </si>
  <si>
    <t xml:space="preserve">687.000
-15.000
-32.000
-348.000
+60.000
+240.000
=592.000</t>
  </si>
  <si>
    <t xml:space="preserve">592.000
-12.000
-35.000
-220.000
+270.000
=595.000</t>
  </si>
  <si>
    <t xml:space="preserve">595.000
-12.000
-34.000
-248.000
+245.000
=548.000</t>
  </si>
  <si>
    <t xml:space="preserve">548.000
-13000
-41.000
-360.000
+293.000
=427.000</t>
  </si>
  <si>
    <t xml:space="preserve">427.000
-11.000
-38.000
+291.000
=670.000</t>
  </si>
  <si>
    <t xml:space="preserve">670.000
-13.000
-38.000
-220.000
+290.000
=689.000</t>
  </si>
  <si>
    <t>Tiền Lời</t>
  </si>
  <si>
    <t>Tiền cost</t>
  </si>
  <si>
    <t xml:space="preserve">689.000
-40.000
-64.000
+322.000
=905.000</t>
  </si>
  <si>
    <t xml:space="preserve">905.000
-38.000
-788.000
+350.000
=441.000</t>
  </si>
  <si>
    <t xml:space="preserve">441.000
-13.000
-24.000
-360.000
+212.000
=260.000</t>
  </si>
  <si>
    <t xml:space="preserve">260.000
-13.000
-40.000
+320.000
=530.00</t>
  </si>
  <si>
    <t xml:space="preserve">530.000
-15.000
-42.000
+401.000
=874.000</t>
  </si>
  <si>
    <t xml:space="preserve">874.000
-13.000
-60.000
-30.000
+249.000
=1.030.000</t>
  </si>
  <si>
    <t xml:space="preserve">1.030.000
-13.000
-39.000
-440.000
+332.000
=871.000</t>
  </si>
  <si>
    <t xml:space="preserve">871.000
-360.000
-31.000
-348.000
-186.000
+255.000
=201.000</t>
  </si>
  <si>
    <t xml:space="preserve">201.000
-41.000
+300.000
=460.000</t>
  </si>
  <si>
    <t xml:space="preserve">460.000
-13.000
-31.000
-150.000
+271.000
=546.000</t>
  </si>
  <si>
    <t xml:space="preserve">546.000
-13.000
-36.000
-60.000
+300.000
=737.000</t>
  </si>
  <si>
    <t xml:space="preserve">737.000
-13.000
-36.000
+297.000
=985.000</t>
  </si>
  <si>
    <t xml:space="preserve">985.000
-13.000
-30.000
-360.000
-440.000
+253.000
=395.000</t>
  </si>
  <si>
    <t xml:space="preserve">395.000
-13.000
-26.000
-65.000
+233.000
=532.000</t>
  </si>
  <si>
    <t xml:space="preserve">532.000
-16.00
-47.000
+407.000
=878.000</t>
  </si>
  <si>
    <t xml:space="preserve">878.000
-13.000
-32.000
-348.000
+255.000
=740.000</t>
  </si>
  <si>
    <t xml:space="preserve">740.000
-13.000
-37.000
+144.000
+315.000
=862.000</t>
  </si>
  <si>
    <t xml:space="preserve">862.000
-13.000
-39.000
-440.000
-360.000
+305.000
=315.000</t>
  </si>
  <si>
    <t xml:space="preserve">315.000
-13.000
-30.000
+257.000
=529.000</t>
  </si>
  <si>
    <t xml:space="preserve">529.000
-13.000
-29.000
+232.000
=719.000</t>
  </si>
  <si>
    <t xml:space="preserve">719.000
-13.000
-38.000
+315.000
=983.000</t>
  </si>
  <si>
    <t xml:space="preserve">983.000
-13.000
-38.000
+290.000
=1.220.00</t>
  </si>
  <si>
    <t xml:space="preserve">1.220.000
-13.000
-34.000
-60.000
+269.0000
=1.390.000</t>
  </si>
  <si>
    <t xml:space="preserve">1.390.000
-16.000
-48.000
-440.000
-348.000
-360.000
+402.000
=580000</t>
  </si>
  <si>
    <t xml:space="preserve">580.000
-13.000
-40.000
-250.000
+305.000
=582.000</t>
  </si>
  <si>
    <t xml:space="preserve">582.000
-46.000
-31.000
+270.000
=775.0000</t>
  </si>
  <si>
    <t xml:space="preserve">775.000
-44.000
+80.000
+386.000
=1.197.000</t>
  </si>
  <si>
    <t xml:space="preserve">1.197.000
-35.000
-48.000
-60.000
+441.000
=695.000</t>
  </si>
  <si>
    <t xml:space="preserve">695.000
-13.000
-37.000
+290.000
=951.000</t>
  </si>
  <si>
    <t xml:space="preserve">đg 1kg: </t>
  </si>
  <si>
    <t>đg 1g</t>
  </si>
  <si>
    <t>Cafe đá</t>
  </si>
  <si>
    <t>Café sữa</t>
  </si>
  <si>
    <t>Bạc Xỉu</t>
  </si>
  <si>
    <t>Café muối</t>
  </si>
  <si>
    <t>Cacao</t>
  </si>
  <si>
    <t>Cacao muối</t>
  </si>
  <si>
    <t>Sữa tươi cf</t>
  </si>
  <si>
    <t xml:space="preserve">sữa 1,284g: </t>
  </si>
  <si>
    <t>sữa 1g</t>
  </si>
  <si>
    <t>Tiền lời</t>
  </si>
  <si>
    <t xml:space="preserve">kem béo 454g: </t>
  </si>
  <si>
    <t>kem béo 1g</t>
  </si>
  <si>
    <t>Tiền bán</t>
  </si>
  <si>
    <t xml:space="preserve">Sữa tươi1 lít: </t>
  </si>
  <si>
    <t>sữa tươi 1ml</t>
  </si>
  <si>
    <t>cafe 2kg</t>
  </si>
  <si>
    <t>cafe 1g</t>
  </si>
  <si>
    <t>Bột 500g</t>
  </si>
  <si>
    <t>Bột 1g</t>
  </si>
  <si>
    <t>kem muối</t>
  </si>
  <si>
    <t>kem muối 1g</t>
  </si>
  <si>
    <t xml:space="preserve">đá, nước: </t>
  </si>
  <si>
    <t xml:space="preserve">ly nắp:  </t>
  </si>
  <si>
    <t>6</t>
  </si>
  <si>
    <t xml:space="preserve">950.000
-13.000
-42.000
-348.000
-60.000
+363.000
=855.000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</si>
</sst>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\ _₫"/>
    <numFmt numFmtId="166" formatCode="_-* #,##0_-;\-* #,##0_-;_-* &quot;-&quot;??_-;_-@_-"/>
    <numFmt numFmtId="167" formatCode="###,###,###"/>
  </numFmts>
  <fonts count="7">
    <font>
      <sz val="11"/>
      <color theme="1"/>
      <name val="Calibri"/>
      <family val="2"/>
      <scheme val="minor"/>
    </font>
    <font>
      <sz val="14"/>
      <color theme="1"/>
      <name val="Inherit"/>
    </font>
    <font>
      <b/>
      <sz val="16"/>
      <color theme="1"/>
      <name val="Inherit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Inherit"/>
    </font>
    <font>
      <sz val="11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85"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5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14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165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/>
    <xf numFmtId="165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14" applyNumberFormat="1" fontId="1" applyFont="1" fillId="0" applyFill="1" borderId="1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center"/>
    </xf>
    <xf numFmtId="3" applyNumberFormat="1" fontId="1" applyFont="1" fillId="0" applyFill="1" borderId="1" applyBorder="1" xfId="0" applyProtection="1"/>
    <xf numFmtId="166" applyNumberFormat="1" fontId="1" applyFont="1" fillId="0" applyFill="1" borderId="0" applyBorder="1" xfId="1" applyProtection="1"/>
    <xf numFmtId="166" applyNumberFormat="1" fontId="1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2" applyBorder="1" xfId="0" applyProtection="1"/>
    <xf numFmtId="165" applyNumberFormat="1" fontId="1" applyFont="1" fillId="0" applyFill="1" borderId="2" applyBorder="1" xfId="0" applyProtection="1"/>
    <xf numFmtId="0" applyNumberFormat="1" fontId="1" applyFont="1" fillId="3" applyFill="1" borderId="1" applyBorder="1" xfId="0" applyProtection="1"/>
    <xf numFmtId="0" applyNumberFormat="1" fontId="1" applyFont="1" fillId="0" applyFill="1" borderId="1" applyBorder="1" xfId="0" applyProtection="1" applyAlignment="1">
      <alignment horizontal="left" wrapText="1" indent="4"/>
    </xf>
    <xf numFmtId="0" applyNumberFormat="1" fontId="4" applyFont="1" fillId="0" applyFill="1" borderId="0" applyBorder="1" xfId="0" applyProtection="1"/>
    <xf numFmtId="0" applyNumberFormat="1" fontId="1" applyFont="1" fillId="0" applyFill="1" borderId="1" applyBorder="1" xfId="0" applyProtection="1">
      <alignment wrapText="1"/>
    </xf>
    <xf numFmtId="3" applyNumberFormat="1" fontId="0" applyFont="1" fillId="0" applyFill="1" borderId="0" applyBorder="1" xfId="0" applyProtection="1"/>
    <xf numFmtId="3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3" applyNumberFormat="1" fontId="5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applyProtection="1"/>
    <xf numFmtId="3" applyNumberFormat="1" fontId="1" applyFont="1" fillId="0" applyFill="1" borderId="2" applyBorder="1" xfId="0" applyProtection="1"/>
    <xf numFmtId="3" applyNumberFormat="1" fontId="1" applyFont="1" fillId="0" applyFill="1" borderId="1" applyBorder="1" xfId="0" applyProtection="1">
      <alignment wrapText="1"/>
    </xf>
    <xf numFmtId="3" applyNumberFormat="1" fontId="5" applyFont="1" fillId="0" applyFill="1" borderId="0" applyBorder="1" xfId="0" applyProtection="1"/>
    <xf numFmtId="3" applyNumberFormat="1" fontId="5" applyFont="1" fillId="0" applyFill="1" borderId="3" applyBorder="1" xfId="0" applyProtection="1"/>
    <xf numFmtId="3" applyNumberFormat="1" fontId="6" applyFont="1" fillId="0" applyFill="1" borderId="0" applyBorder="1" xfId="0" applyProtection="1"/>
    <xf numFmtId="0" applyNumberFormat="1" fontId="5" applyFont="1" fillId="0" applyFill="1" borderId="1" applyBorder="1" xfId="0" applyProtection="1"/>
    <xf numFmtId="3" applyNumberFormat="1" fontId="5" applyFont="1" fillId="0" applyFill="1" borderId="1" applyBorder="1" xfId="0" applyProtection="1"/>
    <xf numFmtId="1" applyNumberFormat="1" fontId="6" applyFont="1" fillId="0" applyFill="1" borderId="0" applyBorder="1" xfId="0" applyProtection="1"/>
    <xf numFmtId="3" applyNumberFormat="1" fontId="5" applyFont="1" fillId="0" applyFill="1" borderId="1" applyBorder="1" xfId="0" applyProtection="1" applyAlignment="1">
      <alignment vertical="center"/>
    </xf>
    <xf numFmtId="3" applyNumberFormat="1" fontId="6" applyFont="1" fillId="0" applyFill="1" borderId="1" applyBorder="1" xfId="0" applyProtection="1"/>
    <xf numFmtId="3" applyNumberFormat="1" fontId="0" applyFont="1" fillId="0" applyFill="1" borderId="1" applyBorder="1" xfId="0" applyProtection="1"/>
    <xf numFmtId="0" applyNumberFormat="1" fontId="6" applyFont="1" fillId="0" applyFill="1" borderId="1" applyBorder="1" xfId="0" applyProtection="1"/>
    <xf numFmtId="3" applyNumberFormat="1" fontId="5" applyFont="1" fillId="4" applyFill="1" borderId="1" applyBorder="1" xfId="0" applyProtection="1"/>
    <xf numFmtId="0" applyNumberFormat="1" fontId="5" applyFont="1" fillId="4" applyFill="1" borderId="1" applyBorder="1" xfId="0" applyProtection="1"/>
    <xf numFmtId="165" applyNumberFormat="1" fontId="5" applyFont="1" fillId="4" applyFill="1" borderId="1" applyBorder="1" xfId="0" applyProtection="1"/>
    <xf numFmtId="1" applyNumberFormat="1" fontId="0" applyFont="1" fillId="0" applyFill="1" borderId="0" applyBorder="1" xfId="0" applyProtection="1"/>
    <xf numFmtId="3" applyNumberFormat="1" fontId="1" applyFont="1" fillId="0" applyFill="1" borderId="4" applyBorder="1" xfId="0" applyProtection="1"/>
    <xf numFmtId="0" applyNumberFormat="1" fontId="1" applyFont="1" fillId="0" applyFill="1" borderId="5" applyBorder="1" xfId="0" applyProtection="1" applyAlignment="1">
      <alignment horizontal="left" wrapText="1" indent="4"/>
    </xf>
    <xf numFmtId="14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4" applyBorder="1" xfId="0" applyProtection="1"/>
    <xf numFmtId="0" applyNumberFormat="1" fontId="1" applyFont="1" fillId="0" applyFill="1" borderId="6" applyBorder="1" xfId="0" applyProtection="1"/>
    <xf numFmtId="14" applyNumberFormat="1" fontId="1" applyFont="1" fillId="0" applyFill="1" borderId="6" applyBorder="1" xfId="0" applyProtection="1" applyAlignment="1">
      <alignment horizontal="center"/>
    </xf>
    <xf numFmtId="165" applyNumberFormat="1" fontId="1" applyFont="1" fillId="0" applyFill="1" borderId="6" applyBorder="1" xfId="0" applyProtection="1"/>
    <xf numFmtId="3" applyNumberFormat="1" fontId="1" applyFont="1" fillId="0" applyFill="1" borderId="6" applyBorder="1" xfId="0" applyProtection="1"/>
    <xf numFmtId="0" applyNumberFormat="1" fontId="6" applyFont="1" fillId="0" applyFill="1" borderId="6" applyBorder="1" xfId="0" applyProtection="1"/>
    <xf numFmtId="0" applyNumberFormat="1" fontId="5" applyFont="1" fillId="4" applyFill="1" borderId="4" applyBorder="1" xfId="0" applyProtection="1"/>
    <xf numFmtId="1" applyNumberFormat="1" fontId="0" applyFont="1" fillId="0" applyFill="1" borderId="1" applyBorder="1" xfId="0" applyProtection="1"/>
    <xf numFmtId="0" applyNumberFormat="1" fontId="5" applyFont="1" fillId="4" applyFill="1" borderId="7" applyBorder="1" xfId="0" applyProtection="1"/>
    <xf numFmtId="0" applyNumberFormat="1" fontId="0" applyFont="1" fillId="0" applyFill="1" borderId="1" applyBorder="1" xfId="0" applyProtection="1"/>
    <xf numFmtId="3" applyNumberFormat="1" fontId="5" applyFont="1" fillId="4" applyFill="1" borderId="7" applyBorder="1" xfId="0" applyProtection="1"/>
    <xf numFmtId="3" applyNumberFormat="1" fontId="6" applyFont="1" fillId="5" applyFill="1" borderId="5" applyBorder="1" xfId="0" applyProtection="1"/>
    <xf numFmtId="167" applyNumberFormat="1" fontId="0" applyFont="1" fillId="0" applyFill="1" borderId="0" applyBorder="1" xfId="0" applyProtection="1"/>
    <xf numFmtId="167" applyNumberFormat="1" fontId="6" applyFont="1" fillId="0" applyFill="1" borderId="1" applyBorder="1" xfId="0" applyProtection="1"/>
    <xf numFmtId="3" applyNumberFormat="1" fontId="6" applyFont="1" fillId="0" applyFill="1" borderId="6" applyBorder="1" xfId="0" applyProtection="1"/>
    <xf numFmtId="167" applyNumberFormat="1" fontId="5" applyFont="1" fillId="0" applyFill="1" borderId="0" applyBorder="1" xfId="0" applyProtection="1"/>
    <xf numFmtId="167" applyNumberFormat="1" fontId="6" applyFont="1" fillId="0" applyFill="1" borderId="4" applyBorder="1" xfId="0" applyProtection="1"/>
    <xf numFmtId="167" applyNumberFormat="1" fontId="0" applyFont="1" fillId="0" applyFill="1" borderId="1" applyBorder="1" xfId="0" applyProtection="1"/>
    <xf numFmtId="0" applyNumberFormat="1" fontId="1" applyFont="1" fillId="0" applyFill="1" borderId="4" applyBorder="1" xfId="0" applyProtection="1">
      <alignment wrapText="1"/>
    </xf>
    <xf numFmtId="0" applyNumberFormat="1" fontId="1" applyFont="1" fillId="0" applyFill="1" borderId="8" applyBorder="1" xfId="0" applyProtection="1"/>
    <xf numFmtId="3" applyNumberFormat="1" fontId="6" applyFont="1" fillId="0" applyFill="1" borderId="2" applyBorder="1" xfId="0" applyProtection="1"/>
    <xf numFmtId="0" applyNumberFormat="1" fontId="6" applyFont="1" fillId="0" applyFill="1" borderId="9" applyBorder="1" xfId="0" applyProtection="1"/>
    <xf numFmtId="3" applyNumberFormat="1" fontId="6" applyFont="1" fillId="0" applyFill="1" borderId="9" applyBorder="1" xfId="0" applyProtection="1"/>
    <xf numFmtId="0" applyNumberFormat="1" fontId="1" applyFont="1" fillId="0" applyFill="1" borderId="1" applyBorder="1" xfId="0" applyProtection="1" applyAlignment="1">
      <alignment horizontal="left" wrapText="1"/>
    </xf>
    <xf numFmtId="14" applyNumberFormat="1" fontId="1" applyFont="1" fillId="0" applyFill="1" borderId="5" applyBorder="1" xfId="0" applyProtection="1" applyAlignment="1">
      <alignment horizontal="center"/>
    </xf>
    <xf numFmtId="0" applyNumberFormat="1" fontId="1" applyFont="1" fillId="0" applyFill="1" borderId="5" applyBorder="1" xfId="0" applyProtection="1"/>
    <xf numFmtId="3" applyNumberFormat="1" fontId="1" applyFont="1" fillId="0" applyFill="1" borderId="5" applyBorder="1" xfId="0" applyProtection="1"/>
    <xf numFmtId="0" applyNumberFormat="1" fontId="1" applyFont="1" fillId="0" applyFill="1" borderId="5" applyBorder="1" xfId="0" applyProtection="1">
      <alignment wrapText="1"/>
    </xf>
    <xf numFmtId="3" applyNumberFormat="1" fontId="1" applyFont="1" fillId="0" applyFill="1" borderId="4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center" vertical="center"/>
    </xf>
    <xf numFmtId="165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right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97B8-7249-443E-AEA1-D00BF1DF306B}">
  <dimension ref="A1:N34"/>
  <sheetViews>
    <sheetView zoomScale="70" zoomScaleNormal="70" workbookViewId="0">
      <selection activeCell="C14" sqref="C14"/>
    </sheetView>
  </sheetViews>
  <sheetFormatPr defaultColWidth="18.5703125" defaultRowHeight="24" customHeight="1"/>
  <cols>
    <col min="1" max="1" width="18.5703125" customWidth="1" style="13"/>
    <col min="2" max="8" width="18.5703125" customWidth="1" style="3"/>
    <col min="9" max="10" width="18.5703125" customWidth="1" style="4"/>
    <col min="11" max="12" width="18.5703125" customWidth="1" style="3"/>
    <col min="13" max="13" bestFit="1" width="20.42578125" customWidth="1" style="3"/>
    <col min="14" max="20" width="18.5703125" customWidth="1" style="3"/>
    <col min="21" max="16384" width="18.5703125" customWidth="1" style="3"/>
  </cols>
  <sheetData>
    <row r="1" ht="24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</v>
      </c>
      <c r="L1" s="79"/>
    </row>
    <row r="2" ht="24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>
        <f>SUM(I3:I34)</f>
        <v>3182430</v>
      </c>
      <c r="L2" s="81"/>
    </row>
    <row r="3" ht="24" customHeight="1">
      <c r="A3" s="12">
        <v>45034</v>
      </c>
      <c r="B3" s="9">
        <v>3</v>
      </c>
      <c r="C3" s="9">
        <v>6</v>
      </c>
      <c r="D3" s="9">
        <v>4</v>
      </c>
      <c r="E3" s="9">
        <v>5</v>
      </c>
      <c r="F3" s="9">
        <v>5</v>
      </c>
      <c r="G3" s="9">
        <v>4</v>
      </c>
      <c r="H3" s="9">
        <f>SUM(B3:G3)</f>
        <v>27</v>
      </c>
      <c r="I3" s="10">
        <f>B3*9590+C3*10300+D3*12330+E3*12000+F3*15000+G3*12000</f>
        <v>322890</v>
      </c>
      <c r="J3" s="10">
        <f>B3*2410+C3*4700+D3*5670+E3*6000+F3*5000+G3*6000</f>
        <v>137110</v>
      </c>
      <c r="K3" s="79" t="s">
        <v>12</v>
      </c>
      <c r="L3" s="79"/>
    </row>
    <row r="4" ht="24" customHeight="1">
      <c r="A4" s="12">
        <v>45035</v>
      </c>
      <c r="B4" s="9">
        <v>3</v>
      </c>
      <c r="C4" s="9">
        <v>5</v>
      </c>
      <c r="D4" s="9">
        <v>4</v>
      </c>
      <c r="E4" s="9">
        <v>3</v>
      </c>
      <c r="F4" s="9">
        <v>4</v>
      </c>
      <c r="G4" s="9">
        <v>4</v>
      </c>
      <c r="H4" s="9">
        <f ref="H4:H15" t="shared" si="0">SUM(B4:G4)</f>
        <v>23</v>
      </c>
      <c r="I4" s="10">
        <f ref="I4:I34" t="shared" si="1">B4*9590+C4*10300+D4*12330+E4*12000+F4*15000+G4*12000</f>
        <v>273590</v>
      </c>
      <c r="J4" s="10">
        <f ref="J4:J34" t="shared" si="2">B4*2410+C4*4700+D4*5670+E4*6000+F4*5000+G4*6000</f>
        <v>115410</v>
      </c>
      <c r="K4" s="80">
        <f>SUM(J3:J34)</f>
        <v>1450570</v>
      </c>
      <c r="L4" s="81"/>
    </row>
    <row r="5" ht="24" customHeight="1">
      <c r="A5" s="12">
        <v>45036</v>
      </c>
      <c r="B5" s="9">
        <v>1</v>
      </c>
      <c r="C5" s="9">
        <v>6</v>
      </c>
      <c r="D5" s="9">
        <v>3</v>
      </c>
      <c r="E5" s="9">
        <v>4</v>
      </c>
      <c r="F5" s="9">
        <v>1</v>
      </c>
      <c r="G5" s="9">
        <v>3</v>
      </c>
      <c r="H5" s="9">
        <f t="shared" si="0"/>
        <v>18</v>
      </c>
      <c r="I5" s="10">
        <f t="shared" si="1"/>
        <v>207380</v>
      </c>
      <c r="J5" s="10">
        <f t="shared" si="2"/>
        <v>94620</v>
      </c>
    </row>
    <row r="6" ht="24" customHeight="1">
      <c r="A6" s="12">
        <v>45037</v>
      </c>
      <c r="B6" s="9">
        <v>0</v>
      </c>
      <c r="C6" s="9">
        <v>4</v>
      </c>
      <c r="D6" s="9">
        <v>3</v>
      </c>
      <c r="E6" s="9">
        <v>7</v>
      </c>
      <c r="F6" s="9">
        <v>1</v>
      </c>
      <c r="G6" s="9">
        <v>7</v>
      </c>
      <c r="H6" s="9">
        <f t="shared" si="0"/>
        <v>22</v>
      </c>
      <c r="I6" s="10">
        <f t="shared" si="1"/>
        <v>261190</v>
      </c>
      <c r="J6" s="10">
        <f t="shared" si="2"/>
        <v>124810</v>
      </c>
      <c r="L6" s="9"/>
      <c r="M6" s="11" t="s">
        <v>13</v>
      </c>
    </row>
    <row r="7" ht="24" customHeight="1">
      <c r="A7" s="12">
        <v>45038</v>
      </c>
      <c r="B7" s="9">
        <v>2</v>
      </c>
      <c r="C7" s="9">
        <v>3</v>
      </c>
      <c r="D7" s="9">
        <v>6</v>
      </c>
      <c r="E7" s="9">
        <v>6</v>
      </c>
      <c r="F7" s="9">
        <v>1</v>
      </c>
      <c r="G7" s="9">
        <v>9</v>
      </c>
      <c r="H7" s="9">
        <f t="shared" si="0"/>
        <v>27</v>
      </c>
      <c r="I7" s="10">
        <f t="shared" si="1"/>
        <v>319060</v>
      </c>
      <c r="J7" s="10">
        <f t="shared" si="2"/>
        <v>147940</v>
      </c>
      <c r="L7" s="9">
        <v>1000</v>
      </c>
      <c r="M7" s="9"/>
    </row>
    <row r="8" ht="24" customHeight="1">
      <c r="A8" s="12">
        <v>45039</v>
      </c>
      <c r="B8" s="9">
        <v>1</v>
      </c>
      <c r="C8" s="9">
        <v>3</v>
      </c>
      <c r="D8" s="9">
        <v>0</v>
      </c>
      <c r="E8" s="9">
        <v>2</v>
      </c>
      <c r="F8" s="9">
        <v>0</v>
      </c>
      <c r="G8" s="9">
        <v>0</v>
      </c>
      <c r="H8" s="9">
        <f t="shared" si="0"/>
        <v>6</v>
      </c>
      <c r="I8" s="10">
        <f t="shared" si="1"/>
        <v>64490</v>
      </c>
      <c r="J8" s="10">
        <f t="shared" si="2"/>
        <v>28510</v>
      </c>
      <c r="L8" s="9">
        <v>2000</v>
      </c>
      <c r="M8" s="9">
        <v>0</v>
      </c>
    </row>
    <row r="9" ht="24" customHeight="1">
      <c r="A9" s="12">
        <v>45040</v>
      </c>
      <c r="B9" s="9">
        <v>2</v>
      </c>
      <c r="C9" s="9">
        <v>9</v>
      </c>
      <c r="D9" s="9">
        <v>3</v>
      </c>
      <c r="E9" s="9">
        <v>6</v>
      </c>
      <c r="F9" s="9">
        <v>1</v>
      </c>
      <c r="G9" s="9"/>
      <c r="H9" s="9">
        <f t="shared" si="0"/>
        <v>21</v>
      </c>
      <c r="I9" s="10">
        <f t="shared" si="1"/>
        <v>235870</v>
      </c>
      <c r="J9" s="10">
        <f t="shared" si="2"/>
        <v>105130</v>
      </c>
      <c r="L9" s="9">
        <v>5000</v>
      </c>
      <c r="M9" s="9">
        <v>0</v>
      </c>
    </row>
    <row r="10" ht="24" customHeight="1">
      <c r="A10" s="12">
        <v>45041</v>
      </c>
      <c r="B10" s="9">
        <v>0</v>
      </c>
      <c r="C10" s="9">
        <v>5</v>
      </c>
      <c r="D10" s="9">
        <v>3</v>
      </c>
      <c r="E10" s="9">
        <v>9</v>
      </c>
      <c r="F10" s="9">
        <v>1</v>
      </c>
      <c r="G10" s="9">
        <v>3</v>
      </c>
      <c r="H10" s="9">
        <f t="shared" si="0"/>
        <v>21</v>
      </c>
      <c r="I10" s="10">
        <f t="shared" si="1"/>
        <v>247490</v>
      </c>
      <c r="J10" s="10">
        <f t="shared" si="2"/>
        <v>117510</v>
      </c>
      <c r="K10" s="4"/>
      <c r="L10" s="14">
        <v>10000</v>
      </c>
      <c r="M10" s="9">
        <v>22</v>
      </c>
      <c r="N10" s="3">
        <v>20</v>
      </c>
    </row>
    <row r="11" ht="24" customHeight="1">
      <c r="A11" s="12">
        <v>45042</v>
      </c>
      <c r="B11" s="9">
        <v>0</v>
      </c>
      <c r="C11" s="9">
        <v>13</v>
      </c>
      <c r="D11" s="9">
        <v>4</v>
      </c>
      <c r="E11" s="9">
        <v>9</v>
      </c>
      <c r="F11" s="9">
        <v>2</v>
      </c>
      <c r="G11" s="9">
        <v>7</v>
      </c>
      <c r="H11" s="9">
        <f t="shared" si="0"/>
        <v>35</v>
      </c>
      <c r="I11" s="10">
        <f t="shared" si="1"/>
        <v>405220</v>
      </c>
      <c r="J11" s="10">
        <f t="shared" si="2"/>
        <v>189780</v>
      </c>
      <c r="L11" s="14">
        <v>20000</v>
      </c>
      <c r="M11" s="9">
        <v>15</v>
      </c>
      <c r="N11" s="3">
        <v>15</v>
      </c>
    </row>
    <row r="12" ht="24" customHeight="1">
      <c r="A12" s="12">
        <v>45043</v>
      </c>
      <c r="B12" s="9">
        <v>2</v>
      </c>
      <c r="C12" s="9">
        <v>9</v>
      </c>
      <c r="D12" s="9">
        <v>4</v>
      </c>
      <c r="E12" s="9">
        <v>8</v>
      </c>
      <c r="F12" s="9">
        <v>0</v>
      </c>
      <c r="G12" s="9">
        <v>2</v>
      </c>
      <c r="H12" s="9">
        <f t="shared" si="0"/>
        <v>25</v>
      </c>
      <c r="I12" s="10">
        <f t="shared" si="1"/>
        <v>281200</v>
      </c>
      <c r="J12" s="10">
        <f t="shared" si="2"/>
        <v>129800</v>
      </c>
      <c r="L12" s="14">
        <v>50000</v>
      </c>
      <c r="M12" s="9">
        <v>16</v>
      </c>
      <c r="N12" s="3">
        <v>11</v>
      </c>
    </row>
    <row r="13" ht="24" customHeight="1">
      <c r="A13" s="12">
        <v>45044</v>
      </c>
      <c r="B13" s="9">
        <v>0</v>
      </c>
      <c r="C13" s="9">
        <v>17</v>
      </c>
      <c r="D13" s="9">
        <v>5</v>
      </c>
      <c r="E13" s="9">
        <v>4</v>
      </c>
      <c r="F13" s="9">
        <v>1</v>
      </c>
      <c r="G13" s="9">
        <v>4</v>
      </c>
      <c r="H13" s="9">
        <f t="shared" si="0"/>
        <v>31</v>
      </c>
      <c r="I13" s="10">
        <f t="shared" si="1"/>
        <v>347750</v>
      </c>
      <c r="J13" s="10">
        <f t="shared" si="2"/>
        <v>161250</v>
      </c>
      <c r="L13" s="14">
        <v>100000</v>
      </c>
      <c r="M13" s="9">
        <v>3</v>
      </c>
    </row>
    <row r="14" ht="24" customHeight="1">
      <c r="A14" s="12">
        <v>45045</v>
      </c>
      <c r="B14" s="9"/>
      <c r="C14" s="9">
        <v>21</v>
      </c>
      <c r="D14" s="9"/>
      <c r="E14" s="9"/>
      <c r="F14" s="9"/>
      <c r="G14" s="9"/>
      <c r="H14" s="9">
        <f t="shared" si="0"/>
        <v>21</v>
      </c>
      <c r="I14" s="10">
        <f t="shared" si="1"/>
        <v>216300</v>
      </c>
      <c r="J14" s="10">
        <f t="shared" si="2"/>
        <v>98700</v>
      </c>
      <c r="L14" s="14">
        <v>200000</v>
      </c>
      <c r="M14" s="9">
        <v>3</v>
      </c>
    </row>
    <row r="15" ht="24" customHeight="1">
      <c r="A15" s="12">
        <v>45046</v>
      </c>
      <c r="B15" s="9"/>
      <c r="C15" s="9"/>
      <c r="D15" s="9"/>
      <c r="E15" s="9"/>
      <c r="F15" s="9"/>
      <c r="G15" s="9"/>
      <c r="H15" s="9">
        <f t="shared" si="0"/>
        <v>0</v>
      </c>
      <c r="I15" s="10">
        <f t="shared" si="1"/>
        <v>0</v>
      </c>
      <c r="J15" s="10">
        <f t="shared" si="2"/>
        <v>0</v>
      </c>
      <c r="L15" s="14">
        <v>500000</v>
      </c>
      <c r="M15" s="9">
        <v>0</v>
      </c>
    </row>
    <row r="16" ht="24" customHeight="1">
      <c r="A16" s="12"/>
      <c r="B16" s="9"/>
      <c r="C16" s="9"/>
      <c r="D16" s="9"/>
      <c r="E16" s="9"/>
      <c r="F16" s="9"/>
      <c r="G16" s="9"/>
      <c r="H16" s="9"/>
      <c r="I16" s="10">
        <f t="shared" si="1"/>
        <v>0</v>
      </c>
      <c r="J16" s="10">
        <f t="shared" si="2"/>
        <v>0</v>
      </c>
      <c r="L16" s="11" t="s">
        <v>14</v>
      </c>
      <c r="M16" s="10">
        <f>(M7*L7)+(M8*L8)+(M9*L9)+(M10*L10)+(M11*L11)+(M12*L12)+(M13*L13)+(M14*L14)+(M15*L15)</f>
        <v>2220000</v>
      </c>
      <c r="N16" s="10">
        <f>(N7*L7)+(N8*L8)+(N9*L9)+(N10*L10)+(N11*L11)+(N12*L12)+(N13*L13)+(N14*L14)+(N15*L15)</f>
        <v>1050000</v>
      </c>
    </row>
    <row r="17" ht="24" customHeight="1">
      <c r="A17" s="12"/>
      <c r="B17" s="9"/>
      <c r="C17" s="9"/>
      <c r="D17" s="9"/>
      <c r="E17" s="9"/>
      <c r="F17" s="9"/>
      <c r="G17" s="9"/>
      <c r="H17" s="9"/>
      <c r="I17" s="10">
        <f t="shared" si="1"/>
        <v>0</v>
      </c>
      <c r="J17" s="10">
        <f t="shared" si="2"/>
        <v>0</v>
      </c>
    </row>
    <row r="18" ht="24" customHeight="1">
      <c r="A18" s="12"/>
      <c r="B18" s="9"/>
      <c r="C18" s="9"/>
      <c r="D18" s="9"/>
      <c r="E18" s="9"/>
      <c r="F18" s="9"/>
      <c r="G18" s="9"/>
      <c r="H18" s="9"/>
      <c r="I18" s="10">
        <f t="shared" si="1"/>
        <v>0</v>
      </c>
      <c r="J18" s="10">
        <f t="shared" si="2"/>
        <v>0</v>
      </c>
      <c r="M18" s="4">
        <f>M16+790000+254000+50000+37000</f>
        <v>3351000</v>
      </c>
    </row>
    <row r="19" ht="24" customHeight="1">
      <c r="A19" s="12"/>
      <c r="B19" s="9"/>
      <c r="C19" s="9"/>
      <c r="D19" s="9"/>
      <c r="E19" s="9"/>
      <c r="F19" s="9"/>
      <c r="G19" s="9"/>
      <c r="H19" s="9"/>
      <c r="I19" s="10">
        <f t="shared" si="1"/>
        <v>0</v>
      </c>
      <c r="J19" s="10">
        <f t="shared" si="2"/>
        <v>0</v>
      </c>
      <c r="M19" s="15">
        <f>((M18*40)/100)-160000-170000</f>
        <v>1010400</v>
      </c>
      <c r="N19" s="16">
        <f>M16-M19</f>
        <v>1209600</v>
      </c>
    </row>
    <row r="20" ht="24" customHeight="1">
      <c r="A20" s="12"/>
      <c r="B20" s="9"/>
      <c r="C20" s="9"/>
      <c r="D20" s="9"/>
      <c r="E20" s="9"/>
      <c r="F20" s="9"/>
      <c r="G20" s="9"/>
      <c r="H20" s="9"/>
      <c r="I20" s="10">
        <f t="shared" si="1"/>
        <v>0</v>
      </c>
      <c r="J20" s="10">
        <f t="shared" si="2"/>
        <v>0</v>
      </c>
      <c r="M20" s="16">
        <f>(M18-M19)-790000-254000-50000-37000</f>
        <v>1209600</v>
      </c>
    </row>
    <row r="21" ht="24" customHeight="1">
      <c r="A21" s="12"/>
      <c r="B21" s="9"/>
      <c r="C21" s="9"/>
      <c r="D21" s="9"/>
      <c r="E21" s="9"/>
      <c r="F21" s="9"/>
      <c r="G21" s="9"/>
      <c r="H21" s="9"/>
      <c r="I21" s="10">
        <f t="shared" si="1"/>
        <v>0</v>
      </c>
      <c r="J21" s="10">
        <f t="shared" si="2"/>
        <v>0</v>
      </c>
      <c r="M21" s="16">
        <f>M16-M19</f>
        <v>1209600</v>
      </c>
    </row>
    <row r="22" ht="24" customHeight="1">
      <c r="A22" s="12"/>
      <c r="B22" s="9"/>
      <c r="C22" s="9"/>
      <c r="D22" s="9"/>
      <c r="E22" s="9"/>
      <c r="F22" s="9"/>
      <c r="G22" s="9"/>
      <c r="H22" s="9"/>
      <c r="I22" s="10">
        <f t="shared" si="1"/>
        <v>0</v>
      </c>
      <c r="J22" s="10">
        <f t="shared" si="2"/>
        <v>0</v>
      </c>
    </row>
    <row r="23" ht="24" customHeight="1">
      <c r="A23" s="12"/>
      <c r="B23" s="9"/>
      <c r="C23" s="9"/>
      <c r="D23" s="9"/>
      <c r="E23" s="9"/>
      <c r="F23" s="9"/>
      <c r="G23" s="9"/>
      <c r="H23" s="9"/>
      <c r="I23" s="10">
        <f t="shared" si="1"/>
        <v>0</v>
      </c>
      <c r="J23" s="10">
        <f t="shared" si="2"/>
        <v>0</v>
      </c>
    </row>
    <row r="24" ht="24" customHeight="1">
      <c r="A24" s="12"/>
      <c r="B24" s="9"/>
      <c r="C24" s="9"/>
      <c r="D24" s="9"/>
      <c r="E24" s="9"/>
      <c r="F24" s="9"/>
      <c r="G24" s="9"/>
      <c r="H24" s="9"/>
      <c r="I24" s="10">
        <f t="shared" si="1"/>
        <v>0</v>
      </c>
      <c r="J24" s="10">
        <f t="shared" si="2"/>
        <v>0</v>
      </c>
    </row>
    <row r="25" ht="24" customHeight="1">
      <c r="A25" s="12"/>
      <c r="B25" s="9"/>
      <c r="C25" s="9"/>
      <c r="D25" s="9"/>
      <c r="E25" s="9"/>
      <c r="F25" s="9"/>
      <c r="G25" s="9"/>
      <c r="H25" s="9"/>
      <c r="I25" s="10">
        <f t="shared" si="1"/>
        <v>0</v>
      </c>
      <c r="J25" s="10">
        <f t="shared" si="2"/>
        <v>0</v>
      </c>
    </row>
    <row r="26" ht="24" customHeight="1">
      <c r="A26" s="12"/>
      <c r="B26" s="9"/>
      <c r="C26" s="9"/>
      <c r="D26" s="9"/>
      <c r="E26" s="9"/>
      <c r="F26" s="9"/>
      <c r="G26" s="9"/>
      <c r="H26" s="9"/>
      <c r="I26" s="10">
        <f t="shared" si="1"/>
        <v>0</v>
      </c>
      <c r="J26" s="10">
        <f t="shared" si="2"/>
        <v>0</v>
      </c>
    </row>
    <row r="27" ht="24" customHeight="1">
      <c r="A27" s="12"/>
      <c r="B27" s="9"/>
      <c r="C27" s="9"/>
      <c r="D27" s="9"/>
      <c r="E27" s="9"/>
      <c r="F27" s="9"/>
      <c r="G27" s="9"/>
      <c r="H27" s="9"/>
      <c r="I27" s="10">
        <f t="shared" si="1"/>
        <v>0</v>
      </c>
      <c r="J27" s="10">
        <f t="shared" si="2"/>
        <v>0</v>
      </c>
    </row>
    <row r="28" ht="24" customHeight="1">
      <c r="A28" s="12"/>
      <c r="B28" s="9"/>
      <c r="C28" s="9"/>
      <c r="D28" s="9"/>
      <c r="E28" s="9"/>
      <c r="F28" s="9"/>
      <c r="G28" s="9"/>
      <c r="H28" s="9"/>
      <c r="I28" s="10">
        <f t="shared" si="1"/>
        <v>0</v>
      </c>
      <c r="J28" s="10">
        <f t="shared" si="2"/>
        <v>0</v>
      </c>
    </row>
    <row r="29" ht="24" customHeight="1">
      <c r="A29" s="12"/>
      <c r="B29" s="9"/>
      <c r="C29" s="9"/>
      <c r="D29" s="9"/>
      <c r="E29" s="9"/>
      <c r="F29" s="9"/>
      <c r="G29" s="9"/>
      <c r="H29" s="9"/>
      <c r="I29" s="10">
        <f t="shared" si="1"/>
        <v>0</v>
      </c>
      <c r="J29" s="10">
        <f t="shared" si="2"/>
        <v>0</v>
      </c>
    </row>
    <row r="30" ht="24" customHeight="1">
      <c r="A30" s="12"/>
      <c r="B30" s="9"/>
      <c r="C30" s="9"/>
      <c r="D30" s="9"/>
      <c r="E30" s="9"/>
      <c r="F30" s="9"/>
      <c r="G30" s="9"/>
      <c r="H30" s="9"/>
      <c r="I30" s="10">
        <f t="shared" si="1"/>
        <v>0</v>
      </c>
      <c r="J30" s="10">
        <f t="shared" si="2"/>
        <v>0</v>
      </c>
    </row>
    <row r="31" ht="24" customHeight="1">
      <c r="A31" s="12"/>
      <c r="B31" s="9"/>
      <c r="C31" s="9"/>
      <c r="D31" s="9"/>
      <c r="E31" s="9"/>
      <c r="F31" s="9"/>
      <c r="G31" s="9"/>
      <c r="H31" s="9"/>
      <c r="I31" s="10">
        <f t="shared" si="1"/>
        <v>0</v>
      </c>
      <c r="J31" s="10">
        <f t="shared" si="2"/>
        <v>0</v>
      </c>
    </row>
    <row r="32" ht="24" customHeight="1">
      <c r="A32" s="12"/>
      <c r="B32" s="9"/>
      <c r="C32" s="9"/>
      <c r="D32" s="9"/>
      <c r="E32" s="9"/>
      <c r="F32" s="9"/>
      <c r="G32" s="9"/>
      <c r="H32" s="9"/>
      <c r="I32" s="10">
        <f t="shared" si="1"/>
        <v>0</v>
      </c>
      <c r="J32" s="10">
        <f t="shared" si="2"/>
        <v>0</v>
      </c>
    </row>
    <row r="33" ht="24" customHeight="1">
      <c r="A33" s="12"/>
      <c r="B33" s="9"/>
      <c r="C33" s="9"/>
      <c r="D33" s="9"/>
      <c r="E33" s="9"/>
      <c r="F33" s="9"/>
      <c r="G33" s="9"/>
      <c r="H33" s="9"/>
      <c r="I33" s="10">
        <f t="shared" si="1"/>
        <v>0</v>
      </c>
      <c r="J33" s="10">
        <f t="shared" si="2"/>
        <v>0</v>
      </c>
    </row>
    <row r="34" ht="24" customHeight="1">
      <c r="A34" s="12"/>
      <c r="B34" s="9"/>
      <c r="C34" s="9"/>
      <c r="D34" s="9"/>
      <c r="E34" s="9"/>
      <c r="F34" s="9"/>
      <c r="G34" s="9"/>
      <c r="H34" s="9"/>
      <c r="I34" s="10">
        <f t="shared" si="1"/>
        <v>0</v>
      </c>
      <c r="J34" s="10">
        <f t="shared" si="2"/>
        <v>0</v>
      </c>
    </row>
  </sheetData>
  <mergeCells>
    <mergeCell ref="A1:I1"/>
    <mergeCell ref="K1:L1"/>
    <mergeCell ref="K2:L2"/>
    <mergeCell ref="K3:L3"/>
    <mergeCell ref="K4:L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57E-FD7E-4ADC-9707-67AF1349F87E}">
  <dimension ref="A1:X36"/>
  <sheetViews>
    <sheetView topLeftCell="A25" zoomScale="38" zoomScaleNormal="55" workbookViewId="0">
      <selection activeCell="J35" sqref="J35"/>
    </sheetView>
  </sheetViews>
  <sheetFormatPr defaultColWidth="18.5703125" defaultRowHeight="24" customHeight="1"/>
  <cols>
    <col min="13" max="13" width="18.5703125" customWidth="1" style="22"/>
    <col min="14" max="14" width="18.5703125" customWidth="1" style="3"/>
    <col min="15" max="15" bestFit="1" width="27.140625" customWidth="1" style="28"/>
  </cols>
  <sheetData>
    <row r="1" ht="24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15</v>
      </c>
      <c r="L1" s="79"/>
      <c r="M1" s="3"/>
      <c r="P1" s="28"/>
      <c r="Q1" s="28"/>
      <c r="R1" s="28"/>
      <c r="S1" s="28"/>
      <c r="T1" s="28"/>
    </row>
    <row r="2" ht="24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 t="s">
        <v>16</v>
      </c>
      <c r="L2" s="83"/>
      <c r="M2" s="20" t="s">
        <v>17</v>
      </c>
      <c r="N2" s="20" t="s">
        <v>18</v>
      </c>
      <c r="P2" s="28"/>
      <c r="Q2" s="28"/>
      <c r="R2" s="28"/>
      <c r="S2" s="28"/>
      <c r="T2" s="28"/>
    </row>
    <row r="3" ht="24" customHeight="1">
      <c r="A3" s="12">
        <v>45047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f>SUM(B3:G3)</f>
        <v>0</v>
      </c>
      <c r="I3" s="10">
        <f>B3*8200+C3*9700+D3*11700+E3*13800+F3*12560+G3*15800</f>
        <v>0</v>
      </c>
      <c r="J3" s="10">
        <f>B3*3800+C3*5300+D3*6300+E3*6200+F3*5350+G3*6200</f>
        <v>0</v>
      </c>
      <c r="K3" s="79" t="s">
        <v>12</v>
      </c>
      <c r="L3" s="82"/>
      <c r="M3" s="14">
        <f>I3</f>
        <v>0</v>
      </c>
      <c r="N3" s="14">
        <v>0</v>
      </c>
      <c r="P3" s="28"/>
      <c r="Q3" s="28"/>
      <c r="R3" s="28"/>
      <c r="S3" s="28"/>
      <c r="T3" s="28"/>
    </row>
    <row r="4" ht="18">
      <c r="A4" s="12">
        <v>45048</v>
      </c>
      <c r="B4" s="9">
        <v>2</v>
      </c>
      <c r="C4" s="9">
        <v>7</v>
      </c>
      <c r="D4" s="9">
        <v>0</v>
      </c>
      <c r="E4" s="9">
        <v>9</v>
      </c>
      <c r="F4" s="9">
        <v>1</v>
      </c>
      <c r="G4" s="9">
        <v>6</v>
      </c>
      <c r="H4" s="9">
        <f>SUM(B4:G4)</f>
        <v>25</v>
      </c>
      <c r="I4" s="10">
        <f>B4*8200+C4*9700+D4*11700+E4*13800+F4*12650+G4*15800</f>
        <v>315950</v>
      </c>
      <c r="J4" s="10">
        <f ref="J4:J15" t="shared" si="0">B4*3800+C4*5300+D4*6300+E4*6200+F4*5350+G4*6200</f>
        <v>143050</v>
      </c>
      <c r="K4" s="80">
        <f>SUM(J3:J34)</f>
        <v>5673435.1014313744</v>
      </c>
      <c r="L4" s="83"/>
      <c r="M4" s="14">
        <f>I4</f>
        <v>315950</v>
      </c>
      <c r="P4" s="28"/>
      <c r="Q4" s="28"/>
      <c r="R4" s="28"/>
      <c r="S4" s="28"/>
      <c r="T4" s="28"/>
    </row>
    <row r="5" ht="72">
      <c r="A5" s="12">
        <v>45049</v>
      </c>
      <c r="B5" s="9">
        <v>3</v>
      </c>
      <c r="C5" s="9">
        <v>10</v>
      </c>
      <c r="D5" s="9">
        <v>2</v>
      </c>
      <c r="E5" s="9">
        <v>5</v>
      </c>
      <c r="F5" s="9">
        <v>2</v>
      </c>
      <c r="G5" s="9">
        <v>3</v>
      </c>
      <c r="H5" s="9">
        <f ref="H5:H33" t="shared" si="1">SUM(B5:G5)</f>
        <v>25</v>
      </c>
      <c r="I5" s="10">
        <f ref="I5:I15" t="shared" si="2">B5*8200+C5*9700+D5*11700+E5*13800+F5*12650+G5*15800</f>
        <v>286700</v>
      </c>
      <c r="J5" s="10">
        <f t="shared" si="0"/>
        <v>137300</v>
      </c>
      <c r="K5" s="3"/>
      <c r="L5" s="28"/>
      <c r="M5" s="14">
        <f>M4+I5</f>
        <v>602650</v>
      </c>
      <c r="N5" s="21" t="s">
        <v>19</v>
      </c>
      <c r="O5" s="26" t="s">
        <v>20</v>
      </c>
      <c r="P5" s="27"/>
      <c r="Q5" s="27"/>
      <c r="R5" s="27"/>
      <c r="S5" s="27"/>
      <c r="T5" s="27"/>
    </row>
    <row r="6" ht="72">
      <c r="A6" s="12">
        <v>45050</v>
      </c>
      <c r="B6" s="9">
        <v>0</v>
      </c>
      <c r="C6" s="9">
        <v>6</v>
      </c>
      <c r="D6" s="9">
        <v>4</v>
      </c>
      <c r="E6" s="9">
        <v>6</v>
      </c>
      <c r="F6" s="9">
        <v>1</v>
      </c>
      <c r="G6" s="9">
        <v>6</v>
      </c>
      <c r="H6" s="9">
        <f t="shared" si="1"/>
        <v>23</v>
      </c>
      <c r="I6" s="10">
        <f t="shared" si="2"/>
        <v>295250</v>
      </c>
      <c r="J6" s="10">
        <f t="shared" si="0"/>
        <v>136750</v>
      </c>
      <c r="K6" s="9"/>
      <c r="L6" s="17"/>
      <c r="M6" s="14">
        <f ref="M6:M33" t="shared" si="3">M5+I6</f>
        <v>897900</v>
      </c>
      <c r="N6" s="23" t="s">
        <v>21</v>
      </c>
      <c r="O6" s="26" t="s">
        <v>22</v>
      </c>
      <c r="P6" s="27">
        <v>35000</v>
      </c>
      <c r="Q6" s="27">
        <v>420000</v>
      </c>
      <c r="R6" s="27">
        <f>380000+63000+200000-285000-145000+163000+151000+188000+157000+100000+36000+76000+157000</f>
        <v>1241000</v>
      </c>
      <c r="T6" s="27">
        <f>((M33*60)/100)-P6-Q6-R6</f>
        <v>3513837.6965022376</v>
      </c>
    </row>
    <row r="7" ht="90">
      <c r="A7" s="12">
        <v>45051</v>
      </c>
      <c r="B7" s="9">
        <v>2</v>
      </c>
      <c r="C7" s="9">
        <v>10</v>
      </c>
      <c r="D7" s="9">
        <v>1</v>
      </c>
      <c r="E7" s="9">
        <v>6</v>
      </c>
      <c r="F7" s="9">
        <v>0</v>
      </c>
      <c r="G7" s="9">
        <v>2</v>
      </c>
      <c r="H7" s="9">
        <f t="shared" si="1"/>
        <v>21</v>
      </c>
      <c r="I7" s="10">
        <f t="shared" si="2"/>
        <v>239500</v>
      </c>
      <c r="J7" s="10">
        <f t="shared" si="0"/>
        <v>116500</v>
      </c>
      <c r="K7" s="9">
        <v>1000</v>
      </c>
      <c r="L7" s="18">
        <v>1</v>
      </c>
      <c r="M7" s="14">
        <f t="shared" si="3"/>
        <v>1137400</v>
      </c>
      <c r="N7" s="23" t="s">
        <v>23</v>
      </c>
      <c r="U7" s="24"/>
      <c r="V7" s="24"/>
      <c r="W7" s="24"/>
      <c r="X7" s="24"/>
    </row>
    <row r="8" ht="90">
      <c r="A8" s="12">
        <v>45052</v>
      </c>
      <c r="B8" s="9">
        <v>0</v>
      </c>
      <c r="C8" s="9">
        <v>10</v>
      </c>
      <c r="D8" s="9">
        <v>3</v>
      </c>
      <c r="E8" s="9">
        <v>3</v>
      </c>
      <c r="F8" s="9">
        <v>1</v>
      </c>
      <c r="G8" s="9">
        <v>2</v>
      </c>
      <c r="H8" s="9">
        <f t="shared" si="1"/>
        <v>19</v>
      </c>
      <c r="I8" s="10">
        <f t="shared" si="2"/>
        <v>217750</v>
      </c>
      <c r="J8" s="10">
        <f t="shared" si="0"/>
        <v>108250</v>
      </c>
      <c r="K8" s="9">
        <v>2000</v>
      </c>
      <c r="L8" s="18">
        <v>4</v>
      </c>
      <c r="M8" s="14">
        <f t="shared" si="3"/>
        <v>1355150</v>
      </c>
      <c r="N8" s="23" t="s">
        <v>24</v>
      </c>
      <c r="U8" s="24"/>
      <c r="V8" s="24"/>
      <c r="W8" s="24"/>
      <c r="X8" s="24"/>
    </row>
    <row r="9" ht="72.75" s="24" customFormat="1">
      <c r="A9" s="12">
        <v>45053</v>
      </c>
      <c r="B9" s="14">
        <v>1</v>
      </c>
      <c r="C9" s="14">
        <v>7</v>
      </c>
      <c r="D9" s="14">
        <v>4</v>
      </c>
      <c r="E9" s="14">
        <v>7</v>
      </c>
      <c r="F9" s="14">
        <v>5</v>
      </c>
      <c r="G9" s="14">
        <v>6</v>
      </c>
      <c r="H9" s="14">
        <f t="shared" si="1"/>
        <v>30</v>
      </c>
      <c r="I9" s="14">
        <f t="shared" si="2"/>
        <v>377550</v>
      </c>
      <c r="J9" s="14">
        <f t="shared" si="0"/>
        <v>173450</v>
      </c>
      <c r="K9" s="14">
        <v>5000</v>
      </c>
      <c r="L9" s="30">
        <v>15</v>
      </c>
      <c r="M9" s="14">
        <f t="shared" si="3"/>
        <v>1732700</v>
      </c>
      <c r="N9" s="31" t="s">
        <v>25</v>
      </c>
      <c r="O9" s="33"/>
      <c r="P9" s="32"/>
      <c r="R9" s="27"/>
      <c r="S9" s="27"/>
      <c r="T9" s="27"/>
      <c r="U9" s="27"/>
      <c r="V9" s="27"/>
      <c r="W9" s="27"/>
    </row>
    <row r="10" ht="72" s="24" customFormat="1">
      <c r="A10" s="12">
        <v>45054</v>
      </c>
      <c r="B10" s="14">
        <v>2</v>
      </c>
      <c r="C10" s="14">
        <v>10</v>
      </c>
      <c r="D10" s="14">
        <v>6</v>
      </c>
      <c r="E10" s="14">
        <v>9</v>
      </c>
      <c r="F10" s="14">
        <v>1</v>
      </c>
      <c r="G10" s="14">
        <v>3</v>
      </c>
      <c r="H10" s="14">
        <f t="shared" si="1"/>
        <v>31</v>
      </c>
      <c r="I10" s="14">
        <f t="shared" si="2"/>
        <v>367850</v>
      </c>
      <c r="J10" s="14">
        <f t="shared" si="0"/>
        <v>178150</v>
      </c>
      <c r="K10" s="14">
        <v>10000</v>
      </c>
      <c r="L10" s="30">
        <v>28</v>
      </c>
      <c r="M10" s="14">
        <f t="shared" si="3"/>
        <v>2100550</v>
      </c>
      <c r="N10" s="31" t="s">
        <v>26</v>
      </c>
      <c r="O10" s="34"/>
      <c r="P10" s="34"/>
      <c r="R10" s="34"/>
      <c r="S10" s="34"/>
      <c r="T10" s="34"/>
      <c r="U10" s="34"/>
      <c r="V10" s="34"/>
      <c r="W10" s="34"/>
    </row>
    <row r="11" ht="72.75" s="34" customFormat="1">
      <c r="A11" s="12">
        <v>45055</v>
      </c>
      <c r="B11" s="14">
        <v>0</v>
      </c>
      <c r="C11" s="14">
        <v>12</v>
      </c>
      <c r="D11" s="14">
        <v>0</v>
      </c>
      <c r="E11" s="14">
        <v>13</v>
      </c>
      <c r="F11" s="14">
        <v>2</v>
      </c>
      <c r="G11" s="14">
        <v>4</v>
      </c>
      <c r="H11" s="14">
        <f t="shared" si="1"/>
        <v>31</v>
      </c>
      <c r="I11" s="14">
        <f t="shared" si="2"/>
        <v>384300</v>
      </c>
      <c r="J11" s="14">
        <f t="shared" si="0"/>
        <v>179700</v>
      </c>
      <c r="K11" s="14">
        <v>20000</v>
      </c>
      <c r="L11" s="30">
        <v>60</v>
      </c>
      <c r="M11" s="14">
        <f t="shared" si="3"/>
        <v>2484850</v>
      </c>
      <c r="N11" s="31" t="s">
        <v>27</v>
      </c>
      <c r="O11" s="32"/>
      <c r="P11" s="32"/>
      <c r="Q11" s="24"/>
    </row>
    <row r="12" ht="90" s="24" customFormat="1">
      <c r="A12" s="12">
        <v>45056</v>
      </c>
      <c r="B12" s="14">
        <v>0</v>
      </c>
      <c r="C12" s="14">
        <v>11</v>
      </c>
      <c r="D12" s="14">
        <v>1</v>
      </c>
      <c r="E12" s="14">
        <v>4</v>
      </c>
      <c r="F12" s="14">
        <v>0</v>
      </c>
      <c r="G12" s="14">
        <v>2</v>
      </c>
      <c r="H12" s="14">
        <f t="shared" si="1"/>
        <v>18</v>
      </c>
      <c r="I12" s="14">
        <f t="shared" si="2"/>
        <v>205200</v>
      </c>
      <c r="J12" s="14">
        <f t="shared" si="0"/>
        <v>101800</v>
      </c>
      <c r="K12" s="14">
        <v>50000</v>
      </c>
      <c r="L12" s="30">
        <v>0</v>
      </c>
      <c r="M12" s="14">
        <f>M11</f>
        <v>2484850</v>
      </c>
      <c r="N12" s="31" t="s">
        <v>28</v>
      </c>
      <c r="O12" s="34"/>
      <c r="P12" s="34"/>
      <c r="R12" s="34"/>
      <c r="S12" s="34"/>
      <c r="T12" s="34"/>
      <c r="U12" s="34"/>
      <c r="V12" s="34"/>
      <c r="W12" s="34"/>
    </row>
    <row r="13" ht="90.75" s="34" customFormat="1">
      <c r="A13" s="12">
        <v>45057</v>
      </c>
      <c r="B13" s="14">
        <v>0</v>
      </c>
      <c r="C13" s="14">
        <v>24</v>
      </c>
      <c r="D13" s="14">
        <v>1</v>
      </c>
      <c r="E13" s="14">
        <v>7</v>
      </c>
      <c r="F13" s="14">
        <v>0</v>
      </c>
      <c r="G13" s="14">
        <v>2</v>
      </c>
      <c r="H13" s="14">
        <f t="shared" si="1"/>
        <v>34</v>
      </c>
      <c r="I13" s="14">
        <f t="shared" si="2"/>
        <v>372700</v>
      </c>
      <c r="J13" s="14">
        <f t="shared" si="0"/>
        <v>189300</v>
      </c>
      <c r="K13" s="14">
        <v>100000</v>
      </c>
      <c r="L13" s="30">
        <v>0</v>
      </c>
      <c r="M13" s="14">
        <f t="shared" si="3"/>
        <v>2857550</v>
      </c>
      <c r="N13" s="31" t="s">
        <v>29</v>
      </c>
      <c r="O13" s="32"/>
      <c r="P13" s="32"/>
    </row>
    <row r="14" ht="90" s="24" customFormat="1">
      <c r="A14" s="12">
        <v>45058</v>
      </c>
      <c r="B14" s="14">
        <v>1</v>
      </c>
      <c r="C14" s="14">
        <v>15</v>
      </c>
      <c r="D14" s="14">
        <v>7</v>
      </c>
      <c r="E14" s="14">
        <v>11</v>
      </c>
      <c r="F14" s="14">
        <v>3</v>
      </c>
      <c r="G14" s="14">
        <v>5</v>
      </c>
      <c r="H14" s="14">
        <f t="shared" si="1"/>
        <v>42</v>
      </c>
      <c r="I14" s="14">
        <f t="shared" si="2"/>
        <v>504350</v>
      </c>
      <c r="J14" s="14">
        <f t="shared" si="0"/>
        <v>242650</v>
      </c>
      <c r="K14" s="14">
        <v>200000</v>
      </c>
      <c r="L14" s="30">
        <v>0</v>
      </c>
      <c r="M14" s="14">
        <f t="shared" si="3"/>
        <v>3361900</v>
      </c>
      <c r="N14" s="31" t="s">
        <v>30</v>
      </c>
      <c r="O14" s="34"/>
      <c r="P14" s="34"/>
      <c r="Q14" s="34"/>
      <c r="R14" s="34"/>
      <c r="S14" s="34"/>
      <c r="T14" s="34"/>
    </row>
    <row r="15" ht="72.75" s="29" customFormat="1">
      <c r="A15" s="12">
        <v>45059</v>
      </c>
      <c r="B15" s="9">
        <v>1</v>
      </c>
      <c r="C15" s="9">
        <v>19</v>
      </c>
      <c r="D15" s="9">
        <v>0</v>
      </c>
      <c r="E15" s="9">
        <v>5</v>
      </c>
      <c r="F15" s="9">
        <v>1</v>
      </c>
      <c r="G15" s="9">
        <v>0</v>
      </c>
      <c r="H15" s="9">
        <f t="shared" si="1"/>
        <v>26</v>
      </c>
      <c r="I15" s="10">
        <f t="shared" si="2"/>
        <v>274150</v>
      </c>
      <c r="J15" s="10">
        <f t="shared" si="0"/>
        <v>140850</v>
      </c>
      <c r="K15" s="14">
        <v>500000</v>
      </c>
      <c r="L15" s="18">
        <v>0</v>
      </c>
      <c r="M15" s="14">
        <f t="shared" si="3"/>
        <v>3636050</v>
      </c>
      <c r="N15" s="23" t="s">
        <v>31</v>
      </c>
      <c r="O15" s="32"/>
      <c r="P15" s="29">
        <f>12*454</f>
        <v>5448</v>
      </c>
      <c r="Q15" s="29">
        <f>P15-454-454-300</f>
        <v>4240</v>
      </c>
    </row>
    <row r="16" ht="126">
      <c r="A16" s="12">
        <v>45060</v>
      </c>
      <c r="B16" s="9">
        <v>3</v>
      </c>
      <c r="C16" s="9">
        <v>2</v>
      </c>
      <c r="D16" s="9">
        <v>2</v>
      </c>
      <c r="E16" s="9">
        <v>11</v>
      </c>
      <c r="F16" s="9">
        <v>1</v>
      </c>
      <c r="G16" s="9">
        <v>1</v>
      </c>
      <c r="H16" s="9">
        <f t="shared" si="1"/>
        <v>20</v>
      </c>
      <c r="I16" s="10">
        <f>B16*'Tiền '!$E$4+C16*'Tiền '!$F$4+D16*'Tiền '!$G$4+E16*'Tiền '!$H$4+F16*'Tiền '!$I$4+G16*'Tiền '!$J$4</f>
        <v>189001.66528842176</v>
      </c>
      <c r="J16" s="10">
        <f>B16*'Tiền '!$E$3+C16*'Tiền '!$F$3+D16*'Tiền '!$G$3+E16*'Tiền '!$H$3+F16*'Tiền '!$I$3+G16*'Tiền '!$J$3</f>
        <v>148998.33471157824</v>
      </c>
      <c r="K16" s="11" t="s">
        <v>14</v>
      </c>
      <c r="L16" s="19">
        <f>L7*K7+L8*K8+L9*K9+L10*K10+L11*K11+L12*K12+L13*K13+L14*K14+L15*K15</f>
        <v>1564000</v>
      </c>
      <c r="M16" s="14">
        <f t="shared" si="3"/>
        <v>3825051.6652884218</v>
      </c>
      <c r="N16" s="23" t="s">
        <v>32</v>
      </c>
      <c r="O16" s="34">
        <f>I16+J16</f>
        <v>338000</v>
      </c>
      <c r="P16" s="28">
        <f>(C16*10)+(D16*15)+(E16*10)+(E16*'Tiền '!$D$15)+(F16*15)+(G16*10)+(G16+'Tiền '!$D$15)</f>
        <v>386.00000000000006</v>
      </c>
      <c r="Q16" s="28"/>
      <c r="R16" s="28"/>
      <c r="S16" s="28"/>
      <c r="T16" s="28"/>
    </row>
    <row r="17" ht="72.75" s="29" customFormat="1">
      <c r="A17" s="12">
        <v>45061</v>
      </c>
      <c r="B17" s="9">
        <v>6</v>
      </c>
      <c r="C17" s="9">
        <v>18</v>
      </c>
      <c r="D17" s="9">
        <v>2</v>
      </c>
      <c r="E17" s="9">
        <v>6</v>
      </c>
      <c r="F17" s="9">
        <v>0</v>
      </c>
      <c r="G17" s="9">
        <v>2</v>
      </c>
      <c r="H17" s="9">
        <f t="shared" si="1"/>
        <v>34</v>
      </c>
      <c r="I17" s="10">
        <f>B17*'Tiền '!$E$4+C17*'Tiền '!$F$4+D17*'Tiền '!$G$4+E17*'Tiền '!$H$4+F17*'Tiền '!$I$4+G17*'Tiền '!$J$4</f>
        <v>290002.96217962669</v>
      </c>
      <c r="J17" s="10">
        <f>B17*'Tiền '!$E$3+C17*'Tiền '!$F$3+D17*'Tiền '!$G$3+E17*'Tiền '!$H$3+F17*'Tiền '!$I$3+G17*'Tiền '!$J$3</f>
        <v>235997.03782037331</v>
      </c>
      <c r="K17" s="3"/>
      <c r="L17" s="25"/>
      <c r="M17" s="14">
        <f t="shared" si="3"/>
        <v>4115054.6274680486</v>
      </c>
      <c r="N17" s="23" t="s">
        <v>33</v>
      </c>
      <c r="O17" s="34">
        <f ref="O17:O33" t="shared" si="4">I17+J17</f>
        <v>526000</v>
      </c>
      <c r="P17" s="28">
        <f>(C17*10)+(D17*15)+(E17*10)+(E17*'Tiền '!$D$15)+(F17*15)+(G17*10)+(G17+'Tiền '!$D$15)</f>
        <v>408.66666666666669</v>
      </c>
    </row>
    <row r="18" ht="90">
      <c r="A18" s="12">
        <v>45062</v>
      </c>
      <c r="B18" s="9">
        <v>3</v>
      </c>
      <c r="C18" s="9">
        <v>18</v>
      </c>
      <c r="D18" s="9">
        <v>1</v>
      </c>
      <c r="E18" s="9">
        <v>8</v>
      </c>
      <c r="F18" s="9">
        <v>1</v>
      </c>
      <c r="G18" s="9">
        <v>1</v>
      </c>
      <c r="H18" s="9">
        <f t="shared" si="1"/>
        <v>32</v>
      </c>
      <c r="I18" s="10">
        <f>B18*'Tiền '!$E$4+C18*'Tiền '!$F$4+D18*'Tiền '!$G$4+E18*'Tiền '!$H$4+F18*'Tiền '!$I$4+G18*'Tiền '!$J$4</f>
        <v>277002.29590898479</v>
      </c>
      <c r="J18" s="10">
        <f>B18*'Tiền '!$E$3+C18*'Tiền '!$F$3+D18*'Tiền '!$G$3+E18*'Tiền '!$H$3+F18*'Tiền '!$I$3+G18*'Tiền '!$J$3</f>
        <v>228997.70409101516</v>
      </c>
      <c r="K18" s="3"/>
      <c r="L18" s="25"/>
      <c r="M18" s="14">
        <f t="shared" si="3"/>
        <v>4392056.9233770333</v>
      </c>
      <c r="N18" s="23" t="s">
        <v>34</v>
      </c>
      <c r="O18" s="34">
        <f t="shared" si="4"/>
        <v>505999.99999999994</v>
      </c>
      <c r="P18" s="28">
        <f>(C18*10)+(D18*15)+(E18*10)+(E18*'Tiền '!$D$15)+(F18*15)+(G18*10)+(G18+'Tiền '!$D$15)</f>
        <v>451.00000000000006</v>
      </c>
      <c r="Q18" s="37"/>
      <c r="R18" s="28"/>
      <c r="S18" s="28"/>
      <c r="T18" s="28"/>
    </row>
    <row r="19" ht="72">
      <c r="A19" s="12">
        <v>45063</v>
      </c>
      <c r="B19" s="9">
        <v>1</v>
      </c>
      <c r="C19" s="9">
        <v>9</v>
      </c>
      <c r="D19" s="9">
        <v>2</v>
      </c>
      <c r="E19" s="9">
        <v>7</v>
      </c>
      <c r="F19" s="9">
        <v>1</v>
      </c>
      <c r="G19" s="9">
        <v>3</v>
      </c>
      <c r="H19" s="9">
        <f t="shared" si="1"/>
        <v>23</v>
      </c>
      <c r="I19" s="10">
        <f>B19*'Tiền '!$E$4+C19*'Tiền '!$F$4+D19*'Tiền '!$G$4+E19*'Tiền '!$H$4+F19*'Tiền '!$I$4+G19*'Tiền '!$J$4</f>
        <v>214999.88528610836</v>
      </c>
      <c r="J19" s="10">
        <f>B19*'Tiền '!$E$3+C19*'Tiền '!$F$3+D19*'Tiền '!$G$3+E19*'Tiền '!$H$3+F19*'Tiền '!$I$3+G19*'Tiền '!$J$3</f>
        <v>172000.11471389164</v>
      </c>
      <c r="K19" s="3"/>
      <c r="L19" s="25"/>
      <c r="M19" s="14">
        <f t="shared" si="3"/>
        <v>4607056.8086631419</v>
      </c>
      <c r="N19" s="23" t="s">
        <v>35</v>
      </c>
      <c r="O19" s="34">
        <f t="shared" si="4"/>
        <v>387000</v>
      </c>
      <c r="P19" s="28">
        <f>(C19*10)+(D19*15)+(E19*10)+(E19*'Tiền '!$D$15)+(F19*15)+(G19*10)+(G19+'Tiền '!$D$15)</f>
        <v>371.33333333333337</v>
      </c>
      <c r="Q19" s="28"/>
      <c r="R19" s="28"/>
      <c r="S19" s="28"/>
      <c r="T19" s="28"/>
    </row>
    <row r="20" ht="90">
      <c r="A20" s="12">
        <v>45064</v>
      </c>
      <c r="B20" s="9">
        <v>1</v>
      </c>
      <c r="C20" s="9">
        <v>7</v>
      </c>
      <c r="D20" s="9">
        <v>2</v>
      </c>
      <c r="E20" s="9">
        <v>9</v>
      </c>
      <c r="F20" s="9">
        <v>1</v>
      </c>
      <c r="G20" s="9">
        <v>1</v>
      </c>
      <c r="H20" s="9">
        <f t="shared" si="1"/>
        <v>21</v>
      </c>
      <c r="I20" s="10">
        <f>B20*'Tiền '!$E$4+C20*'Tiền '!$F$4+D20*'Tiền '!$G$4+E20*'Tiền '!$H$4+F20*'Tiền '!$I$4+G20*'Tiền '!$J$4</f>
        <v>195000.71711082227</v>
      </c>
      <c r="J20" s="10">
        <f>B20*'Tiền '!$E$3+C20*'Tiền '!$F$3+D20*'Tiền '!$G$3+E20*'Tiền '!$H$3+F20*'Tiền '!$I$3+G20*'Tiền '!$J$3</f>
        <v>157999.28288917773</v>
      </c>
      <c r="K20" s="3"/>
      <c r="L20" s="25"/>
      <c r="M20" s="14">
        <f t="shared" si="3"/>
        <v>4802057.5257739639</v>
      </c>
      <c r="N20" s="23" t="s">
        <v>36</v>
      </c>
      <c r="O20" s="34">
        <f t="shared" si="4"/>
        <v>353000</v>
      </c>
      <c r="P20" s="28">
        <f>(C20*10)+(D20*15)+(E20*10)+(E20*'Tiền '!$D$15)+(F20*15)+(G20*10)+(G20+'Tiền '!$D$15)</f>
        <v>382.66666666666669</v>
      </c>
      <c r="Q20" s="28"/>
      <c r="R20" s="28"/>
      <c r="S20" s="28"/>
      <c r="T20" s="28"/>
    </row>
    <row r="21" ht="90">
      <c r="A21" s="12">
        <v>45065</v>
      </c>
      <c r="B21" s="9">
        <v>1</v>
      </c>
      <c r="C21" s="9">
        <v>14</v>
      </c>
      <c r="D21" s="9">
        <v>2</v>
      </c>
      <c r="E21" s="9">
        <v>18</v>
      </c>
      <c r="F21" s="9">
        <v>2</v>
      </c>
      <c r="G21" s="9">
        <v>2</v>
      </c>
      <c r="H21" s="9">
        <f t="shared" si="1"/>
        <v>39</v>
      </c>
      <c r="I21" s="10">
        <f>B21*'Tiền '!$E$4+C21*'Tiền '!$F$4+D21*'Tiền '!$G$4+E21*'Tiền '!$H$4+F21*'Tiền '!$I$4+G21*'Tiền '!$J$4</f>
        <v>363001.77249940694</v>
      </c>
      <c r="J21" s="10">
        <f>B21*'Tiền '!$E$3+C21*'Tiền '!$F$3+D21*'Tiền '!$G$3+E21*'Tiền '!$H$3+F21*'Tiền '!$I$3+G21*'Tiền '!$J$3</f>
        <v>294998.22750059306</v>
      </c>
      <c r="K21" s="3"/>
      <c r="L21" s="25"/>
      <c r="M21" s="14">
        <f>M20+I21</f>
        <v>5165059.2982733706</v>
      </c>
      <c r="N21" s="23" t="s">
        <v>37</v>
      </c>
      <c r="O21" s="34">
        <f t="shared" si="4"/>
        <v>658000</v>
      </c>
      <c r="P21" s="28">
        <f>(C21*10)+(D21*15)+(E21*10)+(E21*'Tiền '!$D$15)+(F21*15)+(G21*10)+(G21+'Tiền '!$D$15)</f>
        <v>718.66666666666663</v>
      </c>
      <c r="Q21" s="34"/>
      <c r="R21" s="28"/>
      <c r="S21" s="28"/>
      <c r="T21" s="28"/>
    </row>
    <row r="22" ht="108">
      <c r="A22" s="12">
        <v>45066</v>
      </c>
      <c r="B22" s="9">
        <v>2</v>
      </c>
      <c r="C22" s="9">
        <v>16</v>
      </c>
      <c r="D22" s="9">
        <v>1</v>
      </c>
      <c r="E22" s="9">
        <v>4</v>
      </c>
      <c r="F22" s="9">
        <v>12</v>
      </c>
      <c r="G22" s="9">
        <v>6</v>
      </c>
      <c r="H22" s="9">
        <f t="shared" si="1"/>
        <v>41</v>
      </c>
      <c r="I22" s="10">
        <f>B22*'Tiền '!$E$4+C22*'Tiền '!$F$4+D22*'Tiền '!$G$4+E22*'Tiền '!$H$4+F22*'Tiền '!$I$4+G22*'Tiền '!$J$4</f>
        <v>383995.41246184334</v>
      </c>
      <c r="J22" s="10">
        <f>B22*'Tiền '!$E$3+C22*'Tiền '!$F$3+D22*'Tiền '!$G$3+E22*'Tiền '!$H$3+F22*'Tiền '!$I$3+G22*'Tiền '!$J$3</f>
        <v>306004.5875381566</v>
      </c>
      <c r="K22" s="3"/>
      <c r="L22" s="25"/>
      <c r="M22" s="14">
        <f>M21+500000+175000</f>
        <v>5840059.2982733706</v>
      </c>
      <c r="N22" s="23" t="s">
        <v>38</v>
      </c>
      <c r="O22" s="34">
        <f>I22+J22+18000</f>
        <v>708000</v>
      </c>
      <c r="P22" s="28">
        <f>(C22*10)+(D22*15)+(E22*10)+(E22*'Tiền '!$D$15)+(F22*15)+(G22*10)+(G22+'Tiền '!$D$15)</f>
        <v>544.33333333333337</v>
      </c>
      <c r="Q22" s="28"/>
      <c r="R22" s="28"/>
      <c r="S22" s="28"/>
      <c r="T22" s="28"/>
    </row>
    <row r="23" ht="72">
      <c r="A23" s="12">
        <v>45067</v>
      </c>
      <c r="B23" s="9">
        <v>5</v>
      </c>
      <c r="C23" s="9">
        <v>9</v>
      </c>
      <c r="D23" s="9">
        <v>0</v>
      </c>
      <c r="E23" s="9">
        <v>12</v>
      </c>
      <c r="F23" s="9">
        <v>3</v>
      </c>
      <c r="G23" s="9">
        <v>6</v>
      </c>
      <c r="H23" s="9">
        <f t="shared" si="1"/>
        <v>35</v>
      </c>
      <c r="I23" s="10">
        <f>B23*'Tiền '!$E$4+C23*'Tiền '!$F$4+D23*'Tiền '!$G$4+E23*'Tiền '!$H$4+F23*'Tiền '!$I$4+G23*'Tiền '!$J$4</f>
        <v>329001.48346988345</v>
      </c>
      <c r="J23" s="10">
        <f>B23*'Tiền '!$E$3+C23*'Tiền '!$F$3+D23*'Tiền '!$G$3+E23*'Tiền '!$H$3+F23*'Tiền '!$I$3+G23*'Tiền '!$J$3</f>
        <v>255998.51653011653</v>
      </c>
      <c r="K23" s="3"/>
      <c r="M23" s="14">
        <f>M22+410000</f>
        <v>6250059.2982733706</v>
      </c>
      <c r="N23" s="23" t="s">
        <v>39</v>
      </c>
      <c r="O23" s="34">
        <f t="shared" si="4"/>
        <v>585000</v>
      </c>
      <c r="P23" s="28">
        <f>(C23*10)+(D23*15)+(E23*10)+(E23*'Tiền '!$D$15)+(F23*15)+(G23*10)+(G23+'Tiền '!$D$15)</f>
        <v>537.66666666666663</v>
      </c>
      <c r="Q23" s="34"/>
      <c r="R23" s="28"/>
      <c r="S23" s="28"/>
      <c r="T23" s="28"/>
    </row>
    <row r="24" ht="90">
      <c r="A24" s="12">
        <v>45068</v>
      </c>
      <c r="B24" s="9">
        <v>1</v>
      </c>
      <c r="C24" s="9">
        <v>16</v>
      </c>
      <c r="D24" s="9">
        <v>3</v>
      </c>
      <c r="E24" s="9">
        <v>10</v>
      </c>
      <c r="F24" s="9">
        <v>1</v>
      </c>
      <c r="G24" s="9">
        <v>1</v>
      </c>
      <c r="H24" s="9">
        <f t="shared" si="1"/>
        <v>32</v>
      </c>
      <c r="I24" s="10">
        <f>B24*'Tiền '!$E$4+C24*'Tiền '!$F$4+D24*'Tiền '!$G$4+E24*'Tiền '!$H$4+F24*'Tiền '!$I$4+G24*'Tiền '!$J$4</f>
        <v>287000.89839217829</v>
      </c>
      <c r="J24" s="10">
        <f>(B24*'Tiền '!$E$3)+(C24*'Tiền '!$F$3)+(D24*'Tiền '!$G$3)+(E24*'Tiền '!$H$3)+(F24*'Tiền '!$I$3)+(G24*'Tiền '!$J$3)</f>
        <v>236999.10160782171</v>
      </c>
      <c r="K24" s="3"/>
      <c r="L24" s="3"/>
      <c r="M24" s="14">
        <f>M23</f>
        <v>6250059.2982733706</v>
      </c>
      <c r="N24" s="23" t="s">
        <v>40</v>
      </c>
      <c r="O24" s="34">
        <f t="shared" si="4"/>
        <v>524000</v>
      </c>
      <c r="P24" s="28">
        <f>(C24*10)+(D24*15)+(E24*10)+(E24*'Tiền '!$D$15)+(F24*15)+(G24*10)+(G24+'Tiền '!$D$15)</f>
        <v>514.33333333333337</v>
      </c>
      <c r="Q24" s="28">
        <f>SUM(P17:P24)</f>
        <v>3928.666666666667</v>
      </c>
      <c r="R24" s="28"/>
      <c r="S24" s="28"/>
      <c r="T24" s="28"/>
    </row>
    <row r="25" ht="90">
      <c r="A25" s="12">
        <v>45069</v>
      </c>
      <c r="B25" s="9">
        <v>3</v>
      </c>
      <c r="C25" s="9">
        <v>11</v>
      </c>
      <c r="D25" s="9">
        <v>2</v>
      </c>
      <c r="E25" s="9">
        <v>11</v>
      </c>
      <c r="F25" s="9">
        <v>3</v>
      </c>
      <c r="G25" s="9">
        <v>3</v>
      </c>
      <c r="H25" s="9">
        <f t="shared" si="1"/>
        <v>33</v>
      </c>
      <c r="I25" s="10">
        <f>B25*'Tiền '!$E$4+C25*'Tiền '!$F$4+D25*'Tiền '!$G$4+E25*'Tiền '!$H$4+F25*'Tiền '!$I$4+G25*'Tiền '!$J$4+40000</f>
        <v>345000.69941125612</v>
      </c>
      <c r="J25" s="10">
        <f>(B25*'Tiền '!$E$3)+(C25*'Tiền '!$F$3)+(D25*'Tiền '!$G$3)+(E25*'Tiền '!$H$3)+(F25*'Tiền '!$I$3)+(G25*'Tiền '!$J$3)+'Tiền '!C14+'Tiền '!C14+'Tiền '!E3+'Tiền '!H3+'Tiền '!I3</f>
        <v>267855.4994755612</v>
      </c>
      <c r="K25" s="3"/>
      <c r="L25" s="3"/>
      <c r="M25" s="14">
        <f>M24+418000</f>
        <v>6668059.2982733706</v>
      </c>
      <c r="N25" s="23" t="s">
        <v>41</v>
      </c>
      <c r="O25" s="34">
        <f t="shared" si="4"/>
        <v>612856.19888681732</v>
      </c>
      <c r="P25" s="28"/>
      <c r="Q25" s="28"/>
      <c r="R25" s="28"/>
      <c r="S25" s="28"/>
      <c r="T25" s="28"/>
    </row>
    <row r="26" ht="90">
      <c r="A26" s="12">
        <v>45070</v>
      </c>
      <c r="B26" s="9">
        <v>2</v>
      </c>
      <c r="C26" s="9">
        <v>9</v>
      </c>
      <c r="D26" s="9">
        <v>1</v>
      </c>
      <c r="E26" s="9">
        <v>12</v>
      </c>
      <c r="F26" s="9">
        <v>1</v>
      </c>
      <c r="G26" s="9">
        <v>4</v>
      </c>
      <c r="H26" s="9">
        <f t="shared" si="1"/>
        <v>29</v>
      </c>
      <c r="I26" s="10">
        <f>B26*'Tiền '!$E$4+C26*'Tiền '!$F$4+D26*'Tiền '!$G$4+E26*'Tiền '!$H$4+F26*'Tiền '!$I$4+G26*'Tiền '!$J$4</f>
        <v>274001.1865296656</v>
      </c>
      <c r="J26" s="10">
        <f>(B26*'Tiền '!$E$3)+(C26*'Tiền '!$F$3)+(D26*'Tiền '!$G$3)+(E26*'Tiền '!$H$3)+(F26*'Tiền '!$I$3)+(G26*'Tiền '!$J$3)+'Tiền '!H3+'Tiền '!C14</f>
        <v>226426.85629493269</v>
      </c>
      <c r="K26" s="3"/>
      <c r="L26" s="3"/>
      <c r="M26" s="14">
        <f t="shared" si="3"/>
        <v>6942060.4848030359</v>
      </c>
      <c r="N26" s="23" t="s">
        <v>42</v>
      </c>
      <c r="O26" s="34">
        <f t="shared" si="4"/>
        <v>500428.04282459826</v>
      </c>
      <c r="P26" s="28"/>
      <c r="Q26" s="28"/>
      <c r="R26" s="28"/>
      <c r="S26" s="28"/>
      <c r="T26" s="28"/>
    </row>
    <row r="27" ht="90">
      <c r="A27" s="12">
        <v>45071</v>
      </c>
      <c r="B27" s="9">
        <v>1</v>
      </c>
      <c r="C27" s="9">
        <v>16</v>
      </c>
      <c r="D27" s="9">
        <v>1</v>
      </c>
      <c r="E27" s="9">
        <v>10</v>
      </c>
      <c r="F27" s="9">
        <v>1</v>
      </c>
      <c r="G27" s="9">
        <v>4</v>
      </c>
      <c r="H27" s="9">
        <f t="shared" si="1"/>
        <v>33</v>
      </c>
      <c r="I27" s="10">
        <f>B27*'Tiền '!$E$4+C27*'Tiền '!$F$4+D27*'Tiền '!$G$4+E27*'Tiền '!$H$4+F27*'Tiền '!$I$4+G27*'Tiền '!$J$4</f>
        <v>303000.75721716083</v>
      </c>
      <c r="J27" s="10">
        <f>(B27*'Tiền '!$E$3)+(C27*'Tiền '!$F$3)+(D27*'Tiền '!$G$3)+(E27*'Tiền '!$H$3)+(F27*'Tiền '!$I$3)+(G27*'Tiền '!$J$3)+'Tiền '!H4</f>
        <v>254999.40116729305</v>
      </c>
      <c r="K27" s="3"/>
      <c r="L27" s="3"/>
      <c r="M27" s="14">
        <f>M26+I27</f>
        <v>7245061.2420201963</v>
      </c>
      <c r="N27" s="23" t="s">
        <v>43</v>
      </c>
      <c r="O27" s="34">
        <f t="shared" si="4"/>
        <v>558000.15838445385</v>
      </c>
      <c r="P27" s="28"/>
      <c r="Q27" s="28"/>
      <c r="R27" s="28"/>
      <c r="S27" s="28"/>
      <c r="T27" s="28"/>
    </row>
    <row r="28" ht="90">
      <c r="A28" s="12">
        <v>45072</v>
      </c>
      <c r="B28" s="9">
        <v>3</v>
      </c>
      <c r="C28" s="9">
        <v>6</v>
      </c>
      <c r="D28" s="9">
        <v>3</v>
      </c>
      <c r="E28" s="9">
        <v>17</v>
      </c>
      <c r="F28" s="9">
        <v>0</v>
      </c>
      <c r="G28" s="9">
        <v>5</v>
      </c>
      <c r="H28" s="9">
        <f t="shared" si="1"/>
        <v>34</v>
      </c>
      <c r="I28" s="10">
        <f>B28*'Tiền '!$E$4+C28*'Tiền '!$F$4+D28*'Tiền '!$G$4+E28*'Tiền '!$H$4+F28*'Tiền '!$I$4+G28*'Tiền '!$J$4</f>
        <v>329001.58548353257</v>
      </c>
      <c r="J28" s="10">
        <f>(B28*'Tiền '!$E$3)+(C28*'Tiền '!$F$3)+(D28*'Tiền '!$G$3)+(E28*'Tiền '!$H$3)+(F28*'Tiền '!$I$3)+(G28*'Tiền '!$J$3)+'Tiền '!F3+'Tiền '!H3+1000+'Tiền '!H4</f>
        <v>282998.36936963437</v>
      </c>
      <c r="K28" s="3"/>
      <c r="L28" s="3"/>
      <c r="M28" s="14">
        <f>M27+I28</f>
        <v>7574062.8275037287</v>
      </c>
      <c r="N28" s="23" t="s">
        <v>44</v>
      </c>
      <c r="O28" s="34">
        <f t="shared" si="4"/>
        <v>611999.954853167</v>
      </c>
      <c r="P28" s="28"/>
      <c r="Q28" s="28"/>
      <c r="R28" s="28"/>
      <c r="S28" s="28"/>
      <c r="T28" s="28"/>
    </row>
    <row r="29" ht="72">
      <c r="A29" s="12">
        <v>45073</v>
      </c>
      <c r="B29" s="9">
        <v>4</v>
      </c>
      <c r="C29" s="9">
        <v>6</v>
      </c>
      <c r="D29" s="9">
        <v>2</v>
      </c>
      <c r="E29" s="9">
        <v>16</v>
      </c>
      <c r="F29" s="9">
        <v>1</v>
      </c>
      <c r="G29" s="9">
        <v>7</v>
      </c>
      <c r="H29" s="9">
        <f t="shared" si="1"/>
        <v>36</v>
      </c>
      <c r="I29" s="10">
        <f>B29*'Tiền '!$E$4+C29*'Tiền '!$F$4+D29*'Tiền '!$G$4+E29*'Tiền '!$H$4+F29*'Tiền '!$I$4+G29*'Tiền '!$J$4</f>
        <v>350001.250321035</v>
      </c>
      <c r="J29" s="10">
        <f>(B29*'Tiền '!$E$3)+(C29*'Tiền '!$F$3)+(D29*'Tiền '!$G$3)+(E29*'Tiền '!$H$3)+(F29*'Tiền '!$I$3)+(G29*'Tiền '!$J$3)+'Tiền '!J3+'Tiền '!H3+'Tiền '!F3+'Tiền '!H3</f>
        <v>300998.69043796044</v>
      </c>
      <c r="K29" s="3"/>
      <c r="L29" s="3"/>
      <c r="M29" s="14">
        <f>M28+416000</f>
        <v>7990062.8275037287</v>
      </c>
      <c r="N29" s="23" t="s">
        <v>45</v>
      </c>
      <c r="O29" s="34">
        <f t="shared" si="4"/>
        <v>650999.94075899548</v>
      </c>
      <c r="P29" s="28"/>
      <c r="Q29" s="28"/>
      <c r="R29" s="28"/>
      <c r="S29" s="28"/>
      <c r="T29" s="28"/>
    </row>
    <row r="30" ht="72">
      <c r="A30" s="12">
        <v>45074</v>
      </c>
      <c r="B30" s="9">
        <v>4</v>
      </c>
      <c r="C30" s="9">
        <v>8</v>
      </c>
      <c r="D30" s="9">
        <v>6</v>
      </c>
      <c r="E30" s="9">
        <v>8</v>
      </c>
      <c r="F30" s="9">
        <v>0</v>
      </c>
      <c r="G30" s="9">
        <v>3</v>
      </c>
      <c r="H30" s="9">
        <f t="shared" si="1"/>
        <v>29</v>
      </c>
      <c r="I30" s="10">
        <f>B30*'Tiền '!$E$4+C30*'Tiền '!$F$4+D30*'Tiền '!$G$4+E30*'Tiền '!$H$4+F30*'Tiền '!$I$4+G30*'Tiền '!$J$4</f>
        <v>268000.13396422833</v>
      </c>
      <c r="J30" s="10">
        <f>(B30*'Tiền '!$E$3)+(C30*'Tiền '!$F$3)+(D30*'Tiền '!$G$3)+(E30*'Tiền '!$H$3)+(F30*'Tiền '!$I$3)+(G30*'Tiền '!$J$3)+(('Tiền '!B4*15)*4)+('Tiền '!J3*2)+('Tiền '!C14*2)</f>
        <v>233707.34109306781</v>
      </c>
      <c r="K30" s="3"/>
      <c r="L30" s="3"/>
      <c r="M30" s="14">
        <f>M29+350000</f>
        <v>8340062.8275037287</v>
      </c>
      <c r="N30" s="23" t="s">
        <v>46</v>
      </c>
      <c r="O30" s="34">
        <f t="shared" si="4"/>
        <v>501707.47505729611</v>
      </c>
      <c r="P30" s="28"/>
      <c r="Q30" s="28"/>
      <c r="R30" s="28"/>
      <c r="S30" s="28"/>
      <c r="T30" s="28"/>
    </row>
    <row r="31" ht="72">
      <c r="A31" s="12">
        <v>45075</v>
      </c>
      <c r="B31" s="9">
        <v>3</v>
      </c>
      <c r="C31" s="9">
        <v>13</v>
      </c>
      <c r="D31" s="9">
        <v>1</v>
      </c>
      <c r="E31" s="9">
        <v>10</v>
      </c>
      <c r="F31" s="9">
        <v>0</v>
      </c>
      <c r="G31" s="9">
        <v>3</v>
      </c>
      <c r="H31" s="9">
        <f t="shared" si="1"/>
        <v>30</v>
      </c>
      <c r="I31" s="10">
        <f>B31*'Tiền '!$E$4+C31*'Tiền '!$F$4+D31*'Tiền '!$G$4+E31*'Tiền '!$H$4+F31*'Tiền '!$I$4+G31*'Tiền '!$J$4</f>
        <v>271002.16501885036</v>
      </c>
      <c r="J31" s="10">
        <f>(B31*'Tiền '!$E$3)+(C31*'Tiền '!$F$3)+(D31*'Tiền '!$G$3)+(E31*'Tiền '!$H$3)+(F31*'Tiền '!$I$3)+(G31*'Tiền '!$J$3)+'Tiền '!C14+('Tiền '!B8*40)</f>
        <v>220706.03619020176</v>
      </c>
      <c r="K31" s="3"/>
      <c r="L31" s="3"/>
      <c r="M31" s="14">
        <f>M30+343000</f>
        <v>8683062.82750373</v>
      </c>
      <c r="N31" s="23" t="s">
        <v>47</v>
      </c>
      <c r="O31" s="34">
        <f t="shared" si="4"/>
        <v>491708.20120905212</v>
      </c>
      <c r="P31" s="28"/>
      <c r="Q31" s="28"/>
      <c r="R31" s="28"/>
      <c r="S31" s="28"/>
      <c r="T31" s="28"/>
    </row>
    <row r="32" ht="24" customHeight="1">
      <c r="A32" s="12">
        <v>45076</v>
      </c>
      <c r="B32" s="9"/>
      <c r="C32" s="9"/>
      <c r="D32" s="9"/>
      <c r="E32" s="9"/>
      <c r="F32" s="9"/>
      <c r="G32" s="9"/>
      <c r="H32" s="9">
        <f t="shared" si="1"/>
        <v>0</v>
      </c>
      <c r="I32" s="10">
        <f>B32*'Tiền '!$E$4+C32*'Tiền '!$F$4+D32*'Tiền '!$G$4+E32*'Tiền '!$H$4+F32*'Tiền '!$I$4+G32*'Tiền '!$J$4</f>
        <v>0</v>
      </c>
      <c r="J32" s="10">
        <f>(B32*'Tiền '!$E$3)+(C32*'Tiền '!$F$3)+(D32*'Tiền '!$G$3)+(E32*'Tiền '!$H$3)+(F32*'Tiền '!$I$3)+(G32*'Tiền '!$J$3)</f>
        <v>0</v>
      </c>
      <c r="K32" s="3"/>
      <c r="L32" s="3"/>
      <c r="M32" s="14">
        <f t="shared" si="3"/>
        <v>8683062.82750373</v>
      </c>
      <c r="N32" s="9"/>
      <c r="O32" s="34">
        <f t="shared" si="4"/>
        <v>0</v>
      </c>
      <c r="P32" s="28"/>
      <c r="Q32" s="28"/>
      <c r="R32" s="28"/>
      <c r="S32" s="28"/>
      <c r="T32" s="28"/>
    </row>
    <row r="33" ht="24" customHeight="1">
      <c r="A33" s="12">
        <v>45077</v>
      </c>
      <c r="B33" s="9"/>
      <c r="C33" s="9"/>
      <c r="D33" s="9"/>
      <c r="E33" s="9"/>
      <c r="F33" s="9"/>
      <c r="G33" s="9"/>
      <c r="H33" s="9">
        <f t="shared" si="1"/>
        <v>0</v>
      </c>
      <c r="I33" s="10">
        <f>B33*'Tiền '!$E$4+C33*'Tiền '!$F$4+D33*'Tiền '!$G$4+E33*'Tiền '!$H$4+F33*'Tiền '!$I$4+G33*'Tiền '!$J$4</f>
        <v>0</v>
      </c>
      <c r="J33" s="10">
        <f>(B33*'Tiền '!$E$3)+(C33*'Tiền '!$F$3)+(D33*'Tiền '!$G$3)+(E33*'Tiền '!$H$3)+(F33*'Tiền '!$I$3)+(G33*'Tiền '!$J$3)</f>
        <v>0</v>
      </c>
      <c r="K33" s="3"/>
      <c r="L33" s="3"/>
      <c r="M33" s="14">
        <f t="shared" si="3"/>
        <v>8683062.82750373</v>
      </c>
      <c r="N33" s="9"/>
      <c r="O33" s="34">
        <f t="shared" si="4"/>
        <v>0</v>
      </c>
      <c r="P33" s="28"/>
      <c r="Q33" s="28"/>
      <c r="R33" s="28"/>
      <c r="S33" s="28"/>
      <c r="T33" s="28"/>
    </row>
    <row r="34" ht="24" customHeight="1">
      <c r="A34" s="3"/>
      <c r="B34" s="3"/>
      <c r="C34" s="3"/>
      <c r="D34" s="3"/>
      <c r="E34" s="3"/>
      <c r="F34" s="3"/>
      <c r="G34" s="3"/>
      <c r="H34" s="3"/>
      <c r="I34" s="4"/>
      <c r="J34" s="4"/>
      <c r="K34" s="3"/>
      <c r="L34" s="3"/>
      <c r="M34" s="53"/>
      <c r="O34" s="34"/>
      <c r="P34" s="28"/>
      <c r="Q34" s="28"/>
      <c r="R34" s="28"/>
      <c r="S34" s="28"/>
      <c r="T34" s="28"/>
    </row>
    <row r="35" ht="24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ht="24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</sheetData>
  <mergeCells>
    <mergeCell ref="K3:L3"/>
    <mergeCell ref="K4:L4"/>
    <mergeCell ref="A1:I1"/>
    <mergeCell ref="K1:L1"/>
    <mergeCell ref="K2:L2"/>
  </mergeCell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FB44-171E-45C5-AF07-1E6D93C01412}">
  <dimension ref="A1:R34"/>
  <sheetViews>
    <sheetView topLeftCell="A28" zoomScale="62" zoomScaleNormal="78" workbookViewId="0">
      <selection activeCell="I32" sqref="I32"/>
    </sheetView>
  </sheetViews>
  <sheetFormatPr defaultColWidth="8.7109375" defaultRowHeight="14.25"/>
  <cols>
    <col min="1" max="1" bestFit="1" width="16" customWidth="1" style="28"/>
    <col min="2" max="2" bestFit="1" width="14.42578125" customWidth="1" style="28"/>
    <col min="3" max="3" bestFit="1" width="14.5703125" customWidth="1" style="28"/>
    <col min="4" max="4" bestFit="1" width="9.42578125" customWidth="1" style="28"/>
    <col min="5" max="5" bestFit="1" width="15.7109375" customWidth="1" style="28"/>
    <col min="6" max="6" bestFit="1" width="8.85546875" customWidth="1" style="28"/>
    <col min="7" max="7" bestFit="1" width="15.28515625" customWidth="1" style="28"/>
    <col min="8" max="8" bestFit="1" width="10.140625" customWidth="1" style="28"/>
    <col min="9" max="10" bestFit="1" width="18.5703125" customWidth="1" style="28"/>
    <col min="11" max="11" bestFit="1" width="11.85546875" customWidth="1" style="28"/>
    <col min="12" max="12" bestFit="1" width="14.7109375" customWidth="1" style="28"/>
    <col min="13" max="13" bestFit="1" width="12.5703125" customWidth="1" style="28"/>
    <col min="14" max="14" width="14.7109375" customWidth="1" style="28"/>
    <col min="15" max="15" bestFit="1" width="20.85546875" customWidth="1" style="28"/>
    <col min="16" max="18" bestFit="1" width="10.42578125" customWidth="1" style="28"/>
    <col min="19" max="25" width="8.7109375" customWidth="1" style="28"/>
    <col min="26" max="16384" width="8.7109375" customWidth="1" style="28"/>
  </cols>
  <sheetData>
    <row r="1" ht="2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15</v>
      </c>
      <c r="L1" s="79"/>
      <c r="M1" s="3"/>
      <c r="N1" s="3"/>
    </row>
    <row r="2" ht="18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/>
      <c r="L2" s="83"/>
      <c r="M2" s="20"/>
      <c r="N2" s="20"/>
    </row>
    <row r="3" ht="20.25">
      <c r="A3" s="12">
        <v>45078</v>
      </c>
      <c r="B3" s="9"/>
      <c r="C3" s="9"/>
      <c r="D3" s="9"/>
      <c r="E3" s="9"/>
      <c r="F3" s="9"/>
      <c r="G3" s="9"/>
      <c r="H3" s="14">
        <f>SUM(B3:G3)</f>
        <v>0</v>
      </c>
      <c r="I3" s="14">
        <f>(B3*'Tiền '!$E$4)+(C3*'Tiền '!$F$4)+(D3*'Tiền '!$G$4)+(E3*'Tiền '!$H$4)+(F3*'Tiền '!$I$4)+(G3*'Tiền '!$J$4)</f>
        <v>0</v>
      </c>
      <c r="J3" s="14">
        <f>(B3*'Tiền '!$E$3)+(C3*'Tiền '!$F$3)+(D3*'Tiền '!$G$3)+(E3*'Tiền '!$H$3)+(F3*'Tiền '!$I$3)+(G3*'Tiền '!$J$3)</f>
        <v>0</v>
      </c>
      <c r="K3" s="79" t="s">
        <v>12</v>
      </c>
      <c r="L3" s="82"/>
      <c r="M3" s="14"/>
      <c r="N3" s="46"/>
      <c r="O3" s="9"/>
      <c r="P3" s="39"/>
    </row>
    <row r="4" ht="18">
      <c r="A4" s="12">
        <v>45079</v>
      </c>
      <c r="B4" s="9"/>
      <c r="C4" s="9"/>
      <c r="D4" s="9"/>
      <c r="E4" s="9"/>
      <c r="F4" s="9"/>
      <c r="G4" s="9"/>
      <c r="H4" s="14">
        <f ref="H4:H32" t="shared" si="0">SUM(B4:G4)</f>
        <v>0</v>
      </c>
      <c r="I4" s="14">
        <f>(B4*'Tiền '!$E$4)+(C4*'Tiền '!$F$4)+(D4*'Tiền '!$G$4)+(E4*'Tiền '!$H$4)+(F4*'Tiền '!$I$4)+(G4*'Tiền '!$J$4)</f>
        <v>0</v>
      </c>
      <c r="J4" s="14">
        <f>(B4*'Tiền '!$E$3)+(C4*'Tiền '!$F$3)+(D4*'Tiền '!$G$3)+(E4*'Tiền '!$H$3)+(F4*'Tiền '!$I$3)+(G4*'Tiền '!$J$3)</f>
        <v>0</v>
      </c>
      <c r="K4" s="80">
        <f>SUM(J3:J34)</f>
        <v>6143771.3561694613</v>
      </c>
      <c r="L4" s="83"/>
      <c r="M4" s="30"/>
      <c r="N4" s="9"/>
      <c r="O4" s="9" t="s">
        <v>22</v>
      </c>
      <c r="P4" s="39" t="s">
        <v>48</v>
      </c>
    </row>
    <row r="5" ht="18">
      <c r="A5" s="12">
        <v>45080</v>
      </c>
      <c r="B5" s="9"/>
      <c r="C5" s="9"/>
      <c r="D5" s="9"/>
      <c r="E5" s="9"/>
      <c r="F5" s="9"/>
      <c r="G5" s="9"/>
      <c r="H5" s="14">
        <f t="shared" si="0"/>
        <v>0</v>
      </c>
      <c r="I5" s="14">
        <f>(B5*'Tiền '!$E$4)+(C5*'Tiền '!$F$4)+(D5*'Tiền '!$G$4)+(E5*'Tiền '!$H$4)+(F5*'Tiền '!$I$4)+(G5*'Tiền '!$J$4)</f>
        <v>0</v>
      </c>
      <c r="J5" s="14">
        <f>(B5*'Tiền '!$E$3)+(C5*'Tiền '!$F$3)+(D5*'Tiền '!$G$3)+(E5*'Tiền '!$H$3)+(F5*'Tiền '!$I$3)+(G5*'Tiền '!$J$3)</f>
        <v>0</v>
      </c>
      <c r="K5" s="3"/>
      <c r="M5" s="14"/>
      <c r="N5" s="47"/>
    </row>
    <row r="6" ht="18">
      <c r="A6" s="12">
        <v>45081</v>
      </c>
      <c r="B6" s="9"/>
      <c r="C6" s="9"/>
      <c r="D6" s="9"/>
      <c r="E6" s="9"/>
      <c r="F6" s="9"/>
      <c r="G6" s="9"/>
      <c r="H6" s="14">
        <f t="shared" si="0"/>
        <v>0</v>
      </c>
      <c r="I6" s="14">
        <v>1800000</v>
      </c>
      <c r="J6" s="14">
        <f>(B6*'Tiền '!$E$3)+(C6*'Tiền '!$F$3)+(D6*'Tiền '!$G$3)+(E6*'Tiền '!$H$3)+(F6*'Tiền '!$I$3)+(G6*'Tiền '!$J$3)</f>
        <v>0</v>
      </c>
      <c r="K6" s="9"/>
      <c r="L6" s="17"/>
      <c r="M6" s="14">
        <v>0</v>
      </c>
      <c r="N6" s="31">
        <v>255000</v>
      </c>
    </row>
    <row r="7" ht="90">
      <c r="A7" s="12">
        <v>45082</v>
      </c>
      <c r="B7" s="9">
        <v>1</v>
      </c>
      <c r="C7" s="9">
        <v>13</v>
      </c>
      <c r="D7" s="9">
        <v>1</v>
      </c>
      <c r="E7" s="9">
        <v>13</v>
      </c>
      <c r="F7" s="9">
        <v>1</v>
      </c>
      <c r="G7" s="9">
        <v>7</v>
      </c>
      <c r="H7" s="14">
        <f t="shared" si="0"/>
        <v>36</v>
      </c>
      <c r="I7" s="14">
        <f>(B7*'Tiền '!$E$4)+(C7*'Tiền '!$F$4)+(D7*'Tiền '!$G$4)+(E7*'Tiền '!$H$4)+(F7*'Tiền '!$I$4)+(G7*'Tiền '!$J$4)</f>
        <v>345000.18890581466</v>
      </c>
      <c r="J7" s="14">
        <f>(B7*'Tiền '!$E$3)+(C7*'Tiền '!$F$3)+(D7*'Tiền '!$G$3)+(E7*'Tiền '!$H$3)+(F7*'Tiền '!$I$3)+(G7*'Tiền '!$J$3)+'Tiền '!H3+'Tiền '!F3+'Tiền '!C14</f>
        <v>288427.80877195054</v>
      </c>
      <c r="K7" s="14">
        <v>1000</v>
      </c>
      <c r="L7" s="18">
        <v>4</v>
      </c>
      <c r="M7" s="14">
        <f>M6+I7</f>
        <v>345000.18890581466</v>
      </c>
      <c r="N7" s="23" t="s">
        <v>49</v>
      </c>
      <c r="O7" s="34">
        <f>'Tiền '!$C$16*H7</f>
        <v>34200</v>
      </c>
      <c r="P7" s="34">
        <f>I7+J7</f>
        <v>633427.9976777652</v>
      </c>
    </row>
    <row r="8" ht="90">
      <c r="A8" s="12">
        <v>45083</v>
      </c>
      <c r="B8" s="9">
        <v>2</v>
      </c>
      <c r="C8" s="9">
        <v>9</v>
      </c>
      <c r="D8" s="9"/>
      <c r="E8" s="9">
        <v>11</v>
      </c>
      <c r="F8" s="9">
        <v>4</v>
      </c>
      <c r="G8" s="9">
        <v>4</v>
      </c>
      <c r="H8" s="14">
        <f t="shared" si="0"/>
        <v>30</v>
      </c>
      <c r="I8" s="14">
        <f>(B8*'Tiền '!$E$4)+(C8*'Tiền '!$F$4)+(D8*'Tiền '!$G$4)+(E8*'Tiền '!$H$4)+(F8*'Tiền '!$I$4)+(G8*'Tiền '!$J$4)</f>
        <v>284000.26129602076</v>
      </c>
      <c r="J8" s="14">
        <f>(B8*'Tiền '!$E$3)+(C8*'Tiền '!$F$3)+(D8*'Tiền '!$G$3)+(E8*'Tiền '!$H$3)+(F8*'Tiền '!$I$3)+(G8*'Tiền '!$J$3)</f>
        <v>224999.73870397927</v>
      </c>
      <c r="K8" s="14">
        <v>2000</v>
      </c>
      <c r="L8" s="18">
        <v>25</v>
      </c>
      <c r="M8" s="14">
        <f ref="M8:M32" t="shared" si="1">M7+I8</f>
        <v>629000.45020183548</v>
      </c>
      <c r="N8" s="23" t="s">
        <v>50</v>
      </c>
      <c r="O8" s="34">
        <f>'Tiền '!$C$16*H8</f>
        <v>28500</v>
      </c>
      <c r="P8" s="34">
        <f ref="P8:P32" t="shared" si="2">I8+J8</f>
        <v>509000</v>
      </c>
    </row>
    <row r="9" ht="108">
      <c r="A9" s="12">
        <v>45084</v>
      </c>
      <c r="B9" s="14">
        <v>2</v>
      </c>
      <c r="C9" s="14">
        <v>8</v>
      </c>
      <c r="D9" s="14"/>
      <c r="E9" s="14">
        <v>11</v>
      </c>
      <c r="F9" s="14"/>
      <c r="G9" s="14">
        <v>5</v>
      </c>
      <c r="H9" s="14">
        <f t="shared" si="0"/>
        <v>26</v>
      </c>
      <c r="I9" s="14">
        <f>(B9*'Tiền '!$E$4)+(C9*'Tiền '!$F$4)+(D9*'Tiền '!$G$4)+(E9*'Tiền '!$H$4)+(F9*'Tiền '!$I$4)+(G9*'Tiền '!$J$4)</f>
        <v>248001.44717283349</v>
      </c>
      <c r="J9" s="14">
        <f>(B9*'Tiền '!$E$3)+(C9*'Tiền '!$F$3)+(D9*'Tiền '!$G$3)+(E9*'Tiền '!$H$3)+(F9*'Tiền '!$I$3)+(G9*'Tiền '!$J$3)+'Tiền '!B4*30</f>
        <v>195423.78647202632</v>
      </c>
      <c r="K9" s="14">
        <v>5000</v>
      </c>
      <c r="L9" s="30">
        <v>12</v>
      </c>
      <c r="M9" s="14">
        <f t="shared" si="1"/>
        <v>877001.897374669</v>
      </c>
      <c r="N9" s="31" t="s">
        <v>51</v>
      </c>
      <c r="O9" s="34">
        <f>'Tiền '!$C$16*H9</f>
        <v>24700</v>
      </c>
      <c r="P9" s="34">
        <f t="shared" si="2"/>
        <v>443425.23364485981</v>
      </c>
    </row>
    <row r="10" ht="72">
      <c r="A10" s="12">
        <v>45085</v>
      </c>
      <c r="B10" s="14">
        <v>6</v>
      </c>
      <c r="C10" s="14">
        <v>13</v>
      </c>
      <c r="D10" s="14"/>
      <c r="E10" s="14">
        <v>20</v>
      </c>
      <c r="F10" s="14">
        <v>1</v>
      </c>
      <c r="G10" s="14">
        <v>2</v>
      </c>
      <c r="H10" s="14">
        <f t="shared" si="0"/>
        <v>42</v>
      </c>
      <c r="I10" s="14">
        <f>(B10*'Tiền '!$E$4)+(C10*'Tiền '!$F$4)+(D10*'Tiền '!$G$4)+(E10*'Tiền '!$H$4)+(F10*'Tiền '!$I$4)+(G10*'Tiền '!$J$4)</f>
        <v>380005.33725241094</v>
      </c>
      <c r="J10" s="14">
        <f>(B10*'Tiền '!$E$3)+(C10*'Tiền '!$F$3)+(D10*'Tiền '!$G$3)+(E10*'Tiền '!$H$3)+(F10*'Tiền '!$I$3)+(G10*'Tiền '!$J$3)+'Tiền '!J3+'Tiền '!H3+'Tiền '!F3+'Tiền '!G3+'Tiền '!C14</f>
        <v>337423.34652468597</v>
      </c>
      <c r="K10" s="14">
        <v>10000</v>
      </c>
      <c r="L10" s="30">
        <v>9</v>
      </c>
      <c r="M10" s="14">
        <f t="shared" si="1"/>
        <v>1257007.23462708</v>
      </c>
      <c r="N10" s="31" t="s">
        <v>52</v>
      </c>
      <c r="O10" s="34">
        <f>'Tiền '!$C$16*H10</f>
        <v>39900</v>
      </c>
      <c r="P10" s="34">
        <f t="shared" si="2"/>
        <v>717428.68377709691</v>
      </c>
    </row>
    <row r="11" ht="90">
      <c r="A11" s="12">
        <v>45086</v>
      </c>
      <c r="B11" s="14">
        <v>3</v>
      </c>
      <c r="C11" s="14">
        <v>6</v>
      </c>
      <c r="D11" s="14">
        <v>3</v>
      </c>
      <c r="E11" s="14">
        <v>12</v>
      </c>
      <c r="F11" s="14">
        <v>4</v>
      </c>
      <c r="G11" s="14">
        <v>1</v>
      </c>
      <c r="H11" s="14">
        <f t="shared" si="0"/>
        <v>29</v>
      </c>
      <c r="I11" s="14">
        <f>(B11*'Tiền '!$E$4)+(C11*'Tiền '!$F$4)+(D11*'Tiền '!$G$4)+(E11*'Tiền '!$H$4)+(F11*'Tiền '!$I$4)+(G11*'Tiền '!$J$4)</f>
        <v>271000.4705618259</v>
      </c>
      <c r="J11" s="14">
        <f>(B11*'Tiền '!$E$3)+(C11*'Tiền '!$F$3)+(D11*'Tiền '!$G$3)+(E11*'Tiền '!$H$3)+(F11*'Tiền '!$I$3)+(G11*'Tiền '!$J$3)+'Tiền '!C14*2+'Tiền '!I3+'Tiền '!F3</f>
        <v>234856.27013404068</v>
      </c>
      <c r="K11" s="14">
        <v>20000</v>
      </c>
      <c r="L11" s="30">
        <v>0</v>
      </c>
      <c r="M11" s="14">
        <f t="shared" si="1"/>
        <v>1528007.7051889058</v>
      </c>
      <c r="N11" s="31" t="s">
        <v>53</v>
      </c>
      <c r="O11" s="34">
        <f>'Tiền '!$C$16*H11</f>
        <v>27550</v>
      </c>
      <c r="P11" s="34">
        <f t="shared" si="2"/>
        <v>505856.74069586658</v>
      </c>
    </row>
    <row r="12" ht="72">
      <c r="A12" s="12">
        <v>45087</v>
      </c>
      <c r="B12" s="14">
        <v>2</v>
      </c>
      <c r="C12" s="14">
        <v>4</v>
      </c>
      <c r="D12" s="14">
        <v>3</v>
      </c>
      <c r="E12" s="14">
        <v>14</v>
      </c>
      <c r="F12" s="14">
        <v>1</v>
      </c>
      <c r="G12" s="14">
        <v>2</v>
      </c>
      <c r="H12" s="14">
        <f t="shared" si="0"/>
        <v>26</v>
      </c>
      <c r="I12" s="14">
        <f>(B12*'Tiền '!$E$4)+(C12*'Tiền '!$F$4)+(D12*'Tiền '!$G$4)+(E12*'Tiền '!$H$4)+(F12*'Tiền '!$I$4)+(G12*'Tiền '!$J$4)</f>
        <v>250001.11606468927</v>
      </c>
      <c r="J12" s="14">
        <f>(B12*'Tiền '!$E$3)+(C12*'Tiền '!$F$3)+(D12*'Tiền '!$G$3)+(E12*'Tiền '!$H$3)+(F12*'Tiền '!$I$3)+(G12*'Tiền '!$J$3)+6000+'Tiền '!C14*3</f>
        <v>208283.48756246705</v>
      </c>
      <c r="K12" s="14">
        <v>50000</v>
      </c>
      <c r="L12" s="30">
        <v>0</v>
      </c>
      <c r="M12" s="14">
        <f t="shared" si="1"/>
        <v>1778008.8212535952</v>
      </c>
      <c r="N12" s="31" t="s">
        <v>54</v>
      </c>
      <c r="O12" s="34">
        <f>'Tiền '!$C$16*H12</f>
        <v>24700</v>
      </c>
      <c r="P12" s="34">
        <f t="shared" si="2"/>
        <v>458284.60362715635</v>
      </c>
    </row>
    <row r="13" ht="72">
      <c r="A13" s="12">
        <v>45088</v>
      </c>
      <c r="B13" s="14">
        <v>5</v>
      </c>
      <c r="C13" s="14">
        <v>6</v>
      </c>
      <c r="D13" s="14">
        <v>2</v>
      </c>
      <c r="E13" s="14">
        <v>15</v>
      </c>
      <c r="F13" s="14">
        <v>1</v>
      </c>
      <c r="G13" s="14">
        <v>3</v>
      </c>
      <c r="H13" s="14">
        <f t="shared" si="0"/>
        <v>32</v>
      </c>
      <c r="I13" s="14">
        <f>(B13*'Tiền '!$E$4)+(C13*'Tiền '!$F$4)+(D13*'Tiền '!$G$4)+(E13*'Tiền '!$H$4)+(F13*'Tiền '!$I$4)+(G13*'Tiền '!$J$4)</f>
        <v>299002.73120695434</v>
      </c>
      <c r="J13" s="14">
        <f>(B13*'Tiền '!$E$3)+(C13*'Tiền '!$F$3)+(D13*'Tiền '!$G$3)+(E13*'Tiền '!$H$3)+(F13*'Tiền '!$I$3)+(G13*'Tiền '!$J$3)+'Tiền '!C14*4+'Tiền '!F3*2+'Tiền '!H3*2+'Tiền '!I3</f>
        <v>278710.04999127577</v>
      </c>
      <c r="K13" s="14">
        <v>100000</v>
      </c>
      <c r="L13" s="30">
        <v>0</v>
      </c>
      <c r="M13" s="14">
        <f t="shared" si="1"/>
        <v>2077011.5524605494</v>
      </c>
      <c r="N13" s="31" t="s">
        <v>55</v>
      </c>
      <c r="O13" s="34">
        <f>'Tiền '!$C$16*H13</f>
        <v>30400</v>
      </c>
      <c r="P13" s="34">
        <f t="shared" si="2"/>
        <v>577712.78119823011</v>
      </c>
    </row>
    <row r="14" ht="108">
      <c r="A14" s="12">
        <v>45089</v>
      </c>
      <c r="B14" s="14">
        <v>2</v>
      </c>
      <c r="C14" s="14">
        <v>9</v>
      </c>
      <c r="D14" s="14">
        <v>1</v>
      </c>
      <c r="E14" s="14">
        <v>21</v>
      </c>
      <c r="F14" s="14">
        <v>1</v>
      </c>
      <c r="G14" s="14"/>
      <c r="H14" s="14">
        <f t="shared" si="0"/>
        <v>34</v>
      </c>
      <c r="I14" s="14">
        <f>(B14*'Tiền '!$E$4)+(C14*'Tiền '!$F$4)+(D14*'Tiền '!$G$4)+(E14*'Tiền '!$H$4)+(F14*'Tiền '!$I$4)+(G14*'Tiền '!$J$4)</f>
        <v>316003.822688695</v>
      </c>
      <c r="J14" s="14">
        <f>(B14*'Tiền '!$E$3)+(C14*'Tiền '!$F$3)+(D14*'Tiền '!$G$3)+(E14*'Tiền '!$H$3)+(F14*'Tiền '!$I$3)+(G14*'Tiền '!$J$3)+42000</f>
        <v>298996.17731130496</v>
      </c>
      <c r="K14" s="14">
        <v>200000</v>
      </c>
      <c r="L14" s="30">
        <v>0</v>
      </c>
      <c r="M14" s="14">
        <f t="shared" si="1"/>
        <v>2393015.3751492444</v>
      </c>
      <c r="N14" s="31" t="s">
        <v>56</v>
      </c>
      <c r="O14" s="34">
        <f>'Tiền '!$C$16*H14+'Tiền '!C16*3</f>
        <v>35150</v>
      </c>
      <c r="P14" s="34">
        <f t="shared" si="2"/>
        <v>615000</v>
      </c>
    </row>
    <row r="15" ht="108" s="3" customFormat="1">
      <c r="A15" s="12">
        <v>45090</v>
      </c>
      <c r="B15" s="9">
        <v>1</v>
      </c>
      <c r="C15" s="9">
        <v>15</v>
      </c>
      <c r="D15" s="9">
        <v>7</v>
      </c>
      <c r="E15" s="9">
        <v>12</v>
      </c>
      <c r="F15" s="9">
        <v>1</v>
      </c>
      <c r="G15" s="9">
        <v>5</v>
      </c>
      <c r="H15" s="14">
        <f t="shared" si="0"/>
        <v>41</v>
      </c>
      <c r="I15" s="14">
        <f>(B15*'Tiền '!$E$4)+(C15*'Tiền '!$F$4)+(D15*'Tiền '!$G$4)+(E15*'Tiền '!$H$4)+(F15*'Tiền '!$I$4)+(G15*'Tiền '!$J$4)</f>
        <v>386998.42561692628</v>
      </c>
      <c r="J15" s="14">
        <f>(B15*'Tiền '!$E$3)+(C15*'Tiền '!$F$3)+(D15*'Tiền '!$G$3)+(E15*'Tiền '!$H$3)+(F15*'Tiền '!$I$3)+(G15*'Tiền '!$J$3)+'Tiền '!C14</f>
        <v>311429.77559212584</v>
      </c>
      <c r="K15" s="14">
        <v>500000</v>
      </c>
      <c r="L15" s="18"/>
      <c r="M15" s="14">
        <f t="shared" si="1"/>
        <v>2780013.800766171</v>
      </c>
      <c r="N15" s="23" t="s">
        <v>57</v>
      </c>
      <c r="O15" s="34">
        <f>'Tiền '!$C$16*H15</f>
        <v>38950</v>
      </c>
      <c r="P15" s="34">
        <f t="shared" si="2"/>
        <v>698428.20120905212</v>
      </c>
      <c r="Q15" s="25">
        <f>P15-64000</f>
        <v>634428.20120905212</v>
      </c>
      <c r="R15" s="25">
        <f>P15-100000+64000+86000</f>
        <v>748428.20120905212</v>
      </c>
    </row>
    <row r="16" ht="90">
      <c r="A16" s="12">
        <v>45091</v>
      </c>
      <c r="B16" s="9">
        <v>1</v>
      </c>
      <c r="C16" s="9">
        <v>9</v>
      </c>
      <c r="D16" s="9">
        <v>2</v>
      </c>
      <c r="E16" s="9">
        <v>8</v>
      </c>
      <c r="F16" s="9"/>
      <c r="G16" s="9">
        <v>2</v>
      </c>
      <c r="H16" s="14">
        <f t="shared" si="0"/>
        <v>22</v>
      </c>
      <c r="I16" s="14">
        <f>(B16*'Tiền '!$E$4)+(C16*'Tiền '!$F$4)+(D16*'Tiền '!$G$4)+(E16*'Tiền '!$H$4)+(F16*'Tiền '!$I$4)+(G16*'Tiền '!$J$4)</f>
        <v>203000.72976989386</v>
      </c>
      <c r="J16" s="14">
        <f>(B16*'Tiền '!$E$3)+(C16*'Tiền '!$F$3)+(D16*'Tiền '!$G$3)+(E16*'Tiền '!$H$3)+(F16*'Tiền '!$I$3)+(G16*'Tiền '!$J$3)+('Tiền '!B4*30)+('Tiền '!B6*10)+('Tiền '!B14*30)+'Tiền '!H3</f>
        <v>175776.9534611984</v>
      </c>
      <c r="K16" s="11" t="s">
        <v>14</v>
      </c>
      <c r="L16" s="19">
        <f>L7*K7+L8*K8+L9*K9+L10*K10+L11*K11+L12*K12+L13*K13+L14*K14+L15*K15</f>
        <v>204000</v>
      </c>
      <c r="M16" s="14">
        <f t="shared" si="1"/>
        <v>2983014.5305360649</v>
      </c>
      <c r="N16" s="23" t="s">
        <v>58</v>
      </c>
      <c r="O16" s="34">
        <f>'Tiền '!$C$16*H16+'Tiền '!B16</f>
        <v>21960</v>
      </c>
      <c r="P16" s="34">
        <f t="shared" si="2"/>
        <v>378777.68323109229</v>
      </c>
      <c r="Q16" s="34">
        <f>I16-48000-18000</f>
        <v>137000.72976989386</v>
      </c>
    </row>
    <row r="17" ht="108.75">
      <c r="A17" s="12">
        <v>45092</v>
      </c>
      <c r="B17" s="35">
        <v>2</v>
      </c>
      <c r="C17" s="35">
        <v>11</v>
      </c>
      <c r="D17" s="35">
        <v>1</v>
      </c>
      <c r="E17" s="35">
        <v>10</v>
      </c>
      <c r="F17" s="35">
        <v>1</v>
      </c>
      <c r="G17" s="35">
        <v>3</v>
      </c>
      <c r="H17" s="14">
        <f t="shared" si="0"/>
        <v>28</v>
      </c>
      <c r="I17" s="14">
        <f>(B17*'Tiền '!$E$4)+(C17*'Tiền '!$F$4)+(D17*'Tiền '!$G$4)+(E17*'Tiền '!$H$4)+(F17*'Tiền '!$I$4)+(G17*'Tiền '!$J$4)</f>
        <v>258001.2627291602</v>
      </c>
      <c r="J17" s="14">
        <f>(B17*'Tiền '!$E$3)+(C17*'Tiền '!$F$3)+(D17*'Tiền '!$G$3)+(E17*'Tiền '!$H$3)+(F17*'Tiền '!$I$3)+(G17*'Tiền '!$J$3)+'Tiền '!K3+'Tiền '!C14+'Tiền '!J3</f>
        <v>225427.22857789826</v>
      </c>
      <c r="K17" s="29"/>
      <c r="L17" s="32"/>
      <c r="M17" s="14">
        <f t="shared" si="1"/>
        <v>3241015.7932652249</v>
      </c>
      <c r="N17" s="23" t="s">
        <v>59</v>
      </c>
      <c r="O17" s="34">
        <f>'Tiền '!$C$16*H17</f>
        <v>26600</v>
      </c>
      <c r="P17" s="34">
        <f t="shared" si="2"/>
        <v>483428.49130705849</v>
      </c>
      <c r="Q17" s="34">
        <f>200000-Q16</f>
        <v>62999.270230106136</v>
      </c>
    </row>
    <row r="18" ht="90">
      <c r="A18" s="12">
        <v>45093</v>
      </c>
      <c r="B18" s="9">
        <v>2</v>
      </c>
      <c r="C18" s="9">
        <v>14</v>
      </c>
      <c r="D18" s="9">
        <v>1</v>
      </c>
      <c r="E18" s="9">
        <v>14</v>
      </c>
      <c r="F18" s="9">
        <v>3</v>
      </c>
      <c r="G18" s="9">
        <v>3</v>
      </c>
      <c r="H18" s="14">
        <f t="shared" si="0"/>
        <v>37</v>
      </c>
      <c r="I18" s="14">
        <f>(B18*'Tiền '!$E$4)+(C18*'Tiền '!$F$4)+(D18*'Tiền '!$G$4)+(E18*'Tiền '!$H$4)+(F18*'Tiền '!$I$4)+(G18*'Tiền '!$J$4)</f>
        <v>342001.2648582838</v>
      </c>
      <c r="J18" s="14">
        <f>(B18*'Tiền '!$E$3)+(C18*'Tiền '!$F$3)+(D18*'Tiền '!$G$3)+(E18*'Tiền '!$H$3)+(F18*'Tiền '!$I$3)+(G18*'Tiền '!$J$3)+5000+'Tiền '!F3+'Tiền '!H3</f>
        <v>295998.53161042917</v>
      </c>
      <c r="K18" s="3"/>
      <c r="L18" s="25"/>
      <c r="M18" s="14">
        <f t="shared" si="1"/>
        <v>3583017.0581235085</v>
      </c>
      <c r="N18" s="23" t="s">
        <v>60</v>
      </c>
      <c r="O18" s="34">
        <f>'Tiền '!$C$16*H18</f>
        <v>35150</v>
      </c>
      <c r="P18" s="34">
        <f t="shared" si="2"/>
        <v>637999.796468713</v>
      </c>
    </row>
    <row r="19" ht="126">
      <c r="A19" s="12">
        <v>45094</v>
      </c>
      <c r="B19" s="9"/>
      <c r="C19" s="9">
        <v>8</v>
      </c>
      <c r="D19" s="9">
        <v>1</v>
      </c>
      <c r="E19" s="9">
        <v>7</v>
      </c>
      <c r="F19" s="9">
        <v>2</v>
      </c>
      <c r="G19" s="9">
        <v>0</v>
      </c>
      <c r="H19" s="14">
        <f t="shared" si="0"/>
        <v>18</v>
      </c>
      <c r="I19" s="14">
        <f>(B19*'Tiền '!$E$4)+(C19*'Tiền '!$F$4)+(D19*'Tiền '!$G$4)+(E19*'Tiền '!$H$4)+(F19*'Tiền '!$I$4)+(G19*'Tiền '!$J$4)</f>
        <v>164000.3195920552</v>
      </c>
      <c r="J19" s="14">
        <f>(B19*'Tiền '!$E$3)+(C19*'Tiền '!$F$3)+(D19*'Tiền '!$G$3)+(E19*'Tiền '!$H$3)+(F19*'Tiền '!$I$3)+(G19*'Tiền '!$J$3)+'Tiền '!G3+'Tiền '!J3</f>
        <v>152000.36650727646</v>
      </c>
      <c r="K19" s="3"/>
      <c r="L19" s="25"/>
      <c r="M19" s="14">
        <f t="shared" si="1"/>
        <v>3747017.3777155639</v>
      </c>
      <c r="N19" s="23" t="s">
        <v>61</v>
      </c>
      <c r="O19" s="34">
        <f>'Tiền '!$C$16*H19</f>
        <v>17100</v>
      </c>
      <c r="P19" s="34">
        <f t="shared" si="2"/>
        <v>316000.68609933165</v>
      </c>
    </row>
    <row r="20" ht="72">
      <c r="A20" s="12">
        <v>45095</v>
      </c>
      <c r="B20" s="9">
        <v>4</v>
      </c>
      <c r="C20" s="9">
        <v>12</v>
      </c>
      <c r="D20" s="9">
        <v>0</v>
      </c>
      <c r="E20" s="9">
        <v>9</v>
      </c>
      <c r="F20" s="9">
        <v>2</v>
      </c>
      <c r="G20" s="9">
        <v>3</v>
      </c>
      <c r="H20" s="14">
        <f t="shared" si="0"/>
        <v>30</v>
      </c>
      <c r="I20" s="14">
        <f>(B20*'Tiền '!$E$4)+(C20*'Tiền '!$F$4)+(D20*'Tiền '!$G$4)+(E20*'Tiền '!$H$4)+(F20*'Tiền '!$I$4)+(G20*'Tiền '!$J$4)</f>
        <v>270002.0066343965</v>
      </c>
      <c r="J20" s="14">
        <f>(B20*'Tiền '!$E$3)+(C20*'Tiền '!$F$3)+(D20*'Tiền '!$G$3)+(E20*'Tiền '!$H$3)+(F20*'Tiền '!$I$3)+(G20*'Tiền '!$J$3)+'Tiền '!G3</f>
        <v>223998.376790199</v>
      </c>
      <c r="K20" s="3"/>
      <c r="L20" s="25"/>
      <c r="M20" s="14">
        <f t="shared" si="1"/>
        <v>4017019.3843499604</v>
      </c>
      <c r="N20" s="23" t="s">
        <v>62</v>
      </c>
      <c r="O20" s="34">
        <f>'Tiền '!$C$16*H20</f>
        <v>28500</v>
      </c>
      <c r="P20" s="34">
        <f t="shared" si="2"/>
        <v>494000.38342459546</v>
      </c>
    </row>
    <row r="21" ht="72">
      <c r="A21" s="12">
        <v>45096</v>
      </c>
      <c r="B21" s="9"/>
      <c r="C21" s="9">
        <v>6</v>
      </c>
      <c r="D21" s="9">
        <v>1</v>
      </c>
      <c r="E21" s="9">
        <v>9</v>
      </c>
      <c r="F21" s="9">
        <v>1</v>
      </c>
      <c r="G21" s="9">
        <v>1</v>
      </c>
      <c r="H21" s="14">
        <f t="shared" si="0"/>
        <v>18</v>
      </c>
      <c r="I21" s="14">
        <f>(B21*'Tiền '!$E$4)+(C21*'Tiền '!$F$4)+(D21*'Tiền '!$G$4)+(E21*'Tiền '!$H$4)+(F21*'Tiền '!$I$4)+(G21*'Tiền '!$J$4)</f>
        <v>170000.6268171561</v>
      </c>
      <c r="J21" s="14">
        <f>(B21*'Tiền '!$E$3)+(C21*'Tiền '!$F$3)+(D21*'Tiền '!$G$3)+(E21*'Tiền '!$H$3)+(F21*'Tiền '!$I$3)+(G21*'Tiền '!$J$3)+4000+'Tiền '!G3</f>
        <v>149999.7566074394</v>
      </c>
      <c r="K21" s="3"/>
      <c r="L21" s="25"/>
      <c r="M21" s="14">
        <f t="shared" si="1"/>
        <v>4187020.0111671165</v>
      </c>
      <c r="N21" s="23" t="s">
        <v>63</v>
      </c>
      <c r="O21" s="34">
        <f>'Tiền '!$C$16*H21</f>
        <v>17100</v>
      </c>
      <c r="P21" s="34">
        <f t="shared" si="2"/>
        <v>320000.38342459546</v>
      </c>
    </row>
    <row r="22" ht="90">
      <c r="A22" s="12">
        <v>45097</v>
      </c>
      <c r="B22" s="9">
        <v>1</v>
      </c>
      <c r="C22" s="9">
        <v>9</v>
      </c>
      <c r="D22" s="9">
        <v>1</v>
      </c>
      <c r="E22" s="9">
        <v>14</v>
      </c>
      <c r="F22" s="9">
        <v>2</v>
      </c>
      <c r="G22" s="9">
        <v>3</v>
      </c>
      <c r="H22" s="14">
        <f t="shared" si="0"/>
        <v>30</v>
      </c>
      <c r="I22" s="14">
        <f>(B22*'Tiền '!$E$4)+(C22*'Tiền '!$F$4)+(D22*'Tiền '!$G$4)+(E22*'Tiền '!$H$4)+(F22*'Tiền '!$I$4)+(G22*'Tiền '!$J$4)</f>
        <v>285000.9939772854</v>
      </c>
      <c r="J22" s="14">
        <f>(B22*'Tiền '!$E$3)+(C22*'Tiền '!$F$3)+(D22*'Tiền '!$G$3)+(E22*'Tiền '!$H$3)+(F22*'Tiền '!$I$3)+(G22*'Tiền '!$J$3)+'Tiền '!F3</f>
        <v>234998.96087588152</v>
      </c>
      <c r="K22" s="3"/>
      <c r="L22" s="25"/>
      <c r="M22" s="14">
        <f t="shared" si="1"/>
        <v>4472021.0051444015</v>
      </c>
      <c r="N22" s="23" t="s">
        <v>64</v>
      </c>
      <c r="O22" s="34">
        <f>'Tiền '!$C$16*H22</f>
        <v>28500</v>
      </c>
      <c r="P22" s="34">
        <f t="shared" si="2"/>
        <v>519999.95485316694</v>
      </c>
    </row>
    <row r="23" ht="18">
      <c r="A23" s="12">
        <v>45098</v>
      </c>
      <c r="B23" s="9"/>
      <c r="C23" s="9"/>
      <c r="D23" s="9"/>
      <c r="E23" s="9"/>
      <c r="F23" s="9"/>
      <c r="G23" s="9"/>
      <c r="H23" s="14"/>
      <c r="I23" s="14"/>
      <c r="J23" s="14"/>
      <c r="K23" s="3"/>
      <c r="L23" s="25"/>
      <c r="M23" s="14">
        <f t="shared" si="1"/>
        <v>4472021.0051444015</v>
      </c>
      <c r="N23" s="41"/>
      <c r="O23" s="34">
        <f>'Tiền '!$C$16*H23</f>
        <v>0</v>
      </c>
      <c r="P23" s="34">
        <f t="shared" si="2"/>
        <v>0</v>
      </c>
    </row>
    <row r="24" ht="108">
      <c r="A24" s="12">
        <v>45099</v>
      </c>
      <c r="B24" s="9"/>
      <c r="C24" s="9">
        <v>10</v>
      </c>
      <c r="D24" s="9">
        <v>3</v>
      </c>
      <c r="E24" s="9">
        <v>12</v>
      </c>
      <c r="F24" s="9"/>
      <c r="G24" s="9">
        <v>3</v>
      </c>
      <c r="H24" s="14">
        <f>SUM(B24:G24)</f>
        <v>28</v>
      </c>
      <c r="I24" s="14">
        <f>(B24*'Tiền '!$E$4)+(C24*'Tiền '!$F$4)+(D24*'Tiền '!$G$4)+(E24*'Tiền '!$H$4)+(F24*'Tiền '!$I$4)+(G24*'Tiền '!$J$4)</f>
        <v>266000.29378378217</v>
      </c>
      <c r="J24" s="14">
        <f>(B24*'Tiền '!$E$3)+(C24*'Tiền '!$F$3)+(D24*'Tiền '!$G$3)+(E24*'Tiền '!$H$3)+(F24*'Tiền '!$I$3)+(G24*'Tiền '!$J$3)+'Tiền '!F4+'Tiền '!G4+'Tiền '!K4+4000</f>
        <v>246999.38051518524</v>
      </c>
      <c r="K24" s="3"/>
      <c r="L24" s="3"/>
      <c r="M24" s="14">
        <f t="shared" si="1"/>
        <v>4738021.2989281835</v>
      </c>
      <c r="N24" s="23" t="s">
        <v>65</v>
      </c>
      <c r="O24" s="34">
        <f>'Tiền '!$C$16*H24</f>
        <v>26600</v>
      </c>
      <c r="P24" s="34">
        <f t="shared" si="2"/>
        <v>512999.67429896741</v>
      </c>
    </row>
    <row r="25" ht="108">
      <c r="A25" s="12">
        <v>45100</v>
      </c>
      <c r="B25" s="9">
        <v>3</v>
      </c>
      <c r="C25" s="9">
        <v>11</v>
      </c>
      <c r="D25" s="9"/>
      <c r="E25" s="9">
        <v>10</v>
      </c>
      <c r="F25" s="9">
        <v>1</v>
      </c>
      <c r="G25" s="9">
        <v>3</v>
      </c>
      <c r="H25" s="14">
        <f t="shared" si="0"/>
        <v>28</v>
      </c>
      <c r="I25" s="14">
        <f>(B25*'Tiền '!$E$7)+(C25*'Tiền '!$F$7)+(D25*'Tiền '!$G$7)+(E25*'Tiền '!$H$7)+(F25*'Tiền '!$I$4)+(G25*'Tiền '!$J$4)+'Tiền '!F4+'Tiền '!H4+'Tiền '!K7</f>
        <v>295496.6032870062</v>
      </c>
      <c r="J25" s="14">
        <f>(B25*'Tiền '!$E$6)+(C25*'Tiền '!$F$6)+(D25*'Tiền '!$G$6)+(E25*'Tiền '!$H$6)+(F25*'Tiền '!$I$3)+(G25*'Tiền '!$J$3)+'Tiền '!G6+'Tiền '!H6+'Tiền '!F3+'Tiền '!H3+'Tiền '!K6+2000</f>
        <v>220503.3322011336</v>
      </c>
      <c r="K25" s="3"/>
      <c r="L25" s="3"/>
      <c r="M25" s="14">
        <f t="shared" si="1"/>
        <v>5033517.9022151893</v>
      </c>
      <c r="N25" s="23" t="s">
        <v>66</v>
      </c>
      <c r="O25" s="34">
        <f>'Tiền '!$C$16*H25+'Tiền '!B16+3</f>
        <v>27663</v>
      </c>
      <c r="P25" s="34">
        <f t="shared" si="2"/>
        <v>515999.9354881398</v>
      </c>
    </row>
    <row r="26" ht="108">
      <c r="A26" s="12">
        <v>45101</v>
      </c>
      <c r="B26" s="9">
        <v>3</v>
      </c>
      <c r="C26" s="9">
        <v>10</v>
      </c>
      <c r="D26" s="9">
        <v>2</v>
      </c>
      <c r="E26" s="9">
        <v>11</v>
      </c>
      <c r="F26" s="9">
        <v>3</v>
      </c>
      <c r="G26" s="9">
        <v>6</v>
      </c>
      <c r="H26" s="14">
        <f t="shared" si="0"/>
        <v>35</v>
      </c>
      <c r="I26" s="14">
        <f>(B26*'Tiền '!$E$7)+(C26*'Tiền '!$F$7)+(D26*'Tiền '!$G$7)+(E26*'Tiền '!$H$7)+(F26*'Tiền '!$I$4)+(G26*'Tiền '!$J$4)+'Tiền '!K7</f>
        <v>354494.97756283946</v>
      </c>
      <c r="J26" s="14">
        <f>(B26*'Tiền '!$E$6)+(C26*'Tiền '!$F$6)+(D26*'Tiền '!$G$6)+(E26*'Tiền '!$H$6)+(F26*'Tiền '!$I$3)+(G26*'Tiền '!$J$3)+'Tiền '!K6+5000</f>
        <v>249505.02243716046</v>
      </c>
      <c r="K26" s="3"/>
      <c r="L26" s="3"/>
      <c r="M26" s="14">
        <f t="shared" si="1"/>
        <v>5388012.8797780285</v>
      </c>
      <c r="N26" s="23" t="s">
        <v>67</v>
      </c>
      <c r="O26" s="34">
        <f>'Tiền '!$C$16*H26</f>
        <v>33250</v>
      </c>
      <c r="P26" s="34">
        <f t="shared" si="2"/>
        <v>603999.99999999988</v>
      </c>
    </row>
    <row r="27" ht="126">
      <c r="A27" s="12">
        <v>45102</v>
      </c>
      <c r="B27" s="9">
        <v>1</v>
      </c>
      <c r="C27" s="9">
        <v>9</v>
      </c>
      <c r="D27" s="9">
        <v>2</v>
      </c>
      <c r="E27" s="9">
        <v>13</v>
      </c>
      <c r="F27" s="9">
        <v>1</v>
      </c>
      <c r="G27" s="9">
        <v>2</v>
      </c>
      <c r="H27" s="14">
        <f t="shared" si="0"/>
        <v>28</v>
      </c>
      <c r="I27" s="14">
        <f>(B27*'Tiền '!$E$7)+(C27*'Tiền '!$F$7)+(D27*'Tiền '!$G$7)+(E27*'Tiền '!$H$7)+(F27*'Tiền '!$I$4)+(G27*'Tiền '!$J$4)+18000+8000</f>
        <v>298496.98818689235</v>
      </c>
      <c r="J27" s="14">
        <f>(B27*'Tiền '!$E$6)+(C27*'Tiền '!$F$6)+(D27*'Tiền '!$G$6)+(E27*'Tiền '!$H$6)+(F27*'Tiền '!$I$3)+(G27*'Tiền '!$J$3)+('Tiền '!J3*3)+('Tiền '!I3*2)+13000</f>
        <v>240504.68668650708</v>
      </c>
      <c r="K27" s="3"/>
      <c r="L27" s="3"/>
      <c r="M27" s="14">
        <f t="shared" si="1"/>
        <v>5686509.8679649206</v>
      </c>
      <c r="N27" s="23" t="s">
        <v>68</v>
      </c>
      <c r="O27" s="34">
        <f>('Tiền '!$C$16*H27)+('Tiền '!B16*5)</f>
        <v>31900</v>
      </c>
      <c r="P27" s="34">
        <f t="shared" si="2"/>
        <v>539001.67487339943</v>
      </c>
    </row>
    <row r="28" ht="108">
      <c r="A28" s="12">
        <v>45103</v>
      </c>
      <c r="B28" s="9">
        <v>1</v>
      </c>
      <c r="C28" s="9">
        <v>13</v>
      </c>
      <c r="D28" s="9"/>
      <c r="E28" s="9">
        <v>18</v>
      </c>
      <c r="F28" s="9">
        <v>4</v>
      </c>
      <c r="G28" s="9">
        <v>1</v>
      </c>
      <c r="H28" s="14">
        <f t="shared" si="0"/>
        <v>37</v>
      </c>
      <c r="I28" s="14">
        <f>(B28*'Tiền '!$E$7)+(C28*'Tiền '!$F$7)+(D28*'Tiền '!$G$7)+(E28*'Tiền '!$H$7)+(F28*'Tiền '!$I$4)+(G28*'Tiền '!$J$4)+'Tiền '!H4</f>
        <v>366494.545165458</v>
      </c>
      <c r="J28" s="14">
        <f>(B28*'Tiền '!$E$6)+(C28*'Tiền '!$F$6)+(D28*'Tiền '!$G$6)+(E28*'Tiền '!$H$6)+(F28*'Tiền '!$I$3)+(G28*'Tiền '!$J$3)+3000+'Tiền '!E6+'Tiền '!H3</f>
        <v>264005.74054882769</v>
      </c>
      <c r="K28" s="3"/>
      <c r="L28" s="3"/>
      <c r="M28" s="14">
        <f t="shared" si="1"/>
        <v>6053004.4131303784</v>
      </c>
      <c r="N28" s="23" t="s">
        <v>69</v>
      </c>
      <c r="O28" s="34">
        <f>'Tiền '!$C$16*H28</f>
        <v>35150</v>
      </c>
      <c r="P28" s="34">
        <f t="shared" si="2"/>
        <v>630500.28571428568</v>
      </c>
    </row>
    <row r="29" ht="108">
      <c r="A29" s="12">
        <v>45104</v>
      </c>
      <c r="B29" s="9">
        <v>5</v>
      </c>
      <c r="C29" s="9">
        <v>13</v>
      </c>
      <c r="D29" s="9"/>
      <c r="E29" s="9">
        <v>15</v>
      </c>
      <c r="F29" s="9">
        <v>2</v>
      </c>
      <c r="G29" s="9">
        <v>1</v>
      </c>
      <c r="H29" s="14">
        <f t="shared" si="0"/>
        <v>36</v>
      </c>
      <c r="I29" s="14">
        <f>(B29*'Tiền '!$E$7)+(C29*'Tiền '!$F$7)+(D29*'Tiền '!$G$7)+(E29*'Tiền '!$H$7)+(F29*'Tiền '!$I$4)+(G29*'Tiền '!$J$4)</f>
        <v>336495.1409289724</v>
      </c>
      <c r="J29" s="14">
        <f>(B29*'Tiền '!$E$6)+(C29*'Tiền '!$F$6)+(D29*'Tiền '!$G$6)+(E29*'Tiền '!$H$6)+(F29*'Tiền '!$I$3)+(G29*'Tiền '!$J$3)+13000</f>
        <v>242504.85907102763</v>
      </c>
      <c r="K29" s="3"/>
      <c r="L29" s="3"/>
      <c r="M29" s="14">
        <f t="shared" si="1"/>
        <v>6389499.5540593509</v>
      </c>
      <c r="N29" s="23" t="s">
        <v>70</v>
      </c>
      <c r="O29" s="34">
        <f>'Tiền '!$C$16*H29</f>
        <v>34200</v>
      </c>
      <c r="P29" s="34">
        <f t="shared" si="2"/>
        <v>579000</v>
      </c>
    </row>
    <row r="30" ht="108">
      <c r="A30" s="12">
        <v>45105</v>
      </c>
      <c r="B30" s="9">
        <v>1</v>
      </c>
      <c r="C30" s="9">
        <v>25</v>
      </c>
      <c r="D30" s="9">
        <v>3</v>
      </c>
      <c r="E30" s="9">
        <v>6</v>
      </c>
      <c r="F30" s="9">
        <v>4</v>
      </c>
      <c r="G30" s="9">
        <v>4</v>
      </c>
      <c r="H30" s="14">
        <f t="shared" si="0"/>
        <v>43</v>
      </c>
      <c r="I30" s="14">
        <f>(B30*'Tiền '!$E$7)+(C30*'Tiền '!$F$7)+(D30*'Tiền '!$G$7)+(E30*'Tiền '!$H$7)+(F30*'Tiền '!$I$4)+(G30*'Tiền '!$J$4)</f>
        <v>410502.3598140644</v>
      </c>
      <c r="J30" s="14">
        <f>(B30*'Tiền '!$E$6)+(C30*'Tiền '!$F$6)+(D30*'Tiền '!$G$6)+(E30*'Tiền '!$H$6)+(F30*'Tiền '!$I$3)+(G30*'Tiền '!$J$3)</f>
        <v>281497.6401859356</v>
      </c>
      <c r="K30" s="3"/>
      <c r="L30" s="3"/>
      <c r="M30" s="14">
        <f t="shared" si="1"/>
        <v>6800001.9138734154</v>
      </c>
      <c r="N30" s="23" t="s">
        <v>71</v>
      </c>
      <c r="O30" s="34">
        <f>'Tiền '!$C$16*H30</f>
        <v>40850</v>
      </c>
      <c r="P30" s="34">
        <f t="shared" si="2"/>
        <v>692000</v>
      </c>
    </row>
    <row r="31" ht="90">
      <c r="A31" s="12">
        <v>45106</v>
      </c>
      <c r="B31" s="9"/>
      <c r="C31" s="9">
        <v>24</v>
      </c>
      <c r="D31" s="9">
        <v>2</v>
      </c>
      <c r="E31" s="9">
        <v>9</v>
      </c>
      <c r="F31" s="9">
        <v>2</v>
      </c>
      <c r="G31" s="9">
        <v>3</v>
      </c>
      <c r="H31" s="14">
        <f t="shared" si="0"/>
        <v>40</v>
      </c>
      <c r="I31" s="14">
        <f>(B31*'Tiền '!$E$7)+(C31*'Tiền '!$F$7)+(D31*'Tiền '!$G$7)+(E31*'Tiền '!$H$7)+(F31*'Tiền '!$I$4)+(G31*'Tiền '!$J$4)</f>
        <v>382001.89060401631</v>
      </c>
      <c r="J31" s="14">
        <f>(B31*'Tiền '!$E$6)+(C31*'Tiền '!$F$6)+(D31*'Tiền '!$G$6)+(E31*'Tiền '!$H$6)+(F31*'Tiền '!$I$3)+(G31*'Tiền '!$J$3)+'Tiền '!K6+12000</f>
        <v>280998.57754245016</v>
      </c>
      <c r="K31" s="3"/>
      <c r="L31" s="3"/>
      <c r="M31" s="14">
        <f t="shared" si="1"/>
        <v>7182003.8044774318</v>
      </c>
      <c r="N31" s="23" t="s">
        <v>72</v>
      </c>
      <c r="O31" s="34">
        <f>'Tiền '!$C$16*H31</f>
        <v>38000</v>
      </c>
      <c r="P31" s="34">
        <f t="shared" si="2"/>
        <v>663000.46814646642</v>
      </c>
    </row>
    <row r="32" ht="108">
      <c r="A32" s="48">
        <v>45107</v>
      </c>
      <c r="B32" s="49">
        <v>1</v>
      </c>
      <c r="C32" s="49">
        <v>16</v>
      </c>
      <c r="D32" s="49">
        <v>4</v>
      </c>
      <c r="E32" s="49">
        <v>14</v>
      </c>
      <c r="F32" s="49">
        <v>3</v>
      </c>
      <c r="G32" s="49">
        <v>2</v>
      </c>
      <c r="H32" s="46">
        <f t="shared" si="0"/>
        <v>40</v>
      </c>
      <c r="I32" s="14">
        <f>(B32*'Tiền '!$E$7)+(C32*'Tiền '!$F$7)+(D32*'Tiền '!$G$7)+(E32*'Tiền '!$H$7)+(F32*'Tiền '!$I$4)+(G32*'Tiền '!$J$4)</f>
        <v>385498.49851294624</v>
      </c>
      <c r="J32" s="14">
        <f>(B32*'Tiền '!$E$6)+(C32*'Tiền '!$F$6)+(D32*'Tiền '!$G$6)+(E32*'Tiền '!$H$6)+(F32*'Tiền '!$I$3)+(G32*'Tiền '!$J$3)+14000</f>
        <v>280501.5014870537</v>
      </c>
      <c r="K32" s="3"/>
      <c r="L32" s="3"/>
      <c r="M32" s="14">
        <f t="shared" si="1"/>
        <v>7567502.3029903779</v>
      </c>
      <c r="N32" s="67" t="s">
        <v>73</v>
      </c>
      <c r="O32" s="34">
        <f>'Tiền '!$C$16*H32</f>
        <v>38000</v>
      </c>
      <c r="P32" s="34">
        <f t="shared" si="2"/>
        <v>666000</v>
      </c>
    </row>
    <row r="33" ht="18" s="54" customFormat="1">
      <c r="A33" s="51"/>
      <c r="B33" s="50"/>
      <c r="C33" s="50"/>
      <c r="D33" s="50"/>
      <c r="E33" s="50"/>
      <c r="F33" s="50"/>
      <c r="G33" s="50"/>
      <c r="H33" s="50"/>
      <c r="I33" s="52"/>
      <c r="J33" s="52"/>
      <c r="K33" s="50"/>
      <c r="L33" s="50"/>
      <c r="M33" s="53"/>
      <c r="N33" s="50"/>
      <c r="O33" s="63">
        <f>SUM(O7:O32)</f>
        <v>764573</v>
      </c>
    </row>
    <row r="34" ht="18">
      <c r="I34" s="4"/>
      <c r="J34" s="4"/>
      <c r="M34" s="25"/>
      <c r="N34" s="3"/>
      <c r="O34" s="34">
        <f>294000+22000+27000+35000+17000+28000+17000+27000+27000+28000+33000+34000+35000+32000+41000+38000+38000</f>
        <v>773000</v>
      </c>
    </row>
  </sheetData>
  <mergeCells>
    <mergeCell ref="A1:I1"/>
    <mergeCell ref="K1:L1"/>
    <mergeCell ref="K2:L2"/>
    <mergeCell ref="K3:L3"/>
    <mergeCell ref="K4:L4"/>
  </mergeCells>
  <phoneticPr fontId="0" type="noConversion"/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B491-672C-4E4B-A341-0909249EBAB2}">
  <dimension ref="A1:R7036"/>
  <sheetViews>
    <sheetView zoomScale="61" zoomScaleNormal="85" workbookViewId="0">
      <selection activeCell="P5" sqref="P5"/>
    </sheetView>
  </sheetViews>
  <sheetFormatPr defaultColWidth="8.7109375" defaultRowHeight="14.25"/>
  <cols>
    <col min="1" max="1" bestFit="1" width="16" customWidth="1" style="28"/>
    <col min="2" max="2" bestFit="1" width="14.42578125" customWidth="1" style="28"/>
    <col min="3" max="3" bestFit="1" width="14.5703125" customWidth="1" style="28"/>
    <col min="4" max="4" bestFit="1" width="9.42578125" customWidth="1" style="28"/>
    <col min="5" max="5" bestFit="1" width="15.7109375" customWidth="1" style="28"/>
    <col min="6" max="6" bestFit="1" width="8.85546875" customWidth="1" style="28"/>
    <col min="7" max="7" bestFit="1" width="15.28515625" customWidth="1" style="28"/>
    <col min="8" max="8" bestFit="1" width="10.140625" customWidth="1" style="28"/>
    <col min="9" max="9" bestFit="1" width="11.140625" customWidth="1" style="28"/>
    <col min="10" max="10" bestFit="1" width="12.5703125" customWidth="1" style="28"/>
    <col min="11" max="11" bestFit="1" width="11.85546875" customWidth="1" style="28"/>
    <col min="12" max="12" bestFit="1" width="15.42578125" customWidth="1" style="28"/>
    <col min="13" max="13" bestFit="1" width="14.140625" customWidth="1" style="28"/>
    <col min="14" max="14" width="14.7109375" customWidth="1" style="28"/>
    <col min="15" max="15" bestFit="1" width="20.85546875" customWidth="1" style="28"/>
    <col min="16" max="16" bestFit="1" width="13.140625" customWidth="1" style="28"/>
    <col min="17" max="17" bestFit="1" width="9.5703125" customWidth="1" style="34"/>
    <col min="18" max="24" width="8.7109375" customWidth="1" style="28"/>
    <col min="25" max="16384" width="8.7109375" customWidth="1" style="28"/>
  </cols>
  <sheetData>
    <row r="1" ht="2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15</v>
      </c>
      <c r="L1" s="79"/>
      <c r="M1" s="3"/>
      <c r="N1" s="3"/>
    </row>
    <row r="2" ht="18">
      <c r="A2" s="6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/>
      <c r="L2" s="83"/>
      <c r="M2" s="20" t="s">
        <v>74</v>
      </c>
      <c r="N2" s="20" t="s">
        <v>75</v>
      </c>
    </row>
    <row r="3" ht="90">
      <c r="A3" s="12">
        <v>45108</v>
      </c>
      <c r="B3" s="9">
        <v>3</v>
      </c>
      <c r="C3" s="9">
        <v>13</v>
      </c>
      <c r="D3" s="9">
        <v>17</v>
      </c>
      <c r="E3" s="9">
        <v>4</v>
      </c>
      <c r="F3" s="9">
        <v>3</v>
      </c>
      <c r="G3" s="9">
        <v>5</v>
      </c>
      <c r="H3" s="14">
        <f>SUM(B3:G3)</f>
        <v>45</v>
      </c>
      <c r="I3" s="14">
        <f>(B3*'Tiền '!$E$7)+(C3*'Tiền '!$F$7)+(D3*'Tiền '!$G$7)+(E3*'Tiền '!$H$7)+(F3*'Tiền '!$I$4)+(G3*'Tiền '!$J$4)</f>
        <v>439505.7630575471</v>
      </c>
      <c r="J3" s="14">
        <f>(B3*'Tiền '!$E$6)+(C3*'Tiền '!$F$6)+(D3*'Tiền '!$G$6)+(E3*'Tiền '!$H$6)+(F3*'Tiền '!$I$3)+(G3*'Tiền '!$J$3)+16000</f>
        <v>318494.2369424529</v>
      </c>
      <c r="K3" s="79" t="s">
        <v>12</v>
      </c>
      <c r="L3" s="79"/>
      <c r="M3" s="14">
        <f>I3</f>
        <v>439505.7630575471</v>
      </c>
      <c r="N3" s="31" t="s">
        <v>76</v>
      </c>
      <c r="O3" s="68"/>
      <c r="P3" s="69"/>
      <c r="Q3" s="34">
        <f>'Tiền '!$D$16*H3</f>
        <v>39150</v>
      </c>
      <c r="R3" s="34">
        <f>I3+J3</f>
        <v>758000</v>
      </c>
    </row>
    <row r="4" ht="90">
      <c r="A4" s="12">
        <v>45109</v>
      </c>
      <c r="B4" s="9">
        <v>4</v>
      </c>
      <c r="C4" s="9">
        <v>14</v>
      </c>
      <c r="D4" s="9">
        <v>12</v>
      </c>
      <c r="E4" s="9">
        <v>2</v>
      </c>
      <c r="F4" s="9">
        <v>6</v>
      </c>
      <c r="G4" s="9">
        <v>5</v>
      </c>
      <c r="H4" s="14">
        <f ref="H4:H32" t="shared" si="0">SUM(B4:G4)</f>
        <v>43</v>
      </c>
      <c r="I4" s="14">
        <f>(B4*'Tiền '!$E$7)+(C4*'Tiền '!$F$7)+(D4*'Tiền '!$G$7)+(E4*'Tiền '!$H$7)+(F4*'Tiền '!$I$4)+(G4*'Tiền '!$J$4)+'Tiền '!K7*2</f>
        <v>436002.19112316176</v>
      </c>
      <c r="J4" s="14">
        <f>(B4*'Tiền '!$E$6)+(C4*'Tiền '!$F$6)+(D4*'Tiền '!$G$6)+(E4*'Tiền '!$H$6)+(F4*'Tiền '!$I$3)+(G4*'Tiền '!$J$3)+('Tiền '!K6*2)+33000</f>
        <v>336997.80887683819</v>
      </c>
      <c r="K4" s="80">
        <f>SUM(J3:J34)</f>
        <v>8503572.877014678</v>
      </c>
      <c r="L4" s="81"/>
      <c r="M4" s="14">
        <f>I4+M3</f>
        <v>875507.95418070885</v>
      </c>
      <c r="N4" s="23" t="s">
        <v>77</v>
      </c>
      <c r="O4" s="68" t="s">
        <v>22</v>
      </c>
      <c r="P4" s="69">
        <v>2948000</v>
      </c>
      <c r="Q4" s="34">
        <f>'Tiền '!$D$16*H4</f>
        <v>37410</v>
      </c>
      <c r="R4" s="34">
        <f ref="R4:R33" t="shared" si="1">I4+J4</f>
        <v>773000</v>
      </c>
    </row>
    <row r="5" ht="108">
      <c r="A5" s="12">
        <v>45110</v>
      </c>
      <c r="B5" s="9">
        <v>1</v>
      </c>
      <c r="C5" s="9">
        <v>14</v>
      </c>
      <c r="D5" s="9">
        <v>8</v>
      </c>
      <c r="E5" s="9">
        <v>1</v>
      </c>
      <c r="F5" s="9">
        <v>3</v>
      </c>
      <c r="G5" s="9">
        <v>1</v>
      </c>
      <c r="H5" s="14">
        <f t="shared" si="0"/>
        <v>28</v>
      </c>
      <c r="I5" s="14">
        <f>(B5*'Tiền '!$E$7)+(C5*'Tiền '!$F$7)+(D5*'Tiền '!$G$7)+(E5*'Tiền '!$H$7)+(F5*'Tiền '!$I$4)+(G5*'Tiền '!$J$4)</f>
        <v>265504.95732832223</v>
      </c>
      <c r="J5" s="14">
        <f>(B5*'Tiền '!$E$6)+(C5*'Tiền '!$F$6)+(D5*'Tiền '!$G$6)+(E5*'Tiền '!$H$6)+(F5*'Tiền '!$I$3)+(G5*'Tiền '!$J$3)+16000</f>
        <v>199495.04267167774</v>
      </c>
      <c r="K5" s="9"/>
      <c r="L5" s="41"/>
      <c r="M5" s="14">
        <f ref="M5:M33" t="shared" si="2">I5+M4</f>
        <v>1141012.911509031</v>
      </c>
      <c r="N5" s="72" t="s">
        <v>78</v>
      </c>
      <c r="P5" s="34">
        <f>P4+452000+543000-50000+392000-500000</f>
        <v>3785000</v>
      </c>
      <c r="Q5" s="34">
        <f>'Tiền '!$D$16*H5</f>
        <v>24360</v>
      </c>
      <c r="R5" s="34">
        <f t="shared" si="1"/>
        <v>465000</v>
      </c>
    </row>
    <row r="6" ht="90">
      <c r="A6" s="12">
        <v>45111</v>
      </c>
      <c r="B6" s="9">
        <v>2</v>
      </c>
      <c r="C6" s="9">
        <v>19</v>
      </c>
      <c r="D6" s="9">
        <v>20</v>
      </c>
      <c r="E6" s="9">
        <v>2</v>
      </c>
      <c r="F6" s="9"/>
      <c r="G6" s="9">
        <v>3</v>
      </c>
      <c r="H6" s="14">
        <f t="shared" si="0"/>
        <v>46</v>
      </c>
      <c r="I6" s="14">
        <f>(B6*'Tiền '!$E$7)+(C6*'Tiền '!$F$7)+(D6*'Tiền '!$G$7)+(E6*'Tiền '!$H$7)+(F6*'Tiền '!$I$4)+(G6*'Tiền '!$J$4)+6000</f>
        <v>448011.3998949161</v>
      </c>
      <c r="J6" s="14">
        <f>(B6*'Tiền '!$E$6)+(C6*'Tiền '!$F$6)+(D6*'Tiền '!$G$6)+(E6*'Tiền '!$H$6)+(F6*'Tiền '!$I$3)+(G6*'Tiền '!$J$3)+10000</f>
        <v>310988.6001050839</v>
      </c>
      <c r="K6" s="9"/>
      <c r="L6" s="11" t="s">
        <v>48</v>
      </c>
      <c r="M6" s="14">
        <f t="shared" si="2"/>
        <v>1589024.311403947</v>
      </c>
      <c r="N6" s="23" t="s">
        <v>79</v>
      </c>
      <c r="O6" s="34"/>
      <c r="Q6" s="34">
        <f>'Tiền '!$D$16*H6</f>
        <v>40020</v>
      </c>
      <c r="R6" s="34">
        <f t="shared" si="1"/>
        <v>759000</v>
      </c>
    </row>
    <row r="7" ht="90">
      <c r="A7" s="12">
        <v>45112</v>
      </c>
      <c r="B7" s="9">
        <v>5</v>
      </c>
      <c r="C7" s="9">
        <v>14</v>
      </c>
      <c r="D7" s="9">
        <v>1</v>
      </c>
      <c r="E7" s="9">
        <v>22</v>
      </c>
      <c r="F7" s="9">
        <v>5</v>
      </c>
      <c r="G7" s="9">
        <v>2</v>
      </c>
      <c r="H7" s="14">
        <f t="shared" si="0"/>
        <v>49</v>
      </c>
      <c r="I7" s="14">
        <f>(B7*'Tiền '!$E$7)+(C7*'Tiền '!$F$7)+(D7*'Tiền '!$G$7)+(E7*'Tiền '!$H$7)+(F7*'Tiền '!$I$4)+(G7*'Tiền '!$J$4)</f>
        <v>467491.74524231034</v>
      </c>
      <c r="J7" s="14">
        <f>(B7*'Tiền '!$E$6)+(C7*'Tiền '!$F$6)+(D7*'Tiền '!$G$6)+(E7*'Tiền '!$H$6)+(F7*'Tiền '!$I$3)+(G7*'Tiền '!$J$3)+14000</f>
        <v>337508.25475768966</v>
      </c>
      <c r="K7" s="9">
        <v>1000</v>
      </c>
      <c r="L7" s="9">
        <v>0</v>
      </c>
      <c r="M7" s="14">
        <f t="shared" si="2"/>
        <v>2056516.0566462572</v>
      </c>
      <c r="N7" s="23" t="s">
        <v>80</v>
      </c>
      <c r="O7" s="28" t="s">
        <v>48</v>
      </c>
      <c r="Q7" s="34">
        <f>'Tiền '!$D$16*H7</f>
        <v>42630</v>
      </c>
      <c r="R7" s="34">
        <f t="shared" si="1"/>
        <v>805000</v>
      </c>
    </row>
    <row r="8" ht="126">
      <c r="A8" s="12">
        <v>45113</v>
      </c>
      <c r="B8" s="9"/>
      <c r="C8" s="9">
        <v>17</v>
      </c>
      <c r="D8" s="9">
        <v>1</v>
      </c>
      <c r="E8" s="9">
        <v>10</v>
      </c>
      <c r="F8" s="9"/>
      <c r="G8" s="9">
        <v>6</v>
      </c>
      <c r="H8" s="14">
        <f t="shared" si="0"/>
        <v>34</v>
      </c>
      <c r="I8" s="14">
        <f>(B8*'Tiền '!$E$7)+(C8*'Tiền '!$F$7)+(D8*'Tiền '!$G$7)+(E8*'Tiền '!$H$7)+(F8*'Tiền '!$I$4)+(G8*'Tiền '!$J$4)</f>
        <v>334999.16004697396</v>
      </c>
      <c r="J8" s="14">
        <f>(B8*'Tiền '!$E$6)+(C8*'Tiền '!$F$6)+(D8*'Tiền '!$G$6)+(E8*'Tiền '!$H$6)+(F8*'Tiền '!$I$3)+(G8*'Tiền '!$J$3)+20000</f>
        <v>247000.83995302595</v>
      </c>
      <c r="K8" s="9">
        <v>2000</v>
      </c>
      <c r="L8" s="9">
        <v>5</v>
      </c>
      <c r="M8" s="14">
        <f t="shared" si="2"/>
        <v>2391515.2166932309</v>
      </c>
      <c r="N8" s="23" t="s">
        <v>81</v>
      </c>
      <c r="Q8" s="34">
        <f>'Tiền '!$D$16*H8</f>
        <v>29580</v>
      </c>
      <c r="R8" s="34">
        <f t="shared" si="1"/>
        <v>581999.99999999988</v>
      </c>
    </row>
    <row r="9" ht="108">
      <c r="A9" s="12">
        <v>45114</v>
      </c>
      <c r="B9" s="14"/>
      <c r="C9" s="14">
        <v>14</v>
      </c>
      <c r="D9" s="14">
        <v>2</v>
      </c>
      <c r="E9" s="14">
        <v>21</v>
      </c>
      <c r="F9" s="14">
        <v>3</v>
      </c>
      <c r="G9" s="14">
        <v>4</v>
      </c>
      <c r="H9" s="14">
        <f t="shared" si="0"/>
        <v>44</v>
      </c>
      <c r="I9" s="14">
        <f>(B9*'Tiền '!$E$7)+(C9*'Tiền '!$F$7)+(D9*'Tiền '!$G$7)+(E9*'Tiền '!$H$7)+(F9*'Tiền '!$I$4)+(G9*'Tiền '!$J$4)</f>
        <v>433994.1532625978</v>
      </c>
      <c r="J9" s="14">
        <f>(B9*'Tiền '!$E$6)+(C9*'Tiền '!$F$6)+(D9*'Tiền '!$G$6)+(E9*'Tiền '!$H$6)+(F9*'Tiền '!$I$3)+(G9*'Tiền '!$J$3)+24000</f>
        <v>325005.8467374022</v>
      </c>
      <c r="K9" s="14">
        <v>5000</v>
      </c>
      <c r="L9" s="14">
        <v>14</v>
      </c>
      <c r="M9" s="14">
        <f t="shared" si="2"/>
        <v>2825509.3699558289</v>
      </c>
      <c r="N9" s="31" t="s">
        <v>82</v>
      </c>
      <c r="Q9" s="34">
        <f>'Tiền '!$D$16*H9</f>
        <v>38280</v>
      </c>
      <c r="R9" s="34">
        <f t="shared" si="1"/>
        <v>759000</v>
      </c>
    </row>
    <row r="10" ht="18">
      <c r="A10" s="12">
        <v>45115</v>
      </c>
      <c r="B10" s="14"/>
      <c r="C10" s="14"/>
      <c r="D10" s="14"/>
      <c r="E10" s="14"/>
      <c r="F10" s="14"/>
      <c r="G10" s="14"/>
      <c r="H10" s="14">
        <f t="shared" si="0"/>
        <v>0</v>
      </c>
      <c r="I10" s="14">
        <f>(B10*'Tiền '!$E$7)+(C10*'Tiền '!$F$7)+(D10*'Tiền '!$G$7)+(E10*'Tiền '!$H$7)+(F10*'Tiền '!$I$4)+(G10*'Tiền '!$J$4)</f>
        <v>0</v>
      </c>
      <c r="J10" s="14">
        <f>(B10*'Tiền '!$E$6)+(C10*'Tiền '!$F$6)+(D10*'Tiền '!$G$6)+(E10*'Tiền '!$H$6)+(F10*'Tiền '!$I$3)+(G10*'Tiền '!$J$3)</f>
        <v>0</v>
      </c>
      <c r="K10" s="14">
        <v>10000</v>
      </c>
      <c r="L10" s="14">
        <v>57</v>
      </c>
      <c r="M10" s="14">
        <f t="shared" si="2"/>
        <v>2825509.3699558289</v>
      </c>
      <c r="N10" s="31"/>
      <c r="Q10" s="34">
        <f>'Tiền '!$D$16*H10</f>
        <v>0</v>
      </c>
      <c r="R10" s="34">
        <f t="shared" si="1"/>
        <v>0</v>
      </c>
    </row>
    <row r="11" ht="126">
      <c r="A11" s="12">
        <v>45116</v>
      </c>
      <c r="B11" s="14">
        <v>5</v>
      </c>
      <c r="C11" s="14">
        <v>11</v>
      </c>
      <c r="D11" s="14">
        <v>3</v>
      </c>
      <c r="E11" s="14">
        <v>12</v>
      </c>
      <c r="F11" s="14">
        <v>1</v>
      </c>
      <c r="G11" s="14">
        <v>4</v>
      </c>
      <c r="H11" s="14">
        <f t="shared" si="0"/>
        <v>36</v>
      </c>
      <c r="I11" s="14">
        <f>(B11*'Tiền '!$E$7)+(C11*'Tiền '!$F$7)+(D11*'Tiền '!$G$7)+(E11*'Tiền '!$H$7)+(F11*'Tiền '!$I$4)+(G11*'Tiền '!$J$4)</f>
        <v>344496.56405309873</v>
      </c>
      <c r="J11" s="14">
        <f>(B11*'Tiền '!$E$6)+(C11*'Tiền '!$F$6)+(D11*'Tiền '!$G$6)+(E11*'Tiền '!$H$6)+(F11*'Tiền '!$I$3)+(G11*'Tiền '!$J$3)+13000</f>
        <v>246503.4359469013</v>
      </c>
      <c r="K11" s="14">
        <v>20000</v>
      </c>
      <c r="L11" s="14">
        <v>18</v>
      </c>
      <c r="M11" s="14">
        <v>6</v>
      </c>
      <c r="N11" s="31" t="s">
        <v>83</v>
      </c>
      <c r="Q11" s="34">
        <f>'Tiền '!$D$16*H11</f>
        <v>31320</v>
      </c>
      <c r="R11" s="34">
        <f t="shared" si="1"/>
        <v>591000</v>
      </c>
    </row>
    <row r="12" ht="72">
      <c r="A12" s="12">
        <v>45117</v>
      </c>
      <c r="B12" s="14"/>
      <c r="C12" s="14">
        <v>17</v>
      </c>
      <c r="D12" s="14">
        <v>1</v>
      </c>
      <c r="E12" s="14">
        <v>18</v>
      </c>
      <c r="F12" s="14">
        <v>4</v>
      </c>
      <c r="G12" s="14">
        <v>1</v>
      </c>
      <c r="H12" s="14">
        <f t="shared" si="0"/>
        <v>41</v>
      </c>
      <c r="I12" s="14">
        <f>(B12*'Tiền '!$E$7)+(C12*'Tiền '!$F$7)+(D12*'Tiền '!$G$7)+(E12*'Tiền '!$H$7)+(F12*'Tiền '!$I$4)+(G12*'Tiền '!$J$4)</f>
        <v>394996.12597315264</v>
      </c>
      <c r="J12" s="14">
        <f>(B12*'Tiền '!$E$6)+(C12*'Tiền '!$F$6)+(D12*'Tiền '!$G$6)+(E12*'Tiền '!$H$6)+(F12*'Tiền '!$I$3)+(G12*'Tiền '!$J$3)+14000</f>
        <v>289003.87402684736</v>
      </c>
      <c r="K12" s="14">
        <v>50000</v>
      </c>
      <c r="L12" s="14">
        <v>6</v>
      </c>
      <c r="M12" s="14">
        <v>3572000</v>
      </c>
      <c r="N12" s="31" t="s">
        <v>84</v>
      </c>
      <c r="Q12" s="34">
        <f>'Tiền '!$D$16*H12</f>
        <v>35670</v>
      </c>
      <c r="R12" s="34">
        <f t="shared" si="1"/>
        <v>684000</v>
      </c>
    </row>
    <row r="13" ht="108">
      <c r="A13" s="12">
        <v>45118</v>
      </c>
      <c r="B13" s="14"/>
      <c r="C13" s="14">
        <v>15</v>
      </c>
      <c r="D13" s="14">
        <v>1</v>
      </c>
      <c r="E13" s="14">
        <v>17</v>
      </c>
      <c r="F13" s="14">
        <v>2</v>
      </c>
      <c r="G13" s="14">
        <v>1</v>
      </c>
      <c r="H13" s="14">
        <f t="shared" si="0"/>
        <v>36</v>
      </c>
      <c r="I13" s="14">
        <f>(B13*'Tiền '!$E$7)+(C13*'Tiền '!$F$7)+(D13*'Tiền '!$G$7)+(E13*'Tiền '!$H$7)+(F13*'Tiền '!$I$4)+(G13*'Tiền '!$J$4)</f>
        <v>346996.76341730228</v>
      </c>
      <c r="J13" s="14">
        <f>(B13*'Tiền '!$E$6)+(C13*'Tiền '!$F$6)+(D13*'Tiền '!$G$6)+(E13*'Tiền '!$H$6)+(F13*'Tiền '!$I$3)+(G13*'Tiền '!$J$3)+26000</f>
        <v>266003.2365826976</v>
      </c>
      <c r="K13" s="14">
        <v>100000</v>
      </c>
      <c r="L13" s="14">
        <v>0</v>
      </c>
      <c r="M13" s="14">
        <f>I13+M12</f>
        <v>3918996.7634173022</v>
      </c>
      <c r="N13" s="31" t="s">
        <v>85</v>
      </c>
      <c r="O13" s="34"/>
      <c r="Q13" s="34">
        <f>'Tiền '!$D$16*H13</f>
        <v>31320</v>
      </c>
      <c r="R13" s="34">
        <f t="shared" si="1"/>
        <v>612999.99999999988</v>
      </c>
    </row>
    <row r="14" ht="108">
      <c r="A14" s="12">
        <v>45119</v>
      </c>
      <c r="B14" s="14">
        <v>4</v>
      </c>
      <c r="C14" s="14">
        <v>14</v>
      </c>
      <c r="D14" s="14">
        <v>1</v>
      </c>
      <c r="E14" s="14">
        <v>16</v>
      </c>
      <c r="F14" s="14">
        <v>6</v>
      </c>
      <c r="G14" s="14"/>
      <c r="H14" s="14">
        <f t="shared" si="0"/>
        <v>41</v>
      </c>
      <c r="I14" s="14">
        <f>(B14*'Tiền '!$E$7)+(C14*'Tiền '!$F$7)+(D14*'Tiền '!$G$7)+(E14*'Tiền '!$H$7)+(F14*'Tiền '!$I$4)+(G14*'Tiền '!$J$4)</f>
        <v>385994.51319331309</v>
      </c>
      <c r="J14" s="14">
        <f>(B14*'Tiền '!$E$6)+(C14*'Tiền '!$F$6)+(D14*'Tiền '!$G$6)+(E14*'Tiền '!$H$6)+(F14*'Tiền '!$I$3)+(G14*'Tiền '!$J$3)+20000</f>
        <v>289005.48680668691</v>
      </c>
      <c r="K14" s="14">
        <v>200000</v>
      </c>
      <c r="L14" s="14">
        <v>1</v>
      </c>
      <c r="M14" s="14">
        <f t="shared" si="2"/>
        <v>4304991.2766106157</v>
      </c>
      <c r="N14" s="31" t="s">
        <v>86</v>
      </c>
      <c r="O14" s="34"/>
      <c r="Q14" s="34">
        <f>'Tiền '!$D$16*H14</f>
        <v>35670</v>
      </c>
      <c r="R14" s="34">
        <f t="shared" si="1"/>
        <v>675000</v>
      </c>
    </row>
    <row r="15" ht="90" s="3" customFormat="1">
      <c r="A15" s="12">
        <v>45120</v>
      </c>
      <c r="B15" s="9">
        <v>3</v>
      </c>
      <c r="C15" s="9">
        <v>18</v>
      </c>
      <c r="D15" s="9">
        <v>2</v>
      </c>
      <c r="E15" s="9">
        <v>17</v>
      </c>
      <c r="F15" s="9">
        <v>1</v>
      </c>
      <c r="G15" s="9">
        <v>1</v>
      </c>
      <c r="H15" s="14">
        <f t="shared" si="0"/>
        <v>42</v>
      </c>
      <c r="I15" s="14">
        <f>(B15*'Tiền '!$E$7)+(C15*'Tiền '!$F$7)+(D15*'Tiền '!$G$7)+(E15*'Tiền '!$H$7)+(F15*'Tiền '!$I$4)+(G15*'Tiền '!$J$4)</f>
        <v>396497.4901150628</v>
      </c>
      <c r="J15" s="14">
        <f>(B15*'Tiền '!$E$6)+(C15*'Tiền '!$F$6)+(D15*'Tiền '!$G$6)+(E15*'Tiền '!$H$6)+(F15*'Tiền '!$I$3)+(G15*'Tiền '!$J$3)+18000</f>
        <v>288502.5098849372</v>
      </c>
      <c r="K15" s="14">
        <v>500000</v>
      </c>
      <c r="L15" s="9">
        <v>0</v>
      </c>
      <c r="M15" s="14">
        <f t="shared" si="2"/>
        <v>4701488.766725678</v>
      </c>
      <c r="N15" s="23" t="s">
        <v>87</v>
      </c>
      <c r="O15" s="34"/>
      <c r="Q15" s="34">
        <f>'Tiền '!$D$16*H15</f>
        <v>36540</v>
      </c>
      <c r="R15" s="34">
        <f t="shared" si="1"/>
        <v>685000</v>
      </c>
    </row>
    <row r="16" ht="126">
      <c r="A16" s="12">
        <v>45121</v>
      </c>
      <c r="B16" s="9">
        <v>2</v>
      </c>
      <c r="C16" s="9">
        <v>16</v>
      </c>
      <c r="D16" s="9">
        <v>3</v>
      </c>
      <c r="E16" s="9">
        <v>12</v>
      </c>
      <c r="F16" s="9">
        <v>2</v>
      </c>
      <c r="G16" s="9"/>
      <c r="H16" s="14">
        <f t="shared" si="0"/>
        <v>35</v>
      </c>
      <c r="I16" s="14">
        <f>(B16*'Tiền '!$E$7)+(C16*'Tiền '!$F$7)+(D16*'Tiền '!$G$7)+(E16*'Tiền '!$H$7)+(F16*'Tiền '!$I$4)+(G16*'Tiền '!$J$4)</f>
        <v>328999.51377950824</v>
      </c>
      <c r="J16" s="14">
        <f>(B16*'Tiền '!$E$6)+(C16*'Tiền '!$F$6)+(D16*'Tiền '!$G$6)+(E16*'Tiền '!$H$6)+(F16*'Tiền '!$I$3)+(G16*'Tiền '!$J$3)+15000</f>
        <v>241000.48622049173</v>
      </c>
      <c r="K16" s="11" t="s">
        <v>14</v>
      </c>
      <c r="L16" s="10">
        <f>L7*K7+L8*K8+L9*K9+L10*K10+L11*K11+L12*K12+L13*K13+L14*K14+L15*K15</f>
        <v>1510000</v>
      </c>
      <c r="M16" s="14">
        <f t="shared" si="2"/>
        <v>5030488.2805051859</v>
      </c>
      <c r="N16" s="23" t="s">
        <v>88</v>
      </c>
      <c r="O16" s="34"/>
      <c r="Q16" s="34">
        <f>'Tiền '!$D$16*H16</f>
        <v>30450</v>
      </c>
      <c r="R16" s="34">
        <f t="shared" si="1"/>
        <v>570000</v>
      </c>
    </row>
    <row r="17" ht="108.75">
      <c r="A17" s="12">
        <v>45122</v>
      </c>
      <c r="B17" s="35"/>
      <c r="C17" s="9">
        <v>12</v>
      </c>
      <c r="D17" s="35"/>
      <c r="E17" s="9">
        <v>12</v>
      </c>
      <c r="F17" s="9">
        <v>1</v>
      </c>
      <c r="G17" s="9">
        <v>1</v>
      </c>
      <c r="H17" s="14">
        <f t="shared" si="0"/>
        <v>26</v>
      </c>
      <c r="I17" s="14">
        <f>(B17*'Tiền '!$E$7)+(C17*'Tiền '!$F$7)+(D17*'Tiền '!$G$7)+(E17*'Tiền '!$H$7)+(F17*'Tiền '!$I$4)+(G17*'Tiền '!$J$4)</f>
        <v>249997.83001907586</v>
      </c>
      <c r="J17" s="14">
        <f>(B17*'Tiền '!$E$6)+(C17*'Tiền '!$F$6)+(D17*'Tiền '!$G$6)+(E17*'Tiền '!$H$6)+(F17*'Tiền '!$I$3)+(G17*'Tiền '!$J$3)+52000</f>
        <v>224002.16998092414</v>
      </c>
      <c r="K17" s="35"/>
      <c r="L17" s="14"/>
      <c r="M17" s="14">
        <f t="shared" si="2"/>
        <v>5280486.1105242614</v>
      </c>
      <c r="N17" s="23" t="s">
        <v>89</v>
      </c>
      <c r="Q17" s="34">
        <f>'Tiền '!$D$16*H17+('Tiền '!B16*4)</f>
        <v>26860</v>
      </c>
      <c r="R17" s="34">
        <f t="shared" si="1"/>
        <v>474000</v>
      </c>
    </row>
    <row r="18" ht="90">
      <c r="A18" s="12">
        <v>45123</v>
      </c>
      <c r="B18" s="9">
        <v>6</v>
      </c>
      <c r="C18" s="9">
        <v>11</v>
      </c>
      <c r="D18" s="9"/>
      <c r="E18" s="9">
        <v>23</v>
      </c>
      <c r="F18" s="9">
        <v>2</v>
      </c>
      <c r="G18" s="9">
        <v>8</v>
      </c>
      <c r="H18" s="14">
        <f t="shared" si="0"/>
        <v>50</v>
      </c>
      <c r="I18" s="14">
        <f>(B18*'Tiền '!$E$7)+(C18*'Tiền '!$F$7)+(D18*'Tiền '!$G$7)+(E18*'Tiền '!$H$7)+(F18*'Tiền '!$I$4)+(G18*'Tiền '!$J$4)+'Tiền '!K7</f>
        <v>499988.74847226549</v>
      </c>
      <c r="J18" s="14">
        <f>(B18*'Tiền '!$E$6)+(C18*'Tiền '!$F$6)+(D18*'Tiền '!$G$6)+(E18*'Tiền '!$H$6)+(F18*'Tiền '!$I$3)+(G18*'Tiền '!$J$3)+'Tiền '!K6+59000</f>
        <v>401011.25152773457</v>
      </c>
      <c r="K18" s="9"/>
      <c r="L18" s="14">
        <f>L17-M21</f>
        <v>-6906967.90047719</v>
      </c>
      <c r="M18" s="14">
        <f t="shared" si="2"/>
        <v>5780474.8589965273</v>
      </c>
      <c r="N18" s="23" t="s">
        <v>90</v>
      </c>
      <c r="O18" s="34"/>
      <c r="Q18" s="34">
        <f>'Tiền '!$D$16*H18+'Tiền '!B16*4</f>
        <v>47740</v>
      </c>
      <c r="R18" s="34">
        <f t="shared" si="1"/>
        <v>901000</v>
      </c>
    </row>
    <row r="19" ht="108">
      <c r="A19" s="12">
        <v>45124</v>
      </c>
      <c r="B19" s="9">
        <v>1</v>
      </c>
      <c r="C19" s="9">
        <v>15</v>
      </c>
      <c r="D19" s="9"/>
      <c r="E19" s="9">
        <v>17</v>
      </c>
      <c r="F19" s="9">
        <v>2</v>
      </c>
      <c r="G19" s="9">
        <v>1</v>
      </c>
      <c r="H19" s="14">
        <f t="shared" si="0"/>
        <v>36</v>
      </c>
      <c r="I19" s="14">
        <v>341000</v>
      </c>
      <c r="J19" s="14">
        <f>(B19*'Tiền '!$E$6)+(C19*'Tiền '!$F$6)+(D19*'Tiền '!$G$6)+(E19*'Tiền '!$H$6)+(F19*'Tiền '!$I$3)+(G19*'Tiền '!$J$3)+16000</f>
        <v>253503.96352748355</v>
      </c>
      <c r="K19" s="9"/>
      <c r="L19" s="14"/>
      <c r="M19" s="14">
        <f t="shared" si="2"/>
        <v>6121474.8589965273</v>
      </c>
      <c r="N19" s="23" t="s">
        <v>91</v>
      </c>
      <c r="O19" s="34"/>
      <c r="Q19" s="34">
        <f>'Tiền '!$D$16*H19</f>
        <v>31320</v>
      </c>
      <c r="R19" s="34">
        <f t="shared" si="1"/>
        <v>594503.96352748352</v>
      </c>
    </row>
    <row r="20" ht="108">
      <c r="A20" s="12">
        <v>45125</v>
      </c>
      <c r="B20" s="9">
        <v>2</v>
      </c>
      <c r="C20" s="9">
        <v>20</v>
      </c>
      <c r="D20" s="9"/>
      <c r="E20" s="9">
        <v>17</v>
      </c>
      <c r="F20" s="9"/>
      <c r="G20" s="9">
        <v>3</v>
      </c>
      <c r="H20" s="14">
        <f t="shared" si="0"/>
        <v>42</v>
      </c>
      <c r="I20" s="14">
        <f>(B20*'Tiền '!$E$7)+(C20*'Tiền '!$F$7)+(D20*'Tiền '!$G$7)+(E20*'Tiền '!$H$7)+(F20*'Tiền '!$I$4)+(G20*'Tiền '!$J$4)</f>
        <v>400997.17756715266</v>
      </c>
      <c r="J20" s="14">
        <f>(B20*'Tiền '!$E$6)+(C20*'Tiền '!$F$6)+(D20*'Tiền '!$G$6)+(E20*'Tiền '!$H$6)+(F20*'Tiền '!$I$3)+(G20*'Tiền '!$J$3)+40000</f>
        <v>312002.82243284734</v>
      </c>
      <c r="K20" s="9"/>
      <c r="L20" s="14"/>
      <c r="M20" s="14">
        <f t="shared" si="2"/>
        <v>6522472.03656368</v>
      </c>
      <c r="N20" s="23" t="s">
        <v>92</v>
      </c>
      <c r="O20" s="34"/>
      <c r="Q20" s="34">
        <f>'Tiền '!$D$16*H20</f>
        <v>36540</v>
      </c>
      <c r="R20" s="34">
        <f t="shared" si="1"/>
        <v>713000</v>
      </c>
    </row>
    <row r="21" ht="126">
      <c r="A21" s="12">
        <v>45126</v>
      </c>
      <c r="B21" s="9">
        <v>5</v>
      </c>
      <c r="C21" s="9">
        <v>17</v>
      </c>
      <c r="D21" s="9"/>
      <c r="E21" s="9">
        <v>17</v>
      </c>
      <c r="F21" s="9"/>
      <c r="G21" s="9">
        <v>2</v>
      </c>
      <c r="H21" s="14">
        <f t="shared" si="0"/>
        <v>41</v>
      </c>
      <c r="I21" s="14">
        <f>(B21*'Tiền '!$E$7)+(C21*'Tiền '!$F$7)+(D21*'Tiền '!$G$7)+(E21*'Tiền '!$H$7)+(F21*'Tiền '!$I$4)+(G21*'Tiền '!$J$4)</f>
        <v>384495.8639135097</v>
      </c>
      <c r="J21" s="14">
        <f>(B21*'Tiền '!$E$6)+(C21*'Tiền '!$F$6)+(D21*'Tiền '!$G$6)+(E21*'Tiền '!$H$6)+(F21*'Tiền '!$I$3)+(G21*'Tiền '!$J$3)+28000</f>
        <v>287504.13608649024</v>
      </c>
      <c r="K21" s="9"/>
      <c r="L21" s="14"/>
      <c r="M21" s="14">
        <f t="shared" si="2"/>
        <v>6906967.90047719</v>
      </c>
      <c r="N21" s="23" t="s">
        <v>93</v>
      </c>
      <c r="O21" s="34"/>
      <c r="Q21" s="34">
        <f>'Tiền '!$D$16*H21+'Tiền '!B16*3</f>
        <v>38850</v>
      </c>
      <c r="R21" s="34">
        <f t="shared" si="1"/>
        <v>672000</v>
      </c>
    </row>
    <row r="22" ht="90">
      <c r="A22" s="12">
        <v>45127</v>
      </c>
      <c r="B22" s="9">
        <v>2</v>
      </c>
      <c r="C22" s="9">
        <v>13</v>
      </c>
      <c r="D22" s="9">
        <v>2</v>
      </c>
      <c r="E22" s="9">
        <v>14</v>
      </c>
      <c r="F22" s="9">
        <v>2</v>
      </c>
      <c r="G22" s="9">
        <v>2</v>
      </c>
      <c r="H22" s="14">
        <f t="shared" si="0"/>
        <v>35</v>
      </c>
      <c r="I22" s="14">
        <f>(B22*'Tiền '!$E$7)+(C22*'Tiền '!$F$7)+(D22*'Tiền '!$G$7)+(E22*'Tiền '!$H$7)+(F22*'Tiền '!$I$4)+(G22*'Tiền '!$J$4)</f>
        <v>335996.95457673375</v>
      </c>
      <c r="J22" s="14">
        <f>(B22*'Tiền '!$E$6)+(C22*'Tiền '!$F$6)+(D22*'Tiền '!$G$6)+(E22*'Tiền '!$H$6)+(F22*'Tiền '!$I$3)+(G22*'Tiền '!$J$3)+20000</f>
        <v>251003.04542326625</v>
      </c>
      <c r="K22" s="9"/>
      <c r="L22" s="14"/>
      <c r="M22" s="14">
        <f t="shared" si="2"/>
        <v>7242964.8550539231</v>
      </c>
      <c r="N22" s="23" t="s">
        <v>94</v>
      </c>
      <c r="O22" s="34"/>
      <c r="Q22" s="34">
        <f>'Tiền '!$D$16*H22</f>
        <v>30450</v>
      </c>
      <c r="R22" s="34">
        <f t="shared" si="1"/>
        <v>587000</v>
      </c>
    </row>
    <row r="23" ht="90">
      <c r="A23" s="12">
        <v>45128</v>
      </c>
      <c r="B23" s="9">
        <v>1</v>
      </c>
      <c r="C23" s="9">
        <v>12</v>
      </c>
      <c r="D23" s="9">
        <v>3</v>
      </c>
      <c r="E23" s="9">
        <v>15</v>
      </c>
      <c r="F23" s="9"/>
      <c r="G23" s="9">
        <v>1</v>
      </c>
      <c r="H23" s="14">
        <f t="shared" si="0"/>
        <v>32</v>
      </c>
      <c r="I23" s="14">
        <f>(B23*'Tiền '!$E$7)+(C23*'Tiền '!$F$7)+(D23*'Tiền '!$G$7)+(E23*'Tiền '!$H$7)+(F23*'Tiền '!$I$4)+(G23*'Tiền '!$J$4)</f>
        <v>307498.12126496609</v>
      </c>
      <c r="J23" s="14">
        <f>(B23*'Tiền '!$E$6)+(C23*'Tiền '!$F$6)+(D23*'Tiền '!$G$6)+(E23*'Tiền '!$H$6)+(F23*'Tiền '!$I$3)+(G23*'Tiền '!$J$3)</f>
        <v>210501.87873503388</v>
      </c>
      <c r="K23" s="9"/>
      <c r="L23" s="14"/>
      <c r="M23" s="14">
        <f t="shared" si="2"/>
        <v>7550462.9763188893</v>
      </c>
      <c r="N23" s="23" t="s">
        <v>95</v>
      </c>
      <c r="O23" s="34"/>
      <c r="Q23" s="34">
        <f>'Tiền '!$D$16*H23+'Tiền '!B16</f>
        <v>28900</v>
      </c>
      <c r="R23" s="34">
        <f t="shared" si="1"/>
        <v>518000</v>
      </c>
    </row>
    <row r="24" ht="90">
      <c r="A24" s="48">
        <v>45129</v>
      </c>
      <c r="B24" s="49">
        <v>1</v>
      </c>
      <c r="C24" s="49">
        <v>13</v>
      </c>
      <c r="D24" s="49">
        <v>3</v>
      </c>
      <c r="E24" s="49">
        <v>21</v>
      </c>
      <c r="F24" s="49">
        <v>1</v>
      </c>
      <c r="G24" s="49">
        <v>3</v>
      </c>
      <c r="H24" s="46">
        <f t="shared" si="0"/>
        <v>42</v>
      </c>
      <c r="I24" s="46">
        <f>(B24*'Tiền '!$E$7)+(C24*'Tiền '!$F$7)+(D24*'Tiền '!$G$7)+(E24*'Tiền '!$H$7)+(F24*'Tiền '!$I$4)+(G24*'Tiền '!$J$4)</f>
        <v>410495.12524089875</v>
      </c>
      <c r="J24" s="46">
        <f>(B24*'Tiền '!$E$6)+(C24*'Tiền '!$F$6)+(D24*'Tiền '!$G$6)+(E24*'Tiền '!$H$6)+(F24*'Tiền '!$I$3)+(G24*'Tiền '!$J$3)+'Tiền '!J3+'Tiền '!E6+14000</f>
        <v>309005.46314812312</v>
      </c>
      <c r="K24" s="49"/>
      <c r="L24" s="49"/>
      <c r="M24" s="46">
        <f t="shared" si="2"/>
        <v>7960958.101559788</v>
      </c>
      <c r="N24" s="67" t="s">
        <v>96</v>
      </c>
      <c r="O24" s="34"/>
      <c r="Q24" s="34">
        <f>'Tiền '!$D$16*H24+'Tiền '!B16*2</f>
        <v>38660</v>
      </c>
      <c r="R24" s="34">
        <f>I24+J24</f>
        <v>719500.58838902181</v>
      </c>
    </row>
    <row r="25" ht="18" s="41" customFormat="1">
      <c r="A25" s="12">
        <v>45130</v>
      </c>
    </row>
    <row r="26" ht="90">
      <c r="A26" s="73">
        <v>45131</v>
      </c>
      <c r="B26" s="74">
        <v>4</v>
      </c>
      <c r="C26" s="74">
        <v>15</v>
      </c>
      <c r="D26" s="74">
        <v>2</v>
      </c>
      <c r="E26" s="74">
        <v>20</v>
      </c>
      <c r="F26" s="74"/>
      <c r="G26" s="74"/>
      <c r="H26" s="75">
        <f>SUM(B26:G26)</f>
        <v>41</v>
      </c>
      <c r="I26" s="75">
        <f>(B26*'Tiền '!$E$7)+(C26*'Tiền '!$F$7)+(D26*'Tiền '!$G$7)+(E26*'Tiền '!$H$7)+(F26*'Tiền '!$I$4)+(G26*'Tiền '!$J$4)</f>
        <v>384996.0011586668</v>
      </c>
      <c r="J26" s="75">
        <f>(B26*'Tiền '!$E$6)+(C26*'Tiền '!$F$6)+(D26*'Tiền '!$G$6)+(E26*'Tiền '!$H$6)+(F26*'Tiền '!$I$3)+(G26*'Tiền '!$J$3)+11000</f>
        <v>273003.99884133326</v>
      </c>
      <c r="K26" s="74"/>
      <c r="L26" s="74"/>
      <c r="M26" s="75">
        <f>I26+M24</f>
        <v>8345954.1027184548</v>
      </c>
      <c r="N26" s="76" t="s">
        <v>97</v>
      </c>
      <c r="Q26" s="39">
        <f>'Tiền '!$D$16*H26</f>
        <v>35670</v>
      </c>
      <c r="R26" s="39">
        <f>I26+J26</f>
        <v>658000</v>
      </c>
    </row>
    <row r="27" ht="126">
      <c r="A27" s="12">
        <v>45132</v>
      </c>
      <c r="B27" s="9">
        <v>2</v>
      </c>
      <c r="C27" s="9">
        <v>19</v>
      </c>
      <c r="D27" s="9">
        <v>2</v>
      </c>
      <c r="E27" s="9">
        <v>12</v>
      </c>
      <c r="F27" s="9"/>
      <c r="G27" s="9"/>
      <c r="H27" s="14">
        <f>SUM(B27:G27)</f>
        <v>35</v>
      </c>
      <c r="I27" s="14">
        <f>(B27*'Tiền '!$E$7)+(C27*'Tiền '!$F$7)+(D27*'Tiền '!$G$7)+(E27*'Tiền '!$H$7)+(F27*'Tiền '!$I$4)+(G27*'Tiền '!$J$4)</f>
        <v>326000.59858372103</v>
      </c>
      <c r="J27" s="14">
        <f>(B27*'Tiền '!$E$6)+(C27*'Tiền '!$F$6)+(D27*'Tiền '!$G$6)+(E27*'Tiền '!$H$6)+(F27*'Tiền '!$I$3)+(G27*'Tiền '!$J$3)+46000</f>
        <v>266999.40141627897</v>
      </c>
      <c r="K27" s="9"/>
      <c r="L27" s="9"/>
      <c r="M27" s="14">
        <f>I27+M26</f>
        <v>8671954.7013021763</v>
      </c>
      <c r="N27" s="23" t="s">
        <v>98</v>
      </c>
      <c r="Q27" s="34">
        <f>'Tiền '!$D$16*H27+'Tiền '!B16*3</f>
        <v>33630</v>
      </c>
      <c r="R27" s="34">
        <f>I27+J27</f>
        <v>593000</v>
      </c>
    </row>
    <row r="28" ht="144">
      <c r="A28" s="12">
        <v>45133</v>
      </c>
      <c r="B28" s="9">
        <v>5</v>
      </c>
      <c r="C28" s="9">
        <v>18</v>
      </c>
      <c r="D28" s="9">
        <v>4</v>
      </c>
      <c r="E28" s="9">
        <v>20</v>
      </c>
      <c r="F28" s="9">
        <v>2</v>
      </c>
      <c r="G28" s="9">
        <v>4</v>
      </c>
      <c r="H28" s="14">
        <f t="shared" si="0"/>
        <v>53</v>
      </c>
      <c r="I28" s="14">
        <f>(B28*'Tiền '!$E$7)+(C28*'Tiền '!$F$7)+(D28*'Tiền '!$G$7)+(E28*'Tiền '!$H$7)+(F28*'Tiền '!$I$4)+(G28*'Tiền '!$J$4)</f>
        <v>507495.37954276777</v>
      </c>
      <c r="J28" s="14">
        <f>(B28*'Tiền '!$E$6)+(C28*'Tiền '!$F$6)+(D28*'Tiền '!$G$6)+(E28*'Tiền '!$H$6)+(F28*'Tiền '!$I$3)+(G28*'Tiền '!$J$3)+36000</f>
        <v>382504.62045723223</v>
      </c>
      <c r="K28" s="9"/>
      <c r="L28" s="9"/>
      <c r="M28" s="14">
        <f>I28+M27</f>
        <v>9179450.0808449443</v>
      </c>
      <c r="N28" s="23" t="s">
        <v>99</v>
      </c>
      <c r="Q28" s="34">
        <f>'Tiền '!$D$16*H28+'Tiền '!B16*2</f>
        <v>48230</v>
      </c>
      <c r="R28" s="34">
        <f t="shared" si="1"/>
        <v>890000</v>
      </c>
    </row>
    <row r="29" ht="108">
      <c r="A29" s="12">
        <v>45134</v>
      </c>
      <c r="B29" s="9">
        <v>6</v>
      </c>
      <c r="C29" s="9">
        <v>18</v>
      </c>
      <c r="D29" s="9">
        <v>5</v>
      </c>
      <c r="E29" s="9">
        <v>12</v>
      </c>
      <c r="F29" s="9">
        <v>1</v>
      </c>
      <c r="G29" s="9">
        <v>3</v>
      </c>
      <c r="H29" s="14">
        <f t="shared" si="0"/>
        <v>45</v>
      </c>
      <c r="I29" s="14">
        <f>(B29*'Tiền '!$E$7)+(C29*'Tiền '!$F$7)+(D29*'Tiền '!$G$7)+(E29*'Tiền '!$H$7)+(F29*'Tiền '!$I$4)+(G29*'Tiền '!$J$4)</f>
        <v>422999.23490743403</v>
      </c>
      <c r="J29" s="14">
        <f>(B29*'Tiền '!$E$6)+(C29*'Tiền '!$F$6)+(D29*'Tiền '!$G$6)+(E29*'Tiền '!$H$6)+(F29*'Tiền '!$I$3)+(G29*'Tiền '!$J$3)+17000</f>
        <v>303000.76509256591</v>
      </c>
      <c r="K29" s="9"/>
      <c r="L29" s="9"/>
      <c r="M29" s="14">
        <f t="shared" si="2"/>
        <v>9602449.3157523777</v>
      </c>
      <c r="N29" s="23" t="s">
        <v>100</v>
      </c>
      <c r="Q29" s="34">
        <f>'Tiền '!$D$16*H29</f>
        <v>39150</v>
      </c>
      <c r="R29" s="34">
        <f t="shared" si="1"/>
        <v>726000</v>
      </c>
    </row>
    <row r="30" ht="90">
      <c r="A30" s="12"/>
      <c r="B30" s="9">
        <v>6</v>
      </c>
      <c r="C30" s="9">
        <v>12</v>
      </c>
      <c r="D30" s="9">
        <v>3</v>
      </c>
      <c r="E30" s="9">
        <v>15</v>
      </c>
      <c r="F30" s="9"/>
      <c r="G30" s="9"/>
      <c r="H30" s="14">
        <f t="shared" si="0"/>
        <v>36</v>
      </c>
      <c r="I30" s="14">
        <f>(B30*'Tiền '!$E$7)+(C30*'Tiền '!$F$7)+(D30*'Tiền '!$G$7)+(E30*'Tiền '!$H$7)+(F30*'Tiền '!$I$4)+(G30*'Tiền '!$J$4)</f>
        <v>332996.9953682737</v>
      </c>
      <c r="J30" s="14">
        <f>(B30*'Tiền '!$E$6)+(C30*'Tiền '!$F$6)+(D30*'Tiền '!$G$6)+(E30*'Tiền '!$H$6)+(F30*'Tiền '!$I$3)+(G30*'Tiền '!$J$3)+41000</f>
        <v>266003.0046317263</v>
      </c>
      <c r="K30" s="9"/>
      <c r="L30" s="9"/>
      <c r="M30" s="14">
        <f t="shared" si="2"/>
        <v>9935446.3111206517</v>
      </c>
      <c r="N30" s="23" t="s">
        <v>101</v>
      </c>
      <c r="Q30" s="34">
        <f>'Tiền '!$D$16*H30</f>
        <v>31320</v>
      </c>
      <c r="R30" s="34">
        <f t="shared" si="1"/>
        <v>599000</v>
      </c>
    </row>
    <row r="31" ht="108">
      <c r="A31" s="12">
        <v>45136</v>
      </c>
      <c r="B31" s="9">
        <v>2</v>
      </c>
      <c r="C31" s="9">
        <v>17</v>
      </c>
      <c r="D31" s="9">
        <v>6</v>
      </c>
      <c r="E31" s="9">
        <v>20</v>
      </c>
      <c r="F31" s="9">
        <v>4</v>
      </c>
      <c r="G31" s="9">
        <v>1</v>
      </c>
      <c r="H31" s="14">
        <f t="shared" si="0"/>
        <v>50</v>
      </c>
      <c r="I31" s="14">
        <f>(B31*'Tiền '!$E$7)+(C31*'Tiền '!$F$7)+(D31*'Tiền '!$G$7)+(E31*'Tiền '!$H$7)+(F31*'Tiền '!$I$4)+(G31*'Tiền '!$J$4)</f>
        <v>479997.00725980208</v>
      </c>
      <c r="J31" s="14">
        <f>(B31*'Tiền '!$E$6)+(C31*'Tiền '!$F$6)+(D31*'Tiền '!$G$6)+(E31*'Tiền '!$H$6)+(F31*'Tiền '!$I$3)+(G31*'Tiền '!$J$3)+40000</f>
        <v>373002.99274019792</v>
      </c>
      <c r="K31" s="9"/>
      <c r="L31" s="9"/>
      <c r="M31" s="14">
        <f t="shared" si="2"/>
        <v>10415443.318380455</v>
      </c>
      <c r="N31" s="23" t="s">
        <v>102</v>
      </c>
      <c r="Q31" s="34">
        <f>'Tiền '!$D$16*H31</f>
        <v>43500</v>
      </c>
      <c r="R31" s="34">
        <f t="shared" si="1"/>
        <v>853000</v>
      </c>
    </row>
    <row r="32" ht="108">
      <c r="A32" s="12">
        <v>45137</v>
      </c>
      <c r="B32" s="9">
        <v>4</v>
      </c>
      <c r="C32" s="9">
        <v>15</v>
      </c>
      <c r="D32" s="9">
        <v>4</v>
      </c>
      <c r="E32" s="9">
        <v>20</v>
      </c>
      <c r="F32" s="9">
        <v>8</v>
      </c>
      <c r="G32" s="9">
        <v>4</v>
      </c>
      <c r="H32" s="14">
        <f t="shared" si="0"/>
        <v>55</v>
      </c>
      <c r="I32" s="14">
        <f>(B32*'Tiền '!$E$7)+(C32*'Tiền '!$F$7)+(D32*'Tiền '!$G$7)+(E32*'Tiền '!$H$7)+(F32*'Tiền '!$I$4)+(G32*'Tiền '!$J$4)</f>
        <v>532992.60552395857</v>
      </c>
      <c r="J32" s="14">
        <f>(B32*'Tiền '!$E$6)+(C32*'Tiền '!$F$6)+(D32*'Tiền '!$G$6)+(E32*'Tiền '!$H$6)+(F32*'Tiền '!$I$3)+(G32*'Tiền '!$J$3)+'Tiền '!K6+31000</f>
        <v>411007.86262250791</v>
      </c>
      <c r="K32" s="9"/>
      <c r="L32" s="9"/>
      <c r="M32" s="14">
        <f t="shared" si="2"/>
        <v>10948435.923904413</v>
      </c>
      <c r="N32" s="23" t="s">
        <v>103</v>
      </c>
      <c r="Q32" s="34">
        <f>'Tiền '!$D$16*H32</f>
        <v>47850</v>
      </c>
      <c r="R32" s="34">
        <f t="shared" si="1"/>
        <v>944000.46814646642</v>
      </c>
    </row>
    <row r="33" ht="90" s="70" customFormat="1">
      <c r="A33" s="12">
        <v>45138</v>
      </c>
      <c r="B33" s="9">
        <v>2</v>
      </c>
      <c r="C33" s="9">
        <v>15</v>
      </c>
      <c r="D33" s="9">
        <v>0</v>
      </c>
      <c r="E33" s="9">
        <v>21</v>
      </c>
      <c r="F33" s="9">
        <v>1</v>
      </c>
      <c r="G33" s="9">
        <v>1</v>
      </c>
      <c r="H33" s="14">
        <f>SUM(B33:G33)</f>
        <v>40</v>
      </c>
      <c r="I33" s="14">
        <f>(B33*'Tiền '!$E$7)+(C33*'Tiền '!$F$7)+(D33*'Tiền '!$G$7)+(E33*'Tiền '!$H$7)+(F33*'Tiền '!$I$4)+(G33*'Tiền '!$J$4)+'Tiền '!K7</f>
        <v>391994.15916179965</v>
      </c>
      <c r="J33" s="14">
        <f>(B33*'Tiền '!$E$6)+(C33*'Tiền '!$F$6)+(D33*'Tiền '!$G$6)+(E33*'Tiền '!$H$6)+(F33*'Tiền '!$I$3)+(G33*'Tiền '!$J$3)+'Tiền '!K6+14000</f>
        <v>284005.8408382003</v>
      </c>
      <c r="K33" s="9"/>
      <c r="L33" s="9"/>
      <c r="M33" s="14">
        <f t="shared" si="2"/>
        <v>11340430.083066214</v>
      </c>
      <c r="N33" s="23" t="s">
        <v>104</v>
      </c>
      <c r="Q33" s="71">
        <f>'Tiền '!$D$16*H33+'Tiền '!B16+'Tiền '!B16</f>
        <v>36920</v>
      </c>
      <c r="R33" s="71">
        <f t="shared" si="1"/>
        <v>676000</v>
      </c>
    </row>
    <row r="34" ht="18">
      <c r="I34" s="4"/>
      <c r="J34" s="4"/>
      <c r="M34" s="25"/>
      <c r="N34" s="3"/>
      <c r="Q34" s="34">
        <f>'Tháng 6'!O34+40000+38000+24000+40000+42000</f>
        <v>957000</v>
      </c>
    </row>
    <row r="35">
      <c r="Q35" s="34">
        <f>Q34-260000+30000+39000+31000+36000+31000+36000+36000+30000+26000+47000+32000+37000+39000+30000+29000+38000+38000+34000+48000+40000+31000+44000+48000+37000</f>
        <v>1564000</v>
      </c>
    </row>
    <row r="36">
      <c r="Q36" s="34">
        <f>Q35-1510000</f>
        <v>54000</v>
      </c>
    </row>
    <row r="7036">
      <c r="K7036" s="28" t="s">
        <v>48</v>
      </c>
    </row>
  </sheetData>
  <mergeCells>
    <mergeCell ref="A1:I1"/>
    <mergeCell ref="K1:L1"/>
    <mergeCell ref="K2:L2"/>
    <mergeCell ref="K3:L3"/>
    <mergeCell ref="K4:L4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472A-C8C4-47E1-8317-F52AD6225872}">
  <dimension ref="A1:K16"/>
  <sheetViews>
    <sheetView workbookViewId="0">
      <selection activeCell="H7" sqref="H7"/>
    </sheetView>
  </sheetViews>
  <sheetFormatPr defaultRowHeight="15"/>
  <cols>
    <col min="1" max="1" bestFit="1" width="21.140625" customWidth="1" style="2"/>
    <col min="2" max="2" bestFit="1" width="17.85546875" customWidth="1" style="2"/>
    <col min="3" max="3" bestFit="1" width="11.28515625" customWidth="1" style="2"/>
    <col min="5" max="5" bestFit="1" width="11.28515625" customWidth="1" style="2"/>
    <col min="6" max="6" bestFit="1" width="13" customWidth="1" style="2"/>
    <col min="7" max="7" bestFit="1" width="11.140625" customWidth="1" style="2"/>
    <col min="8" max="8" bestFit="1" width="14.42578125" customWidth="1" style="2"/>
    <col min="9" max="9" bestFit="1" width="9.42578125" customWidth="1" style="2"/>
    <col min="10" max="10" bestFit="1" width="16.5703125" customWidth="1" style="2"/>
    <col min="11" max="11" bestFit="1" width="15.85546875" customWidth="1" style="2"/>
  </cols>
  <sheetData>
    <row r="1" ht="20.25">
      <c r="A1" s="42" t="s">
        <v>105</v>
      </c>
      <c r="B1" s="42" t="s">
        <v>106</v>
      </c>
    </row>
    <row r="2" ht="20.25">
      <c r="A2" s="39">
        <v>21000</v>
      </c>
      <c r="B2" s="39">
        <f>A2/1000</f>
        <v>21</v>
      </c>
      <c r="D2" s="40"/>
      <c r="E2" s="38" t="s">
        <v>107</v>
      </c>
      <c r="F2" s="38" t="s">
        <v>108</v>
      </c>
      <c r="G2" s="38" t="s">
        <v>109</v>
      </c>
      <c r="H2" s="38" t="s">
        <v>110</v>
      </c>
      <c r="I2" s="38" t="s">
        <v>111</v>
      </c>
      <c r="J2" s="38" t="s">
        <v>112</v>
      </c>
      <c r="K2" s="64" t="s">
        <v>113</v>
      </c>
    </row>
    <row r="3" ht="20.25">
      <c r="A3" s="42" t="s">
        <v>114</v>
      </c>
      <c r="B3" s="42" t="s">
        <v>115</v>
      </c>
      <c r="D3" s="40" t="s">
        <v>75</v>
      </c>
      <c r="E3" s="62">
        <f>(B10*20)+(C10*2)+(B2*10)+B15+B16+361</f>
        <v>4999.5714285714284</v>
      </c>
      <c r="F3" s="62">
        <f>(B10*20)+(C10*2)+(B4*30)+(B6*15)+B15+B16+188</f>
        <v>6999.9548531669243</v>
      </c>
      <c r="G3" s="62">
        <f>(C10*7)+(B4*30)+(B6*15)+(B8*50)+B15+B16+217</f>
        <v>8000.3834245954968</v>
      </c>
      <c r="H3" s="62">
        <f>(C10*7)+(B4*30)+(B6*10)+(B14*30)+B15+B16+422</f>
        <v>7999.8416155461327</v>
      </c>
      <c r="I3" s="62">
        <f>(B12*11)+(B8*60)+(B6*15)+(B4*30)+B15+B16+755</f>
        <v>8000.3834245954959</v>
      </c>
      <c r="J3" s="62">
        <f>(B12*9)+(B8*50)+(B6*10)+(B4*25)+(B14*30)+B15+B16+162</f>
        <v>8000.3026747361637</v>
      </c>
      <c r="K3" s="61">
        <f>(B4*40)+(B6*20)+(B8*80)+(C10*4)+B15+B16+405</f>
        <v>8999.9874232701841</v>
      </c>
    </row>
    <row r="4">
      <c r="A4" s="39">
        <v>61000</v>
      </c>
      <c r="B4" s="39">
        <f>A4/1284</f>
        <v>47.507788161993773</v>
      </c>
      <c r="C4" s="45"/>
      <c r="D4" s="40" t="s">
        <v>116</v>
      </c>
      <c r="E4" s="62">
        <f>E5-E3</f>
        <v>7000.4285714285716</v>
      </c>
      <c r="F4" s="62">
        <f ref="F4:I4" t="shared" si="0">F5-F3</f>
        <v>8000.0451468330757</v>
      </c>
      <c r="G4" s="62">
        <f t="shared" si="0"/>
        <v>9999.6165754045032</v>
      </c>
      <c r="H4" s="62">
        <f t="shared" si="0"/>
        <v>10000.158384453867</v>
      </c>
      <c r="I4" s="62">
        <f t="shared" si="0"/>
        <v>9999.6165754045032</v>
      </c>
      <c r="J4" s="62">
        <f>J5-J3</f>
        <v>11999.697325263836</v>
      </c>
      <c r="K4" s="24">
        <f>K5-K3</f>
        <v>11000.012576729816</v>
      </c>
    </row>
    <row r="5" ht="20.25">
      <c r="A5" s="42" t="s">
        <v>117</v>
      </c>
      <c r="B5" s="42" t="s">
        <v>118</v>
      </c>
      <c r="D5" s="40" t="s">
        <v>119</v>
      </c>
      <c r="E5" s="65">
        <v>12000</v>
      </c>
      <c r="F5" s="65">
        <v>15000</v>
      </c>
      <c r="G5" s="65">
        <v>18000</v>
      </c>
      <c r="H5" s="65">
        <v>18000</v>
      </c>
      <c r="I5" s="65">
        <v>18000</v>
      </c>
      <c r="J5" s="65">
        <v>20000</v>
      </c>
      <c r="K5" s="24">
        <v>20000</v>
      </c>
    </row>
    <row r="6" s="24" customFormat="1">
      <c r="A6" s="39">
        <v>29000</v>
      </c>
      <c r="B6" s="39">
        <f>A6/454</f>
        <v>63.876651982378853</v>
      </c>
      <c r="E6" s="40">
        <f>(B10*20)+(C10)+(B2*10)+B15+B16+176</f>
        <v>4500.2857142857138</v>
      </c>
      <c r="F6" s="40">
        <f>(B10*20)+(C10)+(B4*25)+(B6*10)+B15+B16+59</f>
        <v>5999.7469381593473</v>
      </c>
      <c r="G6" s="40">
        <f>(C10*6)+(B4*25)+(B6*15)+(B8*40)+B15+B16+88</f>
        <v>6999.558769499813</v>
      </c>
      <c r="H6" s="40">
        <f>(C10*6)+(B4*25)+(B6*10)+(B14*25)+B15+B16+260</f>
        <v>7000.3767186400273</v>
      </c>
      <c r="I6" s="40"/>
      <c r="J6" s="40"/>
      <c r="K6" s="40">
        <f>(B4*25)+(B6*25)+(B8*80)+(C10*3)+B15+B16+113</f>
        <v>8000.4681464664591</v>
      </c>
    </row>
    <row r="7" ht="20.25">
      <c r="A7" s="42" t="s">
        <v>120</v>
      </c>
      <c r="B7" s="43" t="s">
        <v>121</v>
      </c>
      <c r="E7" s="40">
        <f>E8-E6</f>
        <v>7499.7142857142862</v>
      </c>
      <c r="F7" s="66">
        <f>F8-F6</f>
        <v>9000.2530618406527</v>
      </c>
      <c r="G7" s="66">
        <f>G8-G6</f>
        <v>10000.441230500186</v>
      </c>
      <c r="H7" s="66">
        <f>H8-H6</f>
        <v>9999.6232813599727</v>
      </c>
      <c r="I7" s="66"/>
      <c r="J7" s="66"/>
      <c r="K7" s="66">
        <f>K8-K6</f>
        <v>9999.5318535335409</v>
      </c>
    </row>
    <row r="8">
      <c r="A8" s="39">
        <v>32000</v>
      </c>
      <c r="B8" s="41">
        <f>A8/1000</f>
        <v>32</v>
      </c>
      <c r="E8" s="40">
        <v>12000</v>
      </c>
      <c r="F8" s="66">
        <v>15000</v>
      </c>
      <c r="G8" s="66">
        <v>17000</v>
      </c>
      <c r="H8" s="66">
        <v>17000</v>
      </c>
      <c r="I8" s="66"/>
      <c r="J8" s="66"/>
      <c r="K8" s="66">
        <v>18000</v>
      </c>
    </row>
    <row r="9" ht="20.25">
      <c r="A9" s="44" t="s">
        <v>122</v>
      </c>
      <c r="B9" s="55" t="s">
        <v>123</v>
      </c>
      <c r="F9" s="45">
        <f>(B10*20)+(C10*4)+(B4*35)+(B6*15)+B15+B16+322</f>
        <v>8000.0652225483209</v>
      </c>
    </row>
    <row r="10">
      <c r="A10" s="39">
        <v>220000</v>
      </c>
      <c r="B10" s="41">
        <f>A10/2000</f>
        <v>110</v>
      </c>
      <c r="C10" s="56">
        <f>((B10*20)/70)*10</f>
        <v>314.28571428571428</v>
      </c>
      <c r="F10" s="45">
        <f>F11-F9</f>
        <v>11999.934777451679</v>
      </c>
    </row>
    <row r="11" ht="20.25">
      <c r="A11" s="43" t="s">
        <v>124</v>
      </c>
      <c r="B11" s="57" t="s">
        <v>125</v>
      </c>
      <c r="F11" s="2">
        <v>20000</v>
      </c>
    </row>
    <row r="12">
      <c r="A12" s="39">
        <v>61000</v>
      </c>
      <c r="B12" s="39">
        <f>A12/500</f>
        <v>122</v>
      </c>
      <c r="C12" s="58">
        <f>B12*8</f>
        <v>976</v>
      </c>
      <c r="D12" s="2">
        <f>B12*16</f>
        <v>1952</v>
      </c>
      <c r="E12" s="24">
        <f>D12+(B4*50)+(B6*20)+(B8*50)+B16+(B15*2)</f>
        <v>9344.9224477472653</v>
      </c>
    </row>
    <row r="13" ht="20.25">
      <c r="A13" s="43" t="s">
        <v>126</v>
      </c>
      <c r="B13" s="59" t="s">
        <v>127</v>
      </c>
    </row>
    <row r="14">
      <c r="A14" s="39">
        <f>(B4*150)+(B8*50)+(B6*400)</f>
        <v>34276.829017250609</v>
      </c>
      <c r="B14" s="39">
        <f>A14/600</f>
        <v>57.12804836208435</v>
      </c>
      <c r="C14" s="56">
        <f>B14*25</f>
        <v>1428.2012090521087</v>
      </c>
      <c r="D14" s="2">
        <f>600/25</f>
        <v>24</v>
      </c>
    </row>
    <row r="15" ht="20.25">
      <c r="A15" s="42" t="s">
        <v>128</v>
      </c>
      <c r="B15" s="60">
        <v>540</v>
      </c>
      <c r="D15" s="2">
        <f>400/D14</f>
        <v>16.666666666666668</v>
      </c>
    </row>
    <row r="16" ht="20.25">
      <c r="A16" s="42" t="s">
        <v>129</v>
      </c>
      <c r="B16" s="39">
        <v>1060</v>
      </c>
      <c r="C16" s="2">
        <v>950</v>
      </c>
      <c r="D16" s="2">
        <v>870</v>
      </c>
    </row>
  </sheetData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FE2-49E4-4063-96B6-615C7BD2B09B}">
  <dimension ref="A1:R34"/>
  <sheetViews>
    <sheetView tabSelected="1" zoomScaleNormal="100" workbookViewId="0">
      <selection activeCell="B4" sqref="B4"/>
    </sheetView>
  </sheetViews>
  <sheetFormatPr defaultColWidth="8.7109375" defaultRowHeight="14.25"/>
  <cols>
    <col min="1" max="1" bestFit="1" width="16" customWidth="1" style="28"/>
    <col min="2" max="2" bestFit="1" width="14.42578125" customWidth="1" style="28"/>
    <col min="3" max="3" bestFit="1" width="14.5703125" customWidth="1" style="28"/>
    <col min="4" max="4" bestFit="1" width="9.42578125" customWidth="1" style="28"/>
    <col min="5" max="5" bestFit="1" width="15.7109375" customWidth="1" style="28"/>
    <col min="6" max="6" bestFit="1" width="8.85546875" customWidth="1" style="28"/>
    <col min="7" max="7" bestFit="1" width="15.28515625" customWidth="1" style="28"/>
    <col min="8" max="8" bestFit="1" width="10.140625" customWidth="1" style="28"/>
    <col min="9" max="9" bestFit="1" width="11.140625" customWidth="1" style="28"/>
    <col min="10" max="10" bestFit="1" width="12.5703125" customWidth="1" style="28"/>
    <col min="11" max="11" bestFit="1" width="11.85546875" customWidth="1" style="28"/>
    <col min="12" max="12" width="18.5703125" customWidth="1" style="28"/>
    <col min="13" max="13" width="16.42578125" customWidth="1" style="28"/>
    <col min="14" max="14" bestFit="1" width="11.85546875" customWidth="1" style="28"/>
    <col min="15" max="15" bestFit="1" width="20.85546875" customWidth="1" style="28"/>
    <col min="16" max="16" bestFit="1" width="9.28515625" customWidth="1" style="28"/>
    <col min="17" max="17" width="8.7109375" customWidth="1" style="34"/>
    <col min="18" max="24" width="8.7109375" customWidth="1" style="28"/>
    <col min="25" max="16384" width="8.7109375" customWidth="1" style="28"/>
  </cols>
  <sheetData>
    <row r="1" ht="2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15</v>
      </c>
      <c r="L1" s="79"/>
      <c r="M1" s="3"/>
      <c r="N1" s="3"/>
    </row>
    <row r="2" ht="18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/>
      <c r="L2" s="83"/>
      <c r="M2" s="20"/>
      <c r="N2" s="20"/>
    </row>
    <row r="3" ht="180">
      <c r="A3" s="12">
        <v>45139</v>
      </c>
      <c r="B3" s="84" t="s">
        <v>130</v>
      </c>
      <c r="C3" s="9">
        <v>18</v>
      </c>
      <c r="D3" s="9">
        <v>4</v>
      </c>
      <c r="E3" s="9">
        <v>21</v>
      </c>
      <c r="F3" s="9">
        <v>1</v>
      </c>
      <c r="G3" s="9">
        <v>2</v>
      </c>
      <c r="H3" s="14">
        <f>SUM(B3:G3)</f>
        <v>49</v>
      </c>
      <c r="I3" s="14">
        <f>(B3*'Tiền '!$E$7)+(C3*'Tiền '!$F$7)+(D3*'Tiền '!$G$7)+(E3*'Tiền '!$H$7)+(F3*'Tiền '!$I$4)+(G3*'Tiền '!$J$4)</f>
        <v>468496.563026767</v>
      </c>
      <c r="J3" s="14">
        <f>(B3*'Tiền '!$E$6)+(C3*'Tiền '!$F$6)+(D3*'Tiền '!$G$6)+(E3*'Tiền '!$H$6)+(F3*'Tiền '!$I$3)+(G3*'Tiền '!$J$3)+'Tiền '!K6+25000</f>
        <v>353503.90511969948</v>
      </c>
      <c r="K3" s="79" t="s">
        <v>12</v>
      </c>
      <c r="L3" s="82"/>
      <c r="M3" s="14">
        <f>I3</f>
        <v>468496.563026767</v>
      </c>
      <c r="N3" s="77" t="s">
        <v>131</v>
      </c>
      <c r="O3" s="9"/>
      <c r="P3" s="39"/>
      <c r="Q3" s="34">
        <f>'Tiền '!$D$16*H3</f>
        <v>42630</v>
      </c>
      <c r="R3" s="34">
        <f>J3+I3</f>
        <v>822000.46814646642</v>
      </c>
    </row>
    <row r="4" ht="18">
      <c r="A4" s="12">
        <v>45140</v>
      </c>
      <c r="B4" s="78"/>
      <c r="C4" s="78"/>
      <c r="D4" s="9"/>
      <c r="E4" s="78"/>
      <c r="F4" s="78"/>
      <c r="G4" s="78"/>
      <c r="H4" s="14">
        <f ref="H4:H32" t="shared" si="0">SUM(B4:G4)</f>
        <v>0</v>
      </c>
      <c r="I4" s="14">
        <f>(B4*'Tiền '!$E$7)+(C4*'Tiền '!$F$7)+(D4*'Tiền '!$G$7)+(E4*'Tiền '!$H$7)+(F4*'Tiền '!$I$4)+(G4*'Tiền '!$J$4)</f>
        <v>0</v>
      </c>
      <c r="J4" s="14">
        <f>(B4*'Tiền '!$E$6)+(C4*'Tiền '!$F$6)+(D4*'Tiền '!$G$6)+(E4*'Tiền '!$H$6)+(F4*'Tiền '!$I$3)+(G4*'Tiền '!$J$3)</f>
        <v>0</v>
      </c>
      <c r="K4" s="80">
        <f>SUM(J3:J34)</f>
        <v>353503.90511969948</v>
      </c>
      <c r="L4" s="83"/>
      <c r="M4" s="30">
        <f>M3+I4</f>
        <v>468496.563026767</v>
      </c>
      <c r="N4" s="9"/>
      <c r="O4" s="9" t="s">
        <v>22</v>
      </c>
      <c r="P4" s="39"/>
      <c r="Q4" s="34">
        <f>'Tiền '!$D$16*H4</f>
        <v>0</v>
      </c>
      <c r="R4" s="34">
        <f ref="R4:R32" t="shared" si="1">J4+I4</f>
        <v>0</v>
      </c>
    </row>
    <row r="5" ht="18">
      <c r="A5" s="12">
        <v>45141</v>
      </c>
      <c r="B5" s="9"/>
      <c r="C5" s="9"/>
      <c r="D5" s="9"/>
      <c r="E5" s="9"/>
      <c r="F5" s="9"/>
      <c r="G5" s="9"/>
      <c r="H5" s="14">
        <f t="shared" si="0"/>
        <v>0</v>
      </c>
      <c r="I5" s="14">
        <f>(B5*'Tiền '!$E$7)+(C5*'Tiền '!$F$7)+(D5*'Tiền '!$G$7)+(E5*'Tiền '!$H$7)+(F5*'Tiền '!$I$4)+(G5*'Tiền '!$J$4)</f>
        <v>0</v>
      </c>
      <c r="J5" s="14">
        <f>(B5*'Tiền '!$E$6)+(C5*'Tiền '!$F$6)+(D5*'Tiền '!$G$6)+(E5*'Tiền '!$H$6)+(F5*'Tiền '!$I$3)+(G5*'Tiền '!$J$3)</f>
        <v>0</v>
      </c>
      <c r="K5" s="3"/>
      <c r="M5" s="30">
        <f ref="M5:M32" t="shared" si="2">M4+I5</f>
        <v>468496.563026767</v>
      </c>
      <c r="N5" s="47"/>
      <c r="Q5" s="34">
        <f>'Tiền '!$D$16*H5</f>
        <v>0</v>
      </c>
      <c r="R5" s="34">
        <f t="shared" si="1"/>
        <v>0</v>
      </c>
    </row>
    <row r="6" ht="18">
      <c r="A6" s="12">
        <v>45142</v>
      </c>
      <c r="B6" s="9"/>
      <c r="C6" s="9"/>
      <c r="D6" s="9"/>
      <c r="E6" s="9"/>
      <c r="F6" s="9"/>
      <c r="G6" s="9"/>
      <c r="H6" s="14">
        <f t="shared" si="0"/>
        <v>0</v>
      </c>
      <c r="I6" s="14">
        <f>(B6*'Tiền '!$E$7)+(C6*'Tiền '!$F$7)+(D6*'Tiền '!$G$7)+(E6*'Tiền '!$H$7)+(F6*'Tiền '!$I$4)+(G6*'Tiền '!$J$4)</f>
        <v>0</v>
      </c>
      <c r="J6" s="14">
        <f>(B6*'Tiền '!$E$6)+(C6*'Tiền '!$F$6)+(D6*'Tiền '!$G$6)+(E6*'Tiền '!$H$6)+(F6*'Tiền '!$I$3)+(G6*'Tiền '!$J$3)</f>
        <v>0</v>
      </c>
      <c r="K6" s="9"/>
      <c r="L6" s="17"/>
      <c r="M6" s="30">
        <f t="shared" si="2"/>
        <v>468496.563026767</v>
      </c>
      <c r="N6" s="23"/>
      <c r="Q6" s="34">
        <f>'Tiền '!$D$16*H6</f>
        <v>0</v>
      </c>
      <c r="R6" s="34">
        <f t="shared" si="1"/>
        <v>0</v>
      </c>
    </row>
    <row r="7" ht="18">
      <c r="A7" s="12">
        <v>45143</v>
      </c>
      <c r="B7" s="9"/>
      <c r="C7" s="9"/>
      <c r="D7" s="9"/>
      <c r="E7" s="9"/>
      <c r="F7" s="9"/>
      <c r="G7" s="9"/>
      <c r="H7" s="14">
        <f t="shared" si="0"/>
        <v>0</v>
      </c>
      <c r="I7" s="14">
        <f>(B7*'Tiền '!$E$7)+(C7*'Tiền '!$F$7)+(D7*'Tiền '!$G$7)+(E7*'Tiền '!$H$7)+(F7*'Tiền '!$I$4)+(G7*'Tiền '!$J$4)</f>
        <v>0</v>
      </c>
      <c r="J7" s="14">
        <f>(B7*'Tiền '!$E$6)+(C7*'Tiền '!$F$6)+(D7*'Tiền '!$G$6)+(E7*'Tiền '!$H$6)+(F7*'Tiền '!$I$3)+(G7*'Tiền '!$J$3)</f>
        <v>0</v>
      </c>
      <c r="K7" s="9">
        <v>1000</v>
      </c>
      <c r="L7" s="18">
        <v>13</v>
      </c>
      <c r="M7" s="30">
        <f t="shared" si="2"/>
        <v>468496.563026767</v>
      </c>
      <c r="N7" s="23"/>
      <c r="Q7" s="34">
        <f>'Tiền '!$D$16*H7</f>
        <v>0</v>
      </c>
      <c r="R7" s="34">
        <f t="shared" si="1"/>
        <v>0</v>
      </c>
    </row>
    <row r="8" ht="18">
      <c r="A8" s="12">
        <v>45144</v>
      </c>
      <c r="B8" s="9"/>
      <c r="C8" s="9"/>
      <c r="D8" s="9"/>
      <c r="E8" s="9"/>
      <c r="F8" s="9"/>
      <c r="G8" s="9"/>
      <c r="H8" s="14">
        <f t="shared" si="0"/>
        <v>0</v>
      </c>
      <c r="I8" s="14">
        <f>(B8*'Tiền '!$E$7)+(C8*'Tiền '!$F$7)+(D8*'Tiền '!$G$7)+(E8*'Tiền '!$H$7)+(F8*'Tiền '!$I$4)+(G8*'Tiền '!$J$4)</f>
        <v>0</v>
      </c>
      <c r="J8" s="14">
        <f>(B8*'Tiền '!$E$6)+(C8*'Tiền '!$F$6)+(D8*'Tiền '!$G$6)+(E8*'Tiền '!$H$6)+(F8*'Tiền '!$I$3)+(G8*'Tiền '!$J$3)</f>
        <v>0</v>
      </c>
      <c r="K8" s="9">
        <v>2000</v>
      </c>
      <c r="L8" s="18">
        <v>26</v>
      </c>
      <c r="M8" s="30">
        <f t="shared" si="2"/>
        <v>468496.563026767</v>
      </c>
      <c r="N8" s="23"/>
      <c r="Q8" s="34">
        <f>'Tiền '!$D$16*H8</f>
        <v>0</v>
      </c>
      <c r="R8" s="34">
        <f t="shared" si="1"/>
        <v>0</v>
      </c>
    </row>
    <row r="9" ht="18">
      <c r="A9" s="12">
        <v>45145</v>
      </c>
      <c r="B9" s="14"/>
      <c r="C9" s="14"/>
      <c r="D9" s="14"/>
      <c r="E9" s="14"/>
      <c r="F9" s="14"/>
      <c r="G9" s="14"/>
      <c r="H9" s="14">
        <f t="shared" si="0"/>
        <v>0</v>
      </c>
      <c r="I9" s="14">
        <f>(B9*'Tiền '!$E$7)+(C9*'Tiền '!$F$7)+(D9*'Tiền '!$G$7)+(E9*'Tiền '!$H$7)+(F9*'Tiền '!$I$4)+(G9*'Tiền '!$J$4)</f>
        <v>0</v>
      </c>
      <c r="J9" s="14">
        <f>(B9*'Tiền '!$E$6)+(C9*'Tiền '!$F$6)+(D9*'Tiền '!$G$6)+(E9*'Tiền '!$H$6)+(F9*'Tiền '!$I$3)+(G9*'Tiền '!$J$3)</f>
        <v>0</v>
      </c>
      <c r="K9" s="14">
        <v>5000</v>
      </c>
      <c r="L9" s="30">
        <v>13</v>
      </c>
      <c r="M9" s="30">
        <f t="shared" si="2"/>
        <v>468496.563026767</v>
      </c>
      <c r="N9" s="31"/>
      <c r="Q9" s="34">
        <f>'Tiền '!$D$16*H9</f>
        <v>0</v>
      </c>
      <c r="R9" s="34">
        <f t="shared" si="1"/>
        <v>0</v>
      </c>
    </row>
    <row r="10" ht="18">
      <c r="A10" s="12">
        <v>45146</v>
      </c>
      <c r="B10" s="14"/>
      <c r="C10" s="14"/>
      <c r="D10" s="14"/>
      <c r="E10" s="14"/>
      <c r="F10" s="14"/>
      <c r="G10" s="14"/>
      <c r="H10" s="14">
        <f t="shared" si="0"/>
        <v>0</v>
      </c>
      <c r="I10" s="14">
        <f>(B10*'Tiền '!$E$7)+(C10*'Tiền '!$F$7)+(D10*'Tiền '!$G$7)+(E10*'Tiền '!$H$7)+(F10*'Tiền '!$I$4)+(G10*'Tiền '!$J$4)</f>
        <v>0</v>
      </c>
      <c r="J10" s="14">
        <f>(B10*'Tiền '!$E$6)+(C10*'Tiền '!$F$6)+(D10*'Tiền '!$G$6)+(E10*'Tiền '!$H$6)+(F10*'Tiền '!$I$3)+(G10*'Tiền '!$J$3)</f>
        <v>0</v>
      </c>
      <c r="K10" s="14">
        <v>10000</v>
      </c>
      <c r="L10" s="30"/>
      <c r="M10" s="30">
        <f t="shared" si="2"/>
        <v>468496.563026767</v>
      </c>
      <c r="N10" s="31"/>
      <c r="Q10" s="34">
        <f>'Tiền '!$D$16*H10</f>
        <v>0</v>
      </c>
      <c r="R10" s="34">
        <f t="shared" si="1"/>
        <v>0</v>
      </c>
    </row>
    <row r="11" ht="18">
      <c r="A11" s="12">
        <v>45147</v>
      </c>
      <c r="B11" s="14"/>
      <c r="C11" s="14"/>
      <c r="D11" s="14"/>
      <c r="E11" s="14"/>
      <c r="F11" s="14"/>
      <c r="G11" s="14"/>
      <c r="H11" s="14">
        <f t="shared" si="0"/>
        <v>0</v>
      </c>
      <c r="I11" s="14">
        <f>(B11*'Tiền '!$E$7)+(C11*'Tiền '!$F$7)+(D11*'Tiền '!$G$7)+(E11*'Tiền '!$H$7)+(F11*'Tiền '!$I$4)+(G11*'Tiền '!$J$4)</f>
        <v>0</v>
      </c>
      <c r="J11" s="14">
        <f>(B11*'Tiền '!$E$6)+(C11*'Tiền '!$F$6)+(D11*'Tiền '!$G$6)+(E11*'Tiền '!$H$6)+(F11*'Tiền '!$I$3)+(G11*'Tiền '!$J$3)</f>
        <v>0</v>
      </c>
      <c r="K11" s="14">
        <v>20000</v>
      </c>
      <c r="L11" s="30"/>
      <c r="M11" s="30">
        <f t="shared" si="2"/>
        <v>468496.563026767</v>
      </c>
      <c r="N11" s="31"/>
      <c r="Q11" s="34">
        <f>'Tiền '!$D$16*H11</f>
        <v>0</v>
      </c>
      <c r="R11" s="34">
        <f t="shared" si="1"/>
        <v>0</v>
      </c>
    </row>
    <row r="12" ht="18">
      <c r="A12" s="12">
        <v>45148</v>
      </c>
      <c r="B12" s="14"/>
      <c r="C12" s="14"/>
      <c r="D12" s="14"/>
      <c r="E12" s="14"/>
      <c r="F12" s="14"/>
      <c r="G12" s="14"/>
      <c r="H12" s="14">
        <f t="shared" si="0"/>
        <v>0</v>
      </c>
      <c r="I12" s="14">
        <f>(B12*'Tiền '!$E$7)+(C12*'Tiền '!$F$7)+(D12*'Tiền '!$G$7)+(E12*'Tiền '!$H$7)+(F12*'Tiền '!$I$4)+(G12*'Tiền '!$J$4)</f>
        <v>0</v>
      </c>
      <c r="J12" s="14">
        <f>(B12*'Tiền '!$E$6)+(C12*'Tiền '!$F$6)+(D12*'Tiền '!$G$6)+(E12*'Tiền '!$H$6)+(F12*'Tiền '!$I$3)+(G12*'Tiền '!$J$3)</f>
        <v>0</v>
      </c>
      <c r="K12" s="14">
        <v>50000</v>
      </c>
      <c r="L12" s="30"/>
      <c r="M12" s="30">
        <f t="shared" si="2"/>
        <v>468496.563026767</v>
      </c>
      <c r="N12" s="31"/>
      <c r="Q12" s="34">
        <f>'Tiền '!$D$16*H12</f>
        <v>0</v>
      </c>
      <c r="R12" s="34">
        <f t="shared" si="1"/>
        <v>0</v>
      </c>
    </row>
    <row r="13" ht="18">
      <c r="A13" s="12">
        <v>45149</v>
      </c>
      <c r="B13" s="14"/>
      <c r="C13" s="14"/>
      <c r="D13" s="14"/>
      <c r="E13" s="14"/>
      <c r="F13" s="14"/>
      <c r="G13" s="14"/>
      <c r="H13" s="14">
        <f t="shared" si="0"/>
        <v>0</v>
      </c>
      <c r="I13" s="14">
        <f>(B13*'Tiền '!$E$7)+(C13*'Tiền '!$F$7)+(D13*'Tiền '!$G$7)+(E13*'Tiền '!$H$7)+(F13*'Tiền '!$I$4)+(G13*'Tiền '!$J$4)</f>
        <v>0</v>
      </c>
      <c r="J13" s="14">
        <f>(B13*'Tiền '!$E$6)+(C13*'Tiền '!$F$6)+(D13*'Tiền '!$G$6)+(E13*'Tiền '!$H$6)+(F13*'Tiền '!$I$3)+(G13*'Tiền '!$J$3)</f>
        <v>0</v>
      </c>
      <c r="K13" s="14">
        <v>100000</v>
      </c>
      <c r="L13" s="30"/>
      <c r="M13" s="30">
        <f t="shared" si="2"/>
        <v>468496.563026767</v>
      </c>
      <c r="N13" s="31"/>
      <c r="O13" s="34"/>
      <c r="Q13" s="34">
        <f>'Tiền '!$D$16*H13</f>
        <v>0</v>
      </c>
      <c r="R13" s="34">
        <f t="shared" si="1"/>
        <v>0</v>
      </c>
    </row>
    <row r="14" ht="18">
      <c r="A14" s="12">
        <v>45150</v>
      </c>
      <c r="B14" s="14"/>
      <c r="C14" s="14"/>
      <c r="D14" s="14"/>
      <c r="E14" s="14"/>
      <c r="F14" s="14"/>
      <c r="G14" s="14"/>
      <c r="H14" s="14">
        <f t="shared" si="0"/>
        <v>0</v>
      </c>
      <c r="I14" s="14">
        <f>(B14*'Tiền '!$E$7)+(C14*'Tiền '!$F$7)+(D14*'Tiền '!$G$7)+(E14*'Tiền '!$H$7)+(F14*'Tiền '!$I$4)+(G14*'Tiền '!$J$4)</f>
        <v>0</v>
      </c>
      <c r="J14" s="14">
        <f>(B14*'Tiền '!$E$6)+(C14*'Tiền '!$F$6)+(D14*'Tiền '!$G$6)+(E14*'Tiền '!$H$6)+(F14*'Tiền '!$I$3)+(G14*'Tiền '!$J$3)</f>
        <v>0</v>
      </c>
      <c r="K14" s="14">
        <v>200000</v>
      </c>
      <c r="L14" s="30"/>
      <c r="M14" s="30">
        <f t="shared" si="2"/>
        <v>468496.563026767</v>
      </c>
      <c r="N14" s="31"/>
      <c r="O14" s="34"/>
      <c r="Q14" s="34">
        <f>'Tiền '!$D$16*H14</f>
        <v>0</v>
      </c>
      <c r="R14" s="34">
        <f t="shared" si="1"/>
        <v>0</v>
      </c>
    </row>
    <row r="15" ht="18" s="3" customFormat="1">
      <c r="A15" s="12">
        <v>45151</v>
      </c>
      <c r="B15" s="9"/>
      <c r="C15" s="9"/>
      <c r="D15" s="9"/>
      <c r="E15" s="9"/>
      <c r="F15" s="9"/>
      <c r="G15" s="9"/>
      <c r="H15" s="14">
        <f t="shared" si="0"/>
        <v>0</v>
      </c>
      <c r="I15" s="14">
        <f>(B15*'Tiền '!$E$7)+(C15*'Tiền '!$F$7)+(D15*'Tiền '!$G$7)+(E15*'Tiền '!$H$7)+(F15*'Tiền '!$I$4)+(G15*'Tiền '!$J$4)</f>
        <v>0</v>
      </c>
      <c r="J15" s="14">
        <f>(B15*'Tiền '!$E$6)+(C15*'Tiền '!$F$6)+(D15*'Tiền '!$G$6)+(E15*'Tiền '!$H$6)+(F15*'Tiền '!$I$3)+(G15*'Tiền '!$J$3)</f>
        <v>0</v>
      </c>
      <c r="K15" s="14">
        <v>500000</v>
      </c>
      <c r="L15" s="18"/>
      <c r="M15" s="30">
        <f t="shared" si="2"/>
        <v>468496.563026767</v>
      </c>
      <c r="N15" s="23"/>
      <c r="O15" s="34"/>
      <c r="Q15" s="34">
        <f>'Tiền '!$D$16*H15</f>
        <v>0</v>
      </c>
      <c r="R15" s="34">
        <f t="shared" si="1"/>
        <v>0</v>
      </c>
    </row>
    <row r="16" ht="18">
      <c r="A16" s="12">
        <v>45152</v>
      </c>
      <c r="B16" s="9"/>
      <c r="C16" s="9"/>
      <c r="D16" s="9"/>
      <c r="E16" s="9"/>
      <c r="F16" s="9"/>
      <c r="G16" s="9"/>
      <c r="H16" s="14">
        <f t="shared" si="0"/>
        <v>0</v>
      </c>
      <c r="I16" s="14">
        <f>(B16*'Tiền '!$E$7)+(C16*'Tiền '!$F$7)+(D16*'Tiền '!$G$7)+(E16*'Tiền '!$H$7)+(F16*'Tiền '!$I$4)+(G16*'Tiền '!$J$4)</f>
        <v>0</v>
      </c>
      <c r="J16" s="14">
        <f>(B16*'Tiền '!$E$6)+(C16*'Tiền '!$F$6)+(D16*'Tiền '!$G$6)+(E16*'Tiền '!$H$6)+(F16*'Tiền '!$I$3)+(G16*'Tiền '!$J$3)</f>
        <v>0</v>
      </c>
      <c r="K16" s="11" t="s">
        <v>14</v>
      </c>
      <c r="L16" s="19">
        <f>L7*K7+L8*K8+L9*K9+L10*K10+L11*K11+L12*K12+L13*K13+L14*K14+L15*K15</f>
        <v>130000</v>
      </c>
      <c r="M16" s="30">
        <f t="shared" si="2"/>
        <v>468496.563026767</v>
      </c>
      <c r="N16" s="9"/>
      <c r="O16" s="34"/>
      <c r="Q16" s="34">
        <f>'Tiền '!$D$16*H16</f>
        <v>0</v>
      </c>
      <c r="R16" s="34">
        <f t="shared" si="1"/>
        <v>0</v>
      </c>
    </row>
    <row r="17" ht="20.25">
      <c r="A17" s="12">
        <v>45153</v>
      </c>
      <c r="B17" s="35"/>
      <c r="C17" s="35"/>
      <c r="D17" s="35"/>
      <c r="E17" s="35"/>
      <c r="F17" s="35"/>
      <c r="G17" s="35"/>
      <c r="H17" s="14">
        <f t="shared" si="0"/>
        <v>0</v>
      </c>
      <c r="I17" s="14">
        <f>(B17*'Tiền '!$E$7)+(C17*'Tiền '!$F$7)+(D17*'Tiền '!$G$7)+(E17*'Tiền '!$H$7)+(F17*'Tiền '!$I$4)+(G17*'Tiền '!$J$4)</f>
        <v>0</v>
      </c>
      <c r="J17" s="14">
        <f>(B17*'Tiền '!$E$6)+(C17*'Tiền '!$F$6)+(D17*'Tiền '!$G$6)+(E17*'Tiền '!$H$6)+(F17*'Tiền '!$I$3)+(G17*'Tiền '!$J$3)</f>
        <v>0</v>
      </c>
      <c r="K17" s="29"/>
      <c r="L17" s="32"/>
      <c r="M17" s="30">
        <f t="shared" si="2"/>
        <v>468496.563026767</v>
      </c>
      <c r="N17" s="35"/>
      <c r="O17" s="34"/>
      <c r="Q17" s="34">
        <f>'Tiền '!$D$16*H17</f>
        <v>0</v>
      </c>
      <c r="R17" s="34">
        <f t="shared" si="1"/>
        <v>0</v>
      </c>
    </row>
    <row r="18" ht="18">
      <c r="A18" s="12">
        <v>45154</v>
      </c>
      <c r="B18" s="9"/>
      <c r="C18" s="9"/>
      <c r="D18" s="9"/>
      <c r="E18" s="9"/>
      <c r="F18" s="9"/>
      <c r="G18" s="9"/>
      <c r="H18" s="14">
        <f t="shared" si="0"/>
        <v>0</v>
      </c>
      <c r="I18" s="14">
        <f>(B18*'Tiền '!$E$7)+(C18*'Tiền '!$F$7)+(D18*'Tiền '!$G$7)+(E18*'Tiền '!$H$7)+(F18*'Tiền '!$I$4)+(G18*'Tiền '!$J$4)</f>
        <v>0</v>
      </c>
      <c r="J18" s="14">
        <f>(B18*'Tiền '!$E$6)+(C18*'Tiền '!$F$6)+(D18*'Tiền '!$G$6)+(E18*'Tiền '!$H$6)+(F18*'Tiền '!$I$3)+(G18*'Tiền '!$J$3)</f>
        <v>0</v>
      </c>
      <c r="K18" s="3"/>
      <c r="L18" s="25"/>
      <c r="M18" s="30">
        <f t="shared" si="2"/>
        <v>468496.563026767</v>
      </c>
      <c r="N18" s="9"/>
      <c r="O18" s="34"/>
      <c r="Q18" s="34">
        <f>'Tiền '!$D$16*H18</f>
        <v>0</v>
      </c>
      <c r="R18" s="34">
        <f t="shared" si="1"/>
        <v>0</v>
      </c>
    </row>
    <row r="19" ht="18">
      <c r="A19" s="12">
        <v>45155</v>
      </c>
      <c r="B19" s="9"/>
      <c r="C19" s="9"/>
      <c r="D19" s="9"/>
      <c r="E19" s="9"/>
      <c r="F19" s="9"/>
      <c r="G19" s="9"/>
      <c r="H19" s="14">
        <f t="shared" si="0"/>
        <v>0</v>
      </c>
      <c r="I19" s="14">
        <f>(B19*'Tiền '!$E$7)+(C19*'Tiền '!$F$7)+(D19*'Tiền '!$G$7)+(E19*'Tiền '!$H$7)+(F19*'Tiền '!$I$4)+(G19*'Tiền '!$J$4)</f>
        <v>0</v>
      </c>
      <c r="J19" s="14">
        <f>(B19*'Tiền '!$E$6)+(C19*'Tiền '!$F$6)+(D19*'Tiền '!$G$6)+(E19*'Tiền '!$H$6)+(F19*'Tiền '!$I$3)+(G19*'Tiền '!$J$3)</f>
        <v>0</v>
      </c>
      <c r="K19" s="3"/>
      <c r="L19" s="25"/>
      <c r="M19" s="30">
        <f t="shared" si="2"/>
        <v>468496.563026767</v>
      </c>
      <c r="N19" s="9"/>
      <c r="O19" s="34"/>
      <c r="Q19" s="34">
        <f>'Tiền '!$D$16*H19</f>
        <v>0</v>
      </c>
      <c r="R19" s="34">
        <f t="shared" si="1"/>
        <v>0</v>
      </c>
    </row>
    <row r="20" ht="18">
      <c r="A20" s="12">
        <v>45156</v>
      </c>
      <c r="B20" s="9"/>
      <c r="C20" s="9"/>
      <c r="D20" s="9"/>
      <c r="E20" s="9"/>
      <c r="F20" s="9"/>
      <c r="G20" s="9"/>
      <c r="H20" s="14">
        <f t="shared" si="0"/>
        <v>0</v>
      </c>
      <c r="I20" s="14">
        <f>(B20*'Tiền '!$E$7)+(C20*'Tiền '!$F$7)+(D20*'Tiền '!$G$7)+(E20*'Tiền '!$H$7)+(F20*'Tiền '!$I$4)+(G20*'Tiền '!$J$4)</f>
        <v>0</v>
      </c>
      <c r="J20" s="14">
        <f>(B20*'Tiền '!$E$6)+(C20*'Tiền '!$F$6)+(D20*'Tiền '!$G$6)+(E20*'Tiền '!$H$6)+(F20*'Tiền '!$I$3)+(G20*'Tiền '!$J$3)</f>
        <v>0</v>
      </c>
      <c r="K20" s="3"/>
      <c r="L20" s="25"/>
      <c r="M20" s="30">
        <f t="shared" si="2"/>
        <v>468496.563026767</v>
      </c>
      <c r="N20" s="9"/>
      <c r="O20" s="34"/>
      <c r="Q20" s="34">
        <f>'Tiền '!$D$16*H20</f>
        <v>0</v>
      </c>
      <c r="R20" s="34">
        <f t="shared" si="1"/>
        <v>0</v>
      </c>
    </row>
    <row r="21" ht="18">
      <c r="A21" s="12">
        <v>45157</v>
      </c>
      <c r="B21" s="9"/>
      <c r="C21" s="9"/>
      <c r="D21" s="9"/>
      <c r="E21" s="9"/>
      <c r="F21" s="9"/>
      <c r="G21" s="9"/>
      <c r="H21" s="14">
        <f t="shared" si="0"/>
        <v>0</v>
      </c>
      <c r="I21" s="14">
        <f>(B21*'Tiền '!$E$7)+(C21*'Tiền '!$F$7)+(D21*'Tiền '!$G$7)+(E21*'Tiền '!$H$7)+(F21*'Tiền '!$I$4)+(G21*'Tiền '!$J$4)</f>
        <v>0</v>
      </c>
      <c r="J21" s="14">
        <f>(B21*'Tiền '!$E$6)+(C21*'Tiền '!$F$6)+(D21*'Tiền '!$G$6)+(E21*'Tiền '!$H$6)+(F21*'Tiền '!$I$3)+(G21*'Tiền '!$J$3)</f>
        <v>0</v>
      </c>
      <c r="K21" s="3"/>
      <c r="L21" s="25"/>
      <c r="M21" s="30">
        <f t="shared" si="2"/>
        <v>468496.563026767</v>
      </c>
      <c r="N21" s="9"/>
      <c r="O21" s="34"/>
      <c r="Q21" s="34">
        <f>'Tiền '!$D$16*H21</f>
        <v>0</v>
      </c>
      <c r="R21" s="34">
        <f t="shared" si="1"/>
        <v>0</v>
      </c>
    </row>
    <row r="22" ht="18">
      <c r="A22" s="12">
        <v>45158</v>
      </c>
      <c r="B22" s="9"/>
      <c r="C22" s="9"/>
      <c r="D22" s="9"/>
      <c r="E22" s="9"/>
      <c r="F22" s="9"/>
      <c r="G22" s="9"/>
      <c r="H22" s="14">
        <f t="shared" si="0"/>
        <v>0</v>
      </c>
      <c r="I22" s="14">
        <f>(B22*'Tiền '!$E$7)+(C22*'Tiền '!$F$7)+(D22*'Tiền '!$G$7)+(E22*'Tiền '!$H$7)+(F22*'Tiền '!$I$4)+(G22*'Tiền '!$J$4)</f>
        <v>0</v>
      </c>
      <c r="J22" s="14">
        <f>(B22*'Tiền '!$E$6)+(C22*'Tiền '!$F$6)+(D22*'Tiền '!$G$6)+(E22*'Tiền '!$H$6)+(F22*'Tiền '!$I$3)+(G22*'Tiền '!$J$3)</f>
        <v>0</v>
      </c>
      <c r="K22" s="3"/>
      <c r="L22" s="25"/>
      <c r="M22" s="30">
        <f t="shared" si="2"/>
        <v>468496.563026767</v>
      </c>
      <c r="N22" s="9"/>
      <c r="O22" s="34"/>
      <c r="Q22" s="34">
        <f>'Tiền '!$D$16*H22</f>
        <v>0</v>
      </c>
      <c r="R22" s="34">
        <f t="shared" si="1"/>
        <v>0</v>
      </c>
    </row>
    <row r="23" ht="18">
      <c r="A23" s="12">
        <v>45159</v>
      </c>
      <c r="B23" s="9"/>
      <c r="C23" s="9"/>
      <c r="D23" s="9"/>
      <c r="E23" s="9"/>
      <c r="F23" s="9"/>
      <c r="G23" s="9"/>
      <c r="H23" s="14">
        <f t="shared" si="0"/>
        <v>0</v>
      </c>
      <c r="I23" s="14">
        <f>(B23*'Tiền '!$E$7)+(C23*'Tiền '!$F$7)+(D23*'Tiền '!$G$7)+(E23*'Tiền '!$H$7)+(F23*'Tiền '!$I$4)+(G23*'Tiền '!$J$4)</f>
        <v>0</v>
      </c>
      <c r="J23" s="14">
        <f>(B23*'Tiền '!$E$6)+(C23*'Tiền '!$F$6)+(D23*'Tiền '!$G$6)+(E23*'Tiền '!$H$6)+(F23*'Tiền '!$I$3)+(G23*'Tiền '!$J$3)</f>
        <v>0</v>
      </c>
      <c r="K23" s="3"/>
      <c r="L23" s="25"/>
      <c r="M23" s="30">
        <f t="shared" si="2"/>
        <v>468496.563026767</v>
      </c>
      <c r="N23" s="9"/>
      <c r="O23" s="34"/>
      <c r="Q23" s="34">
        <f>'Tiền '!$D$16*H23</f>
        <v>0</v>
      </c>
      <c r="R23" s="34">
        <f t="shared" si="1"/>
        <v>0</v>
      </c>
    </row>
    <row r="24" ht="18">
      <c r="A24" s="12">
        <v>45160</v>
      </c>
      <c r="B24" s="9"/>
      <c r="C24" s="9"/>
      <c r="D24" s="9"/>
      <c r="E24" s="9"/>
      <c r="F24" s="9"/>
      <c r="G24" s="9"/>
      <c r="H24" s="14">
        <f t="shared" si="0"/>
        <v>0</v>
      </c>
      <c r="I24" s="14">
        <f>(B24*'Tiền '!$E$7)+(C24*'Tiền '!$F$7)+(D24*'Tiền '!$G$7)+(E24*'Tiền '!$H$7)+(F24*'Tiền '!$I$4)+(G24*'Tiền '!$J$4)</f>
        <v>0</v>
      </c>
      <c r="J24" s="14">
        <f>(B24*'Tiền '!$E$6)+(C24*'Tiền '!$F$6)+(D24*'Tiền '!$G$6)+(E24*'Tiền '!$H$6)+(F24*'Tiền '!$I$3)+(G24*'Tiền '!$J$3)</f>
        <v>0</v>
      </c>
      <c r="K24" s="3"/>
      <c r="L24" s="3"/>
      <c r="M24" s="30">
        <f t="shared" si="2"/>
        <v>468496.563026767</v>
      </c>
      <c r="N24" s="9"/>
      <c r="O24" s="34"/>
      <c r="Q24" s="34">
        <f>'Tiền '!$D$16*H24</f>
        <v>0</v>
      </c>
      <c r="R24" s="34">
        <f t="shared" si="1"/>
        <v>0</v>
      </c>
    </row>
    <row r="25" ht="18">
      <c r="A25" s="12">
        <v>45161</v>
      </c>
      <c r="B25" s="9"/>
      <c r="C25" s="9"/>
      <c r="D25" s="9"/>
      <c r="E25" s="9"/>
      <c r="F25" s="9"/>
      <c r="G25" s="9"/>
      <c r="H25" s="14">
        <f t="shared" si="0"/>
        <v>0</v>
      </c>
      <c r="I25" s="14">
        <f>(B25*'Tiền '!$E$7)+(C25*'Tiền '!$F$7)+(D25*'Tiền '!$G$7)+(E25*'Tiền '!$H$7)+(F25*'Tiền '!$I$4)+(G25*'Tiền '!$J$4)</f>
        <v>0</v>
      </c>
      <c r="J25" s="14">
        <f>(B25*'Tiền '!$E$6)+(C25*'Tiền '!$F$6)+(D25*'Tiền '!$G$6)+(E25*'Tiền '!$H$6)+(F25*'Tiền '!$I$3)+(G25*'Tiền '!$J$3)</f>
        <v>0</v>
      </c>
      <c r="K25" s="3"/>
      <c r="L25" s="3"/>
      <c r="M25" s="30">
        <f t="shared" si="2"/>
        <v>468496.563026767</v>
      </c>
      <c r="N25" s="9"/>
      <c r="Q25" s="34">
        <f>'Tiền '!$D$16*H25</f>
        <v>0</v>
      </c>
      <c r="R25" s="34">
        <f t="shared" si="1"/>
        <v>0</v>
      </c>
    </row>
    <row r="26" ht="18">
      <c r="A26" s="12">
        <v>45162</v>
      </c>
      <c r="B26" s="9"/>
      <c r="C26" s="9"/>
      <c r="D26" s="9"/>
      <c r="E26" s="9"/>
      <c r="F26" s="9"/>
      <c r="G26" s="9"/>
      <c r="H26" s="14">
        <f t="shared" si="0"/>
        <v>0</v>
      </c>
      <c r="I26" s="14">
        <f>(B26*'Tiền '!$E$7)+(C26*'Tiền '!$F$7)+(D26*'Tiền '!$G$7)+(E26*'Tiền '!$H$7)+(F26*'Tiền '!$I$4)+(G26*'Tiền '!$J$4)</f>
        <v>0</v>
      </c>
      <c r="J26" s="14">
        <f>(B26*'Tiền '!$E$6)+(C26*'Tiền '!$F$6)+(D26*'Tiền '!$G$6)+(E26*'Tiền '!$H$6)+(F26*'Tiền '!$I$3)+(G26*'Tiền '!$J$3)</f>
        <v>0</v>
      </c>
      <c r="K26" s="3"/>
      <c r="L26" s="3"/>
      <c r="M26" s="30">
        <f t="shared" si="2"/>
        <v>468496.563026767</v>
      </c>
      <c r="N26" s="9"/>
      <c r="Q26" s="34">
        <f>'Tiền '!$D$16*H26</f>
        <v>0</v>
      </c>
      <c r="R26" s="34">
        <f t="shared" si="1"/>
        <v>0</v>
      </c>
    </row>
    <row r="27" ht="18">
      <c r="A27" s="12">
        <v>45163</v>
      </c>
      <c r="B27" s="9"/>
      <c r="C27" s="9"/>
      <c r="D27" s="9"/>
      <c r="E27" s="9"/>
      <c r="F27" s="9"/>
      <c r="G27" s="9"/>
      <c r="H27" s="14">
        <f t="shared" si="0"/>
        <v>0</v>
      </c>
      <c r="I27" s="14">
        <f>(B27*'Tiền '!$E$7)+(C27*'Tiền '!$F$7)+(D27*'Tiền '!$G$7)+(E27*'Tiền '!$H$7)+(F27*'Tiền '!$I$4)+(G27*'Tiền '!$J$4)</f>
        <v>0</v>
      </c>
      <c r="J27" s="14">
        <f>(B27*'Tiền '!$E$6)+(C27*'Tiền '!$F$6)+(D27*'Tiền '!$G$6)+(E27*'Tiền '!$H$6)+(F27*'Tiền '!$I$3)+(G27*'Tiền '!$J$3)</f>
        <v>0</v>
      </c>
      <c r="K27" s="3"/>
      <c r="L27" s="3"/>
      <c r="M27" s="30">
        <f t="shared" si="2"/>
        <v>468496.563026767</v>
      </c>
      <c r="N27" s="9"/>
      <c r="Q27" s="34">
        <f>'Tiền '!$D$16*H27</f>
        <v>0</v>
      </c>
      <c r="R27" s="34">
        <f t="shared" si="1"/>
        <v>0</v>
      </c>
    </row>
    <row r="28" ht="18">
      <c r="A28" s="12">
        <v>45164</v>
      </c>
      <c r="B28" s="9"/>
      <c r="C28" s="9"/>
      <c r="D28" s="9"/>
      <c r="E28" s="9"/>
      <c r="F28" s="9"/>
      <c r="G28" s="9"/>
      <c r="H28" s="14">
        <f t="shared" si="0"/>
        <v>0</v>
      </c>
      <c r="I28" s="14">
        <f>(B28*'Tiền '!$E$7)+(C28*'Tiền '!$F$7)+(D28*'Tiền '!$G$7)+(E28*'Tiền '!$H$7)+(F28*'Tiền '!$I$4)+(G28*'Tiền '!$J$4)</f>
        <v>0</v>
      </c>
      <c r="J28" s="14">
        <f>(B28*'Tiền '!$E$6)+(C28*'Tiền '!$F$6)+(D28*'Tiền '!$G$6)+(E28*'Tiền '!$H$6)+(F28*'Tiền '!$I$3)+(G28*'Tiền '!$J$3)</f>
        <v>0</v>
      </c>
      <c r="K28" s="3"/>
      <c r="L28" s="3"/>
      <c r="M28" s="30">
        <f t="shared" si="2"/>
        <v>468496.563026767</v>
      </c>
      <c r="N28" s="9"/>
      <c r="Q28" s="34">
        <f>'Tiền '!$D$16*H28</f>
        <v>0</v>
      </c>
      <c r="R28" s="34">
        <f t="shared" si="1"/>
        <v>0</v>
      </c>
    </row>
    <row r="29" ht="18">
      <c r="A29" s="12">
        <v>45165</v>
      </c>
      <c r="B29" s="9"/>
      <c r="C29" s="9"/>
      <c r="D29" s="9"/>
      <c r="E29" s="9"/>
      <c r="F29" s="9"/>
      <c r="G29" s="9"/>
      <c r="H29" s="14">
        <f t="shared" si="0"/>
        <v>0</v>
      </c>
      <c r="I29" s="14">
        <f>(B29*'Tiền '!$E$7)+(C29*'Tiền '!$F$7)+(D29*'Tiền '!$G$7)+(E29*'Tiền '!$H$7)+(F29*'Tiền '!$I$4)+(G29*'Tiền '!$J$4)</f>
        <v>0</v>
      </c>
      <c r="J29" s="14">
        <f>(B29*'Tiền '!$E$6)+(C29*'Tiền '!$F$6)+(D29*'Tiền '!$G$6)+(E29*'Tiền '!$H$6)+(F29*'Tiền '!$I$3)+(G29*'Tiền '!$J$3)</f>
        <v>0</v>
      </c>
      <c r="K29" s="3"/>
      <c r="L29" s="3"/>
      <c r="M29" s="30">
        <f t="shared" si="2"/>
        <v>468496.563026767</v>
      </c>
      <c r="N29" s="9"/>
      <c r="Q29" s="34">
        <f>'Tiền '!$D$16*H29</f>
        <v>0</v>
      </c>
      <c r="R29" s="34">
        <f t="shared" si="1"/>
        <v>0</v>
      </c>
    </row>
    <row r="30" ht="18">
      <c r="A30" s="12">
        <v>45166</v>
      </c>
      <c r="B30" s="9"/>
      <c r="C30" s="9"/>
      <c r="D30" s="9"/>
      <c r="E30" s="9"/>
      <c r="F30" s="9"/>
      <c r="G30" s="9"/>
      <c r="H30" s="14">
        <f t="shared" si="0"/>
        <v>0</v>
      </c>
      <c r="I30" s="14">
        <f>(B30*'Tiền '!$E$7)+(C30*'Tiền '!$F$7)+(D30*'Tiền '!$G$7)+(E30*'Tiền '!$H$7)+(F30*'Tiền '!$I$4)+(G30*'Tiền '!$J$4)</f>
        <v>0</v>
      </c>
      <c r="J30" s="14">
        <f>(B30*'Tiền '!$E$6)+(C30*'Tiền '!$F$6)+(D30*'Tiền '!$G$6)+(E30*'Tiền '!$H$6)+(F30*'Tiền '!$I$3)+(G30*'Tiền '!$J$3)</f>
        <v>0</v>
      </c>
      <c r="K30" s="3"/>
      <c r="L30" s="3"/>
      <c r="M30" s="30">
        <f t="shared" si="2"/>
        <v>468496.563026767</v>
      </c>
      <c r="N30" s="9"/>
      <c r="Q30" s="34">
        <f>'Tiền '!$D$16*H30</f>
        <v>0</v>
      </c>
      <c r="R30" s="34">
        <f t="shared" si="1"/>
        <v>0</v>
      </c>
    </row>
    <row r="31" ht="18">
      <c r="A31" s="12">
        <v>45167</v>
      </c>
      <c r="B31" s="9"/>
      <c r="C31" s="9"/>
      <c r="D31" s="9"/>
      <c r="E31" s="9"/>
      <c r="F31" s="9"/>
      <c r="G31" s="9"/>
      <c r="H31" s="14">
        <f t="shared" si="0"/>
        <v>0</v>
      </c>
      <c r="I31" s="14">
        <f>(B31*'Tiền '!$E$7)+(C31*'Tiền '!$F$7)+(D31*'Tiền '!$G$7)+(E31*'Tiền '!$H$7)+(F31*'Tiền '!$I$4)+(G31*'Tiền '!$J$4)</f>
        <v>0</v>
      </c>
      <c r="J31" s="14">
        <f>(B31*'Tiền '!$E$6)+(C31*'Tiền '!$F$6)+(D31*'Tiền '!$G$6)+(E31*'Tiền '!$H$6)+(F31*'Tiền '!$I$3)+(G31*'Tiền '!$J$3)</f>
        <v>0</v>
      </c>
      <c r="K31" s="3"/>
      <c r="L31" s="3"/>
      <c r="M31" s="30">
        <f t="shared" si="2"/>
        <v>468496.563026767</v>
      </c>
      <c r="N31" s="9"/>
      <c r="Q31" s="34">
        <f>'Tiền '!$D$16*H31</f>
        <v>0</v>
      </c>
      <c r="R31" s="34">
        <f t="shared" si="1"/>
        <v>0</v>
      </c>
    </row>
    <row r="32" ht="18">
      <c r="A32" s="12">
        <v>45168</v>
      </c>
      <c r="B32" s="49"/>
      <c r="C32" s="49"/>
      <c r="D32" s="49"/>
      <c r="E32" s="49"/>
      <c r="F32" s="49"/>
      <c r="G32" s="49"/>
      <c r="H32" s="46">
        <f t="shared" si="0"/>
        <v>0</v>
      </c>
      <c r="I32" s="14">
        <f>(B32*'Tiền '!$E$7)+(C32*'Tiền '!$F$7)+(D32*'Tiền '!$G$7)+(E32*'Tiền '!$H$7)+(F32*'Tiền '!$I$4)+(G32*'Tiền '!$J$4)</f>
        <v>0</v>
      </c>
      <c r="J32" s="14">
        <f>(B32*'Tiền '!$E$6)+(C32*'Tiền '!$F$6)+(D32*'Tiền '!$G$6)+(E32*'Tiền '!$H$6)+(F32*'Tiền '!$I$3)+(G32*'Tiền '!$J$3)</f>
        <v>0</v>
      </c>
      <c r="K32" s="3"/>
      <c r="L32" s="3"/>
      <c r="M32" s="30">
        <f t="shared" si="2"/>
        <v>468496.563026767</v>
      </c>
      <c r="N32" s="49"/>
      <c r="Q32" s="34">
        <f>'Tiền '!$D$16*H32</f>
        <v>0</v>
      </c>
      <c r="R32" s="34">
        <f t="shared" si="1"/>
        <v>0</v>
      </c>
    </row>
    <row r="33" ht="18" s="54" customFormat="1">
      <c r="A33" s="51"/>
      <c r="B33" s="50"/>
      <c r="C33" s="50"/>
      <c r="D33" s="50"/>
      <c r="E33" s="50"/>
      <c r="F33" s="50"/>
      <c r="G33" s="50"/>
      <c r="H33" s="50"/>
      <c r="I33" s="52"/>
      <c r="J33" s="52"/>
      <c r="K33" s="50"/>
      <c r="L33" s="50"/>
      <c r="M33" s="53"/>
      <c r="N33" s="50"/>
      <c r="Q33" s="63">
        <f>42000</f>
        <v>42000</v>
      </c>
    </row>
    <row r="34" ht="18">
      <c r="I34" s="4"/>
      <c r="J34" s="4"/>
      <c r="M34" s="25"/>
      <c r="N34" s="3"/>
    </row>
  </sheetData>
  <mergeCells>
    <mergeCell ref="A1:I1"/>
    <mergeCell ref="K1:L1"/>
    <mergeCell ref="K2:L2"/>
    <mergeCell ref="K3:L3"/>
    <mergeCell ref="K4:L4"/>
  </mergeCell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8027-D8A9-4115-A6D9-9234493B80FA}">
  <dimension ref="A1:R34"/>
  <sheetViews>
    <sheetView zoomScale="65" zoomScaleNormal="59" workbookViewId="0">
      <selection activeCell="A3" sqref="A3:A32"/>
    </sheetView>
  </sheetViews>
  <sheetFormatPr defaultColWidth="8.7109375" defaultRowHeight="14.25"/>
  <cols>
    <col min="1" max="1" bestFit="1" width="16" customWidth="1" style="28"/>
    <col min="2" max="2" bestFit="1" width="14.42578125" customWidth="1" style="28"/>
    <col min="3" max="3" bestFit="1" width="14.5703125" customWidth="1" style="28"/>
    <col min="4" max="4" bestFit="1" width="9.42578125" customWidth="1" style="28"/>
    <col min="5" max="5" bestFit="1" width="15.7109375" customWidth="1" style="28"/>
    <col min="6" max="6" bestFit="1" width="8.85546875" customWidth="1" style="28"/>
    <col min="7" max="7" bestFit="1" width="15.28515625" customWidth="1" style="28"/>
    <col min="8" max="8" bestFit="1" width="10.140625" customWidth="1" style="28"/>
    <col min="9" max="9" bestFit="1" width="11.140625" customWidth="1" style="28"/>
    <col min="10" max="10" bestFit="1" width="12.5703125" customWidth="1" style="28"/>
    <col min="11" max="11" bestFit="1" width="11.85546875" customWidth="1" style="28"/>
    <col min="12" max="12" bestFit="1" width="14.7109375" customWidth="1" style="28"/>
    <col min="13" max="14" width="8.7109375" customWidth="1" style="28"/>
    <col min="15" max="15" bestFit="1" width="20.85546875" customWidth="1" style="28"/>
    <col min="16" max="16" bestFit="1" width="9.28515625" customWidth="1" style="28"/>
    <col min="17" max="23" width="8.7109375" customWidth="1" style="28"/>
    <col min="24" max="16384" width="8.7109375" customWidth="1" style="28"/>
  </cols>
  <sheetData>
    <row r="1" ht="2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5"/>
      <c r="K1" s="79" t="s">
        <v>15</v>
      </c>
      <c r="L1" s="79"/>
      <c r="M1" s="3"/>
      <c r="N1" s="3"/>
    </row>
    <row r="2" ht="18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0"/>
      <c r="L2" s="83"/>
      <c r="M2" s="20"/>
      <c r="N2" s="20"/>
    </row>
    <row r="3" ht="20.25">
      <c r="A3" s="12">
        <v>45170</v>
      </c>
      <c r="B3" s="9"/>
      <c r="C3" s="9"/>
      <c r="D3" s="9"/>
      <c r="E3" s="9"/>
      <c r="F3" s="9"/>
      <c r="G3" s="9"/>
      <c r="H3" s="14">
        <f>SUM(B3:G3)</f>
        <v>0</v>
      </c>
      <c r="I3" s="14">
        <f>(B3*'Tiền '!$E$7)+(C3*'Tiền '!$F$7)+(D3*'Tiền '!$G$7)+(E3*'Tiền '!$H$7)+(F3*'Tiền '!$I$4)+(G3*'Tiền '!$J$4)</f>
        <v>0</v>
      </c>
      <c r="J3" s="14">
        <f>(B3*'Tiền '!$E$6)+(C3*'Tiền '!$F$6)+(D3*'Tiền '!$G$6)+(E3*'Tiền '!$H$6)+(F3*'Tiền '!$I$3)+(G3*'Tiền '!$J$3)</f>
        <v>0</v>
      </c>
      <c r="K3" s="79" t="s">
        <v>12</v>
      </c>
      <c r="L3" s="82"/>
      <c r="M3" s="14"/>
      <c r="N3" s="46"/>
      <c r="O3" s="9"/>
      <c r="P3" s="39"/>
      <c r="Q3" s="28">
        <f>'Tiền '!$D$16*H3</f>
        <v>0</v>
      </c>
      <c r="R3" s="34">
        <f>J3+I3</f>
        <v>0</v>
      </c>
    </row>
    <row r="4" ht="18">
      <c r="A4" s="12">
        <v>45171</v>
      </c>
      <c r="B4" s="9"/>
      <c r="C4" s="9"/>
      <c r="D4" s="9"/>
      <c r="E4" s="9"/>
      <c r="F4" s="9"/>
      <c r="G4" s="9"/>
      <c r="H4" s="14">
        <f ref="H4:H32" t="shared" si="0">SUM(B4:G4)</f>
        <v>0</v>
      </c>
      <c r="I4" s="14">
        <f>(B4*'Tiền '!$E$7)+(C4*'Tiền '!$F$7)+(D4*'Tiền '!$G$7)+(E4*'Tiền '!$H$7)+(F4*'Tiền '!$I$4)+(G4*'Tiền '!$J$4)</f>
        <v>0</v>
      </c>
      <c r="J4" s="14">
        <f>(B4*'Tiền '!$E$6)+(C4*'Tiền '!$F$6)+(D4*'Tiền '!$G$6)+(E4*'Tiền '!$H$6)+(F4*'Tiền '!$I$3)+(G4*'Tiền '!$J$3)</f>
        <v>0</v>
      </c>
      <c r="K4" s="80">
        <f>SUM(J3:J34)</f>
        <v>0</v>
      </c>
      <c r="L4" s="83"/>
      <c r="M4" s="30"/>
      <c r="N4" s="9"/>
      <c r="O4" s="9" t="s">
        <v>22</v>
      </c>
      <c r="P4" s="39">
        <f>(L16*60)/100</f>
        <v>0</v>
      </c>
      <c r="Q4" s="28">
        <f>'Tiền '!$D$16*H4</f>
        <v>0</v>
      </c>
      <c r="R4" s="34">
        <f ref="R4:R32" t="shared" si="1">J4+I4</f>
        <v>0</v>
      </c>
    </row>
    <row r="5" ht="18">
      <c r="A5" s="12">
        <v>45172</v>
      </c>
      <c r="B5" s="9"/>
      <c r="C5" s="9"/>
      <c r="D5" s="9"/>
      <c r="E5" s="9"/>
      <c r="F5" s="9"/>
      <c r="G5" s="9"/>
      <c r="H5" s="14">
        <f t="shared" si="0"/>
        <v>0</v>
      </c>
      <c r="I5" s="14">
        <f>(B5*'Tiền '!$E$7)+(C5*'Tiền '!$F$7)+(D5*'Tiền '!$G$7)+(E5*'Tiền '!$H$7)+(F5*'Tiền '!$I$4)+(G5*'Tiền '!$J$4)</f>
        <v>0</v>
      </c>
      <c r="J5" s="14">
        <f>(B5*'Tiền '!$E$6)+(C5*'Tiền '!$F$6)+(D5*'Tiền '!$G$6)+(E5*'Tiền '!$H$6)+(F5*'Tiền '!$I$3)+(G5*'Tiền '!$J$3)</f>
        <v>0</v>
      </c>
      <c r="K5" s="3"/>
      <c r="M5" s="14"/>
      <c r="N5" s="47"/>
      <c r="Q5" s="28">
        <f>'Tiền '!$D$16*H5</f>
        <v>0</v>
      </c>
      <c r="R5" s="34">
        <f t="shared" si="1"/>
        <v>0</v>
      </c>
    </row>
    <row r="6" ht="18">
      <c r="A6" s="12">
        <v>45173</v>
      </c>
      <c r="B6" s="9"/>
      <c r="C6" s="9"/>
      <c r="D6" s="9"/>
      <c r="E6" s="9"/>
      <c r="F6" s="9"/>
      <c r="G6" s="9"/>
      <c r="H6" s="14">
        <f t="shared" si="0"/>
        <v>0</v>
      </c>
      <c r="I6" s="14">
        <f>(B6*'Tiền '!$E$7)+(C6*'Tiền '!$F$7)+(D6*'Tiền '!$G$7)+(E6*'Tiền '!$H$7)+(F6*'Tiền '!$I$4)+(G6*'Tiền '!$J$4)</f>
        <v>0</v>
      </c>
      <c r="J6" s="14">
        <f>(B6*'Tiền '!$E$6)+(C6*'Tiền '!$F$6)+(D6*'Tiền '!$G$6)+(E6*'Tiền '!$H$6)+(F6*'Tiền '!$I$3)+(G6*'Tiền '!$J$3)</f>
        <v>0</v>
      </c>
      <c r="K6" s="9"/>
      <c r="L6" s="17"/>
      <c r="M6" s="14"/>
      <c r="N6" s="23"/>
      <c r="Q6" s="28">
        <f>'Tiền '!$D$16*H6</f>
        <v>0</v>
      </c>
      <c r="R6" s="34">
        <f t="shared" si="1"/>
        <v>0</v>
      </c>
    </row>
    <row r="7" ht="18">
      <c r="A7" s="12">
        <v>45174</v>
      </c>
      <c r="B7" s="9"/>
      <c r="C7" s="9"/>
      <c r="D7" s="9"/>
      <c r="E7" s="9"/>
      <c r="F7" s="9"/>
      <c r="G7" s="9"/>
      <c r="H7" s="14">
        <f t="shared" si="0"/>
        <v>0</v>
      </c>
      <c r="I7" s="14">
        <f>(B7*'Tiền '!$E$7)+(C7*'Tiền '!$F$7)+(D7*'Tiền '!$G$7)+(E7*'Tiền '!$H$7)+(F7*'Tiền '!$I$4)+(G7*'Tiền '!$J$4)</f>
        <v>0</v>
      </c>
      <c r="J7" s="14">
        <f>(B7*'Tiền '!$E$6)+(C7*'Tiền '!$F$6)+(D7*'Tiền '!$G$6)+(E7*'Tiền '!$H$6)+(F7*'Tiền '!$I$3)+(G7*'Tiền '!$J$3)</f>
        <v>0</v>
      </c>
      <c r="K7" s="9">
        <v>1000</v>
      </c>
      <c r="L7" s="18"/>
      <c r="M7" s="14"/>
      <c r="N7" s="23"/>
      <c r="Q7" s="28">
        <f>'Tiền '!$D$16*H7</f>
        <v>0</v>
      </c>
      <c r="R7" s="34">
        <f t="shared" si="1"/>
        <v>0</v>
      </c>
    </row>
    <row r="8" ht="18">
      <c r="A8" s="12">
        <v>45175</v>
      </c>
      <c r="B8" s="9"/>
      <c r="C8" s="9"/>
      <c r="D8" s="9"/>
      <c r="E8" s="9"/>
      <c r="F8" s="9"/>
      <c r="G8" s="9"/>
      <c r="H8" s="14">
        <f t="shared" si="0"/>
        <v>0</v>
      </c>
      <c r="I8" s="14">
        <f>(B8*'Tiền '!$E$7)+(C8*'Tiền '!$F$7)+(D8*'Tiền '!$G$7)+(E8*'Tiền '!$H$7)+(F8*'Tiền '!$I$4)+(G8*'Tiền '!$J$4)</f>
        <v>0</v>
      </c>
      <c r="J8" s="14">
        <f>(B8*'Tiền '!$E$6)+(C8*'Tiền '!$F$6)+(D8*'Tiền '!$G$6)+(E8*'Tiền '!$H$6)+(F8*'Tiền '!$I$3)+(G8*'Tiền '!$J$3)</f>
        <v>0</v>
      </c>
      <c r="K8" s="9">
        <v>2000</v>
      </c>
      <c r="L8" s="18"/>
      <c r="M8" s="14"/>
      <c r="N8" s="23"/>
      <c r="Q8" s="28">
        <f>'Tiền '!$D$16*H8</f>
        <v>0</v>
      </c>
      <c r="R8" s="34">
        <f t="shared" si="1"/>
        <v>0</v>
      </c>
    </row>
    <row r="9" ht="18">
      <c r="A9" s="12">
        <v>45176</v>
      </c>
      <c r="B9" s="14"/>
      <c r="C9" s="14"/>
      <c r="D9" s="14"/>
      <c r="E9" s="14"/>
      <c r="F9" s="14"/>
      <c r="G9" s="14"/>
      <c r="H9" s="14">
        <f t="shared" si="0"/>
        <v>0</v>
      </c>
      <c r="I9" s="14">
        <f>(B9*'Tiền '!$E$7)+(C9*'Tiền '!$F$7)+(D9*'Tiền '!$G$7)+(E9*'Tiền '!$H$7)+(F9*'Tiền '!$I$4)+(G9*'Tiền '!$J$4)</f>
        <v>0</v>
      </c>
      <c r="J9" s="14">
        <f>(B9*'Tiền '!$E$6)+(C9*'Tiền '!$F$6)+(D9*'Tiền '!$G$6)+(E9*'Tiền '!$H$6)+(F9*'Tiền '!$I$3)+(G9*'Tiền '!$J$3)</f>
        <v>0</v>
      </c>
      <c r="K9" s="14">
        <v>5000</v>
      </c>
      <c r="L9" s="30"/>
      <c r="M9" s="14"/>
      <c r="N9" s="31"/>
      <c r="Q9" s="28">
        <f>'Tiền '!$D$16*H9</f>
        <v>0</v>
      </c>
      <c r="R9" s="34">
        <f t="shared" si="1"/>
        <v>0</v>
      </c>
    </row>
    <row r="10" ht="18">
      <c r="A10" s="12">
        <v>45177</v>
      </c>
      <c r="B10" s="14"/>
      <c r="C10" s="14"/>
      <c r="D10" s="14"/>
      <c r="E10" s="14"/>
      <c r="F10" s="14"/>
      <c r="G10" s="14"/>
      <c r="H10" s="14">
        <f t="shared" si="0"/>
        <v>0</v>
      </c>
      <c r="I10" s="14">
        <f>(B10*'Tiền '!$E$7)+(C10*'Tiền '!$F$7)+(D10*'Tiền '!$G$7)+(E10*'Tiền '!$H$7)+(F10*'Tiền '!$I$4)+(G10*'Tiền '!$J$4)</f>
        <v>0</v>
      </c>
      <c r="J10" s="14">
        <f>(B10*'Tiền '!$E$6)+(C10*'Tiền '!$F$6)+(D10*'Tiền '!$G$6)+(E10*'Tiền '!$H$6)+(F10*'Tiền '!$I$3)+(G10*'Tiền '!$J$3)</f>
        <v>0</v>
      </c>
      <c r="K10" s="14">
        <v>10000</v>
      </c>
      <c r="L10" s="30"/>
      <c r="M10" s="14"/>
      <c r="N10" s="31"/>
      <c r="Q10" s="28">
        <f>'Tiền '!$D$16*H10</f>
        <v>0</v>
      </c>
      <c r="R10" s="34">
        <f t="shared" si="1"/>
        <v>0</v>
      </c>
    </row>
    <row r="11" ht="18">
      <c r="A11" s="12">
        <v>45178</v>
      </c>
      <c r="B11" s="14"/>
      <c r="C11" s="14"/>
      <c r="D11" s="14"/>
      <c r="E11" s="14"/>
      <c r="F11" s="14"/>
      <c r="G11" s="14"/>
      <c r="H11" s="14">
        <f t="shared" si="0"/>
        <v>0</v>
      </c>
      <c r="I11" s="14">
        <f>(B11*'Tiền '!$E$7)+(C11*'Tiền '!$F$7)+(D11*'Tiền '!$G$7)+(E11*'Tiền '!$H$7)+(F11*'Tiền '!$I$4)+(G11*'Tiền '!$J$4)</f>
        <v>0</v>
      </c>
      <c r="J11" s="14">
        <f>(B11*'Tiền '!$E$6)+(C11*'Tiền '!$F$6)+(D11*'Tiền '!$G$6)+(E11*'Tiền '!$H$6)+(F11*'Tiền '!$I$3)+(G11*'Tiền '!$J$3)</f>
        <v>0</v>
      </c>
      <c r="K11" s="14">
        <v>20000</v>
      </c>
      <c r="L11" s="30"/>
      <c r="M11" s="14"/>
      <c r="N11" s="31"/>
      <c r="Q11" s="28">
        <f>'Tiền '!$D$16*H11</f>
        <v>0</v>
      </c>
      <c r="R11" s="34">
        <f t="shared" si="1"/>
        <v>0</v>
      </c>
    </row>
    <row r="12" ht="18">
      <c r="A12" s="12">
        <v>45179</v>
      </c>
      <c r="B12" s="14"/>
      <c r="C12" s="14"/>
      <c r="D12" s="14"/>
      <c r="E12" s="14"/>
      <c r="F12" s="14"/>
      <c r="G12" s="14"/>
      <c r="H12" s="14">
        <f t="shared" si="0"/>
        <v>0</v>
      </c>
      <c r="I12" s="14">
        <f>(B12*'Tiền '!$E$7)+(C12*'Tiền '!$F$7)+(D12*'Tiền '!$G$7)+(E12*'Tiền '!$H$7)+(F12*'Tiền '!$I$4)+(G12*'Tiền '!$J$4)</f>
        <v>0</v>
      </c>
      <c r="J12" s="14">
        <f>(B12*'Tiền '!$E$6)+(C12*'Tiền '!$F$6)+(D12*'Tiền '!$G$6)+(E12*'Tiền '!$H$6)+(F12*'Tiền '!$I$3)+(G12*'Tiền '!$J$3)</f>
        <v>0</v>
      </c>
      <c r="K12" s="14">
        <v>50000</v>
      </c>
      <c r="L12" s="30"/>
      <c r="M12" s="14"/>
      <c r="N12" s="31"/>
      <c r="Q12" s="28">
        <f>'Tiền '!$D$16*H12</f>
        <v>0</v>
      </c>
      <c r="R12" s="34">
        <f t="shared" si="1"/>
        <v>0</v>
      </c>
    </row>
    <row r="13" ht="18">
      <c r="A13" s="12">
        <v>45180</v>
      </c>
      <c r="B13" s="14"/>
      <c r="C13" s="14"/>
      <c r="D13" s="14"/>
      <c r="E13" s="14"/>
      <c r="F13" s="14"/>
      <c r="G13" s="14"/>
      <c r="H13" s="14">
        <f t="shared" si="0"/>
        <v>0</v>
      </c>
      <c r="I13" s="14">
        <f>(B13*'Tiền '!$E$7)+(C13*'Tiền '!$F$7)+(D13*'Tiền '!$G$7)+(E13*'Tiền '!$H$7)+(F13*'Tiền '!$I$4)+(G13*'Tiền '!$J$4)</f>
        <v>0</v>
      </c>
      <c r="J13" s="14">
        <f>(B13*'Tiền '!$E$6)+(C13*'Tiền '!$F$6)+(D13*'Tiền '!$G$6)+(E13*'Tiền '!$H$6)+(F13*'Tiền '!$I$3)+(G13*'Tiền '!$J$3)</f>
        <v>0</v>
      </c>
      <c r="K13" s="14">
        <v>100000</v>
      </c>
      <c r="L13" s="30"/>
      <c r="M13" s="14"/>
      <c r="N13" s="31"/>
      <c r="O13" s="34"/>
      <c r="Q13" s="28">
        <f>'Tiền '!$D$16*H13</f>
        <v>0</v>
      </c>
      <c r="R13" s="34">
        <f t="shared" si="1"/>
        <v>0</v>
      </c>
    </row>
    <row r="14" ht="18">
      <c r="A14" s="12">
        <v>45181</v>
      </c>
      <c r="B14" s="14"/>
      <c r="C14" s="14"/>
      <c r="D14" s="14"/>
      <c r="E14" s="14"/>
      <c r="F14" s="14"/>
      <c r="G14" s="14"/>
      <c r="H14" s="14">
        <f t="shared" si="0"/>
        <v>0</v>
      </c>
      <c r="I14" s="14">
        <f>(B14*'Tiền '!$E$7)+(C14*'Tiền '!$F$7)+(D14*'Tiền '!$G$7)+(E14*'Tiền '!$H$7)+(F14*'Tiền '!$I$4)+(G14*'Tiền '!$J$4)</f>
        <v>0</v>
      </c>
      <c r="J14" s="14">
        <f>(B14*'Tiền '!$E$6)+(C14*'Tiền '!$F$6)+(D14*'Tiền '!$G$6)+(E14*'Tiền '!$H$6)+(F14*'Tiền '!$I$3)+(G14*'Tiền '!$J$3)</f>
        <v>0</v>
      </c>
      <c r="K14" s="14">
        <v>200000</v>
      </c>
      <c r="L14" s="30"/>
      <c r="M14" s="14"/>
      <c r="N14" s="31"/>
      <c r="O14" s="34"/>
      <c r="Q14" s="28">
        <f>'Tiền '!$D$16*H14</f>
        <v>0</v>
      </c>
      <c r="R14" s="34">
        <f t="shared" si="1"/>
        <v>0</v>
      </c>
    </row>
    <row r="15" ht="18" s="3" customFormat="1">
      <c r="A15" s="12">
        <v>45182</v>
      </c>
      <c r="B15" s="9"/>
      <c r="C15" s="9"/>
      <c r="D15" s="9"/>
      <c r="E15" s="9"/>
      <c r="F15" s="9"/>
      <c r="G15" s="9"/>
      <c r="H15" s="14">
        <f t="shared" si="0"/>
        <v>0</v>
      </c>
      <c r="I15" s="14">
        <f>(B15*'Tiền '!$E$7)+(C15*'Tiền '!$F$7)+(D15*'Tiền '!$G$7)+(E15*'Tiền '!$H$7)+(F15*'Tiền '!$I$4)+(G15*'Tiền '!$J$4)</f>
        <v>0</v>
      </c>
      <c r="J15" s="14">
        <f>(B15*'Tiền '!$E$6)+(C15*'Tiền '!$F$6)+(D15*'Tiền '!$G$6)+(E15*'Tiền '!$H$6)+(F15*'Tiền '!$I$3)+(G15*'Tiền '!$J$3)</f>
        <v>0</v>
      </c>
      <c r="K15" s="14">
        <v>500000</v>
      </c>
      <c r="L15" s="18"/>
      <c r="M15" s="14"/>
      <c r="N15" s="23"/>
      <c r="O15" s="34"/>
      <c r="Q15" s="28">
        <f>'Tiền '!$D$16*H15</f>
        <v>0</v>
      </c>
      <c r="R15" s="34">
        <f t="shared" si="1"/>
        <v>0</v>
      </c>
    </row>
    <row r="16" ht="18">
      <c r="A16" s="12">
        <v>45183</v>
      </c>
      <c r="B16" s="9"/>
      <c r="C16" s="9"/>
      <c r="D16" s="9"/>
      <c r="E16" s="9"/>
      <c r="F16" s="9"/>
      <c r="G16" s="9"/>
      <c r="H16" s="14">
        <f t="shared" si="0"/>
        <v>0</v>
      </c>
      <c r="I16" s="14">
        <f>(B16*'Tiền '!$E$7)+(C16*'Tiền '!$F$7)+(D16*'Tiền '!$G$7)+(E16*'Tiền '!$H$7)+(F16*'Tiền '!$I$4)+(G16*'Tiền '!$J$4)</f>
        <v>0</v>
      </c>
      <c r="J16" s="14">
        <f>(B16*'Tiền '!$E$6)+(C16*'Tiền '!$F$6)+(D16*'Tiền '!$G$6)+(E16*'Tiền '!$H$6)+(F16*'Tiền '!$I$3)+(G16*'Tiền '!$J$3)</f>
        <v>0</v>
      </c>
      <c r="K16" s="11" t="s">
        <v>14</v>
      </c>
      <c r="L16" s="19">
        <f>L7*K7+L8*K8+L9*K9+L10*K10+L11*K11+L12*K12+L13*K13+L14*K14+L15*K15</f>
        <v>0</v>
      </c>
      <c r="M16" s="14"/>
      <c r="N16" s="9"/>
      <c r="O16" s="34"/>
      <c r="Q16" s="28">
        <f>'Tiền '!$D$16*H16</f>
        <v>0</v>
      </c>
      <c r="R16" s="34">
        <f t="shared" si="1"/>
        <v>0</v>
      </c>
    </row>
    <row r="17" ht="20.25">
      <c r="A17" s="12">
        <v>45184</v>
      </c>
      <c r="B17" s="35"/>
      <c r="C17" s="35"/>
      <c r="D17" s="35"/>
      <c r="E17" s="35"/>
      <c r="F17" s="35"/>
      <c r="G17" s="35"/>
      <c r="H17" s="14">
        <f t="shared" si="0"/>
        <v>0</v>
      </c>
      <c r="I17" s="14">
        <f>(B17*'Tiền '!$E$7)+(C17*'Tiền '!$F$7)+(D17*'Tiền '!$G$7)+(E17*'Tiền '!$H$7)+(F17*'Tiền '!$I$4)+(G17*'Tiền '!$J$4)</f>
        <v>0</v>
      </c>
      <c r="J17" s="14">
        <f>(B17*'Tiền '!$E$6)+(C17*'Tiền '!$F$6)+(D17*'Tiền '!$G$6)+(E17*'Tiền '!$H$6)+(F17*'Tiền '!$I$3)+(G17*'Tiền '!$J$3)</f>
        <v>0</v>
      </c>
      <c r="K17" s="29"/>
      <c r="L17" s="32"/>
      <c r="M17" s="36"/>
      <c r="N17" s="35"/>
      <c r="O17" s="34"/>
      <c r="Q17" s="28">
        <f>'Tiền '!$D$16*H17</f>
        <v>0</v>
      </c>
      <c r="R17" s="34">
        <f t="shared" si="1"/>
        <v>0</v>
      </c>
    </row>
    <row r="18" ht="18">
      <c r="A18" s="12">
        <v>45185</v>
      </c>
      <c r="B18" s="9"/>
      <c r="C18" s="9"/>
      <c r="D18" s="9"/>
      <c r="E18" s="9"/>
      <c r="F18" s="9"/>
      <c r="G18" s="9"/>
      <c r="H18" s="14">
        <f t="shared" si="0"/>
        <v>0</v>
      </c>
      <c r="I18" s="14">
        <f>(B18*'Tiền '!$E$7)+(C18*'Tiền '!$F$7)+(D18*'Tiền '!$G$7)+(E18*'Tiền '!$H$7)+(F18*'Tiền '!$I$4)+(G18*'Tiền '!$J$4)</f>
        <v>0</v>
      </c>
      <c r="J18" s="14">
        <f>(B18*'Tiền '!$E$6)+(C18*'Tiền '!$F$6)+(D18*'Tiền '!$G$6)+(E18*'Tiền '!$H$6)+(F18*'Tiền '!$I$3)+(G18*'Tiền '!$J$3)</f>
        <v>0</v>
      </c>
      <c r="K18" s="3"/>
      <c r="L18" s="25"/>
      <c r="M18" s="14"/>
      <c r="N18" s="9"/>
      <c r="O18" s="34"/>
      <c r="Q18" s="28">
        <f>'Tiền '!$D$16*H18</f>
        <v>0</v>
      </c>
      <c r="R18" s="34">
        <f t="shared" si="1"/>
        <v>0</v>
      </c>
    </row>
    <row r="19" ht="18">
      <c r="A19" s="12">
        <v>45186</v>
      </c>
      <c r="B19" s="9"/>
      <c r="C19" s="9"/>
      <c r="D19" s="9"/>
      <c r="E19" s="9"/>
      <c r="F19" s="9"/>
      <c r="G19" s="9"/>
      <c r="H19" s="14">
        <f t="shared" si="0"/>
        <v>0</v>
      </c>
      <c r="I19" s="14">
        <f>(B19*'Tiền '!$E$7)+(C19*'Tiền '!$F$7)+(D19*'Tiền '!$G$7)+(E19*'Tiền '!$H$7)+(F19*'Tiền '!$I$4)+(G19*'Tiền '!$J$4)</f>
        <v>0</v>
      </c>
      <c r="J19" s="14">
        <f>(B19*'Tiền '!$E$6)+(C19*'Tiền '!$F$6)+(D19*'Tiền '!$G$6)+(E19*'Tiền '!$H$6)+(F19*'Tiền '!$I$3)+(G19*'Tiền '!$J$3)</f>
        <v>0</v>
      </c>
      <c r="K19" s="3"/>
      <c r="L19" s="25"/>
      <c r="M19" s="14"/>
      <c r="N19" s="9"/>
      <c r="O19" s="34"/>
      <c r="Q19" s="28">
        <f>'Tiền '!$D$16*H19</f>
        <v>0</v>
      </c>
      <c r="R19" s="34">
        <f t="shared" si="1"/>
        <v>0</v>
      </c>
    </row>
    <row r="20" ht="18">
      <c r="A20" s="12">
        <v>45187</v>
      </c>
      <c r="B20" s="9"/>
      <c r="C20" s="9"/>
      <c r="D20" s="9"/>
      <c r="E20" s="9"/>
      <c r="F20" s="9"/>
      <c r="G20" s="9"/>
      <c r="H20" s="14">
        <f t="shared" si="0"/>
        <v>0</v>
      </c>
      <c r="I20" s="14">
        <f>(B20*'Tiền '!$E$7)+(C20*'Tiền '!$F$7)+(D20*'Tiền '!$G$7)+(E20*'Tiền '!$H$7)+(F20*'Tiền '!$I$4)+(G20*'Tiền '!$J$4)</f>
        <v>0</v>
      </c>
      <c r="J20" s="14">
        <f>(B20*'Tiền '!$E$6)+(C20*'Tiền '!$F$6)+(D20*'Tiền '!$G$6)+(E20*'Tiền '!$H$6)+(F20*'Tiền '!$I$3)+(G20*'Tiền '!$J$3)</f>
        <v>0</v>
      </c>
      <c r="K20" s="3"/>
      <c r="L20" s="25"/>
      <c r="M20" s="14"/>
      <c r="N20" s="9"/>
      <c r="O20" s="34"/>
      <c r="Q20" s="28">
        <f>'Tiền '!$D$16*H20</f>
        <v>0</v>
      </c>
      <c r="R20" s="34">
        <f t="shared" si="1"/>
        <v>0</v>
      </c>
    </row>
    <row r="21" ht="18">
      <c r="A21" s="12">
        <v>45188</v>
      </c>
      <c r="B21" s="9"/>
      <c r="C21" s="9"/>
      <c r="D21" s="9"/>
      <c r="E21" s="9"/>
      <c r="F21" s="9"/>
      <c r="G21" s="9"/>
      <c r="H21" s="14">
        <f t="shared" si="0"/>
        <v>0</v>
      </c>
      <c r="I21" s="14">
        <f>(B21*'Tiền '!$E$7)+(C21*'Tiền '!$F$7)+(D21*'Tiền '!$G$7)+(E21*'Tiền '!$H$7)+(F21*'Tiền '!$I$4)+(G21*'Tiền '!$J$4)</f>
        <v>0</v>
      </c>
      <c r="J21" s="14">
        <f>(B21*'Tiền '!$E$6)+(C21*'Tiền '!$F$6)+(D21*'Tiền '!$G$6)+(E21*'Tiền '!$H$6)+(F21*'Tiền '!$I$3)+(G21*'Tiền '!$J$3)</f>
        <v>0</v>
      </c>
      <c r="K21" s="3"/>
      <c r="L21" s="25"/>
      <c r="M21" s="14"/>
      <c r="N21" s="9"/>
      <c r="O21" s="34"/>
      <c r="Q21" s="28">
        <f>'Tiền '!$D$16*H21</f>
        <v>0</v>
      </c>
      <c r="R21" s="34">
        <f t="shared" si="1"/>
        <v>0</v>
      </c>
    </row>
    <row r="22" ht="18">
      <c r="A22" s="12">
        <v>45189</v>
      </c>
      <c r="B22" s="9"/>
      <c r="C22" s="9"/>
      <c r="D22" s="9"/>
      <c r="E22" s="9"/>
      <c r="F22" s="9"/>
      <c r="G22" s="9"/>
      <c r="H22" s="14">
        <f t="shared" si="0"/>
        <v>0</v>
      </c>
      <c r="I22" s="14">
        <f>(B22*'Tiền '!$E$7)+(C22*'Tiền '!$F$7)+(D22*'Tiền '!$G$7)+(E22*'Tiền '!$H$7)+(F22*'Tiền '!$I$4)+(G22*'Tiền '!$J$4)</f>
        <v>0</v>
      </c>
      <c r="J22" s="14">
        <f>(B22*'Tiền '!$E$6)+(C22*'Tiền '!$F$6)+(D22*'Tiền '!$G$6)+(E22*'Tiền '!$H$6)+(F22*'Tiền '!$I$3)+(G22*'Tiền '!$J$3)</f>
        <v>0</v>
      </c>
      <c r="K22" s="3"/>
      <c r="L22" s="25"/>
      <c r="M22" s="14"/>
      <c r="N22" s="9"/>
      <c r="O22" s="34"/>
      <c r="Q22" s="28">
        <f>'Tiền '!$D$16*H22</f>
        <v>0</v>
      </c>
      <c r="R22" s="34">
        <f t="shared" si="1"/>
        <v>0</v>
      </c>
    </row>
    <row r="23" ht="18">
      <c r="A23" s="12">
        <v>45190</v>
      </c>
      <c r="B23" s="9"/>
      <c r="C23" s="9"/>
      <c r="D23" s="9"/>
      <c r="E23" s="9"/>
      <c r="F23" s="9"/>
      <c r="G23" s="9"/>
      <c r="H23" s="14">
        <f t="shared" si="0"/>
        <v>0</v>
      </c>
      <c r="I23" s="14">
        <f>(B23*'Tiền '!$E$7)+(C23*'Tiền '!$F$7)+(D23*'Tiền '!$G$7)+(E23*'Tiền '!$H$7)+(F23*'Tiền '!$I$4)+(G23*'Tiền '!$J$4)</f>
        <v>0</v>
      </c>
      <c r="J23" s="14">
        <f>(B23*'Tiền '!$E$6)+(C23*'Tiền '!$F$6)+(D23*'Tiền '!$G$6)+(E23*'Tiền '!$H$6)+(F23*'Tiền '!$I$3)+(G23*'Tiền '!$J$3)</f>
        <v>0</v>
      </c>
      <c r="K23" s="3"/>
      <c r="L23" s="25"/>
      <c r="M23" s="14"/>
      <c r="N23" s="9"/>
      <c r="O23" s="34"/>
      <c r="Q23" s="28">
        <f>'Tiền '!$D$16*H23</f>
        <v>0</v>
      </c>
      <c r="R23" s="34">
        <f t="shared" si="1"/>
        <v>0</v>
      </c>
    </row>
    <row r="24" ht="18">
      <c r="A24" s="12">
        <v>45191</v>
      </c>
      <c r="B24" s="9"/>
      <c r="C24" s="9"/>
      <c r="D24" s="9"/>
      <c r="E24" s="9"/>
      <c r="F24" s="9"/>
      <c r="G24" s="9"/>
      <c r="H24" s="14">
        <f t="shared" si="0"/>
        <v>0</v>
      </c>
      <c r="I24" s="14">
        <f>(B24*'Tiền '!$E$7)+(C24*'Tiền '!$F$7)+(D24*'Tiền '!$G$7)+(E24*'Tiền '!$H$7)+(F24*'Tiền '!$I$4)+(G24*'Tiền '!$J$4)</f>
        <v>0</v>
      </c>
      <c r="J24" s="14">
        <f>(B24*'Tiền '!$E$6)+(C24*'Tiền '!$F$6)+(D24*'Tiền '!$G$6)+(E24*'Tiền '!$H$6)+(F24*'Tiền '!$I$3)+(G24*'Tiền '!$J$3)</f>
        <v>0</v>
      </c>
      <c r="K24" s="3"/>
      <c r="L24" s="3"/>
      <c r="M24" s="14"/>
      <c r="N24" s="9"/>
      <c r="O24" s="34"/>
      <c r="Q24" s="28">
        <f>'Tiền '!$D$16*H24</f>
        <v>0</v>
      </c>
      <c r="R24" s="34">
        <f t="shared" si="1"/>
        <v>0</v>
      </c>
    </row>
    <row r="25" ht="18">
      <c r="A25" s="12">
        <v>45192</v>
      </c>
      <c r="B25" s="9"/>
      <c r="C25" s="9"/>
      <c r="D25" s="9"/>
      <c r="E25" s="9"/>
      <c r="F25" s="9"/>
      <c r="G25" s="9"/>
      <c r="H25" s="14">
        <f t="shared" si="0"/>
        <v>0</v>
      </c>
      <c r="I25" s="14">
        <f>(B25*'Tiền '!$E$7)+(C25*'Tiền '!$F$7)+(D25*'Tiền '!$G$7)+(E25*'Tiền '!$H$7)+(F25*'Tiền '!$I$4)+(G25*'Tiền '!$J$4)</f>
        <v>0</v>
      </c>
      <c r="J25" s="14">
        <f>(B25*'Tiền '!$E$6)+(C25*'Tiền '!$F$6)+(D25*'Tiền '!$G$6)+(E25*'Tiền '!$H$6)+(F25*'Tiền '!$I$3)+(G25*'Tiền '!$J$3)</f>
        <v>0</v>
      </c>
      <c r="K25" s="3"/>
      <c r="L25" s="3"/>
      <c r="M25" s="14"/>
      <c r="N25" s="9"/>
      <c r="Q25" s="28">
        <f>'Tiền '!$D$16*H25</f>
        <v>0</v>
      </c>
      <c r="R25" s="34">
        <f t="shared" si="1"/>
        <v>0</v>
      </c>
    </row>
    <row r="26" ht="18">
      <c r="A26" s="12">
        <v>45193</v>
      </c>
      <c r="B26" s="9"/>
      <c r="C26" s="9"/>
      <c r="D26" s="9"/>
      <c r="E26" s="9"/>
      <c r="F26" s="9"/>
      <c r="G26" s="9"/>
      <c r="H26" s="14">
        <f t="shared" si="0"/>
        <v>0</v>
      </c>
      <c r="I26" s="14">
        <f>(B26*'Tiền '!$E$7)+(C26*'Tiền '!$F$7)+(D26*'Tiền '!$G$7)+(E26*'Tiền '!$H$7)+(F26*'Tiền '!$I$4)+(G26*'Tiền '!$J$4)</f>
        <v>0</v>
      </c>
      <c r="J26" s="14">
        <f>(B26*'Tiền '!$E$6)+(C26*'Tiền '!$F$6)+(D26*'Tiền '!$G$6)+(E26*'Tiền '!$H$6)+(F26*'Tiền '!$I$3)+(G26*'Tiền '!$J$3)</f>
        <v>0</v>
      </c>
      <c r="K26" s="3"/>
      <c r="L26" s="3"/>
      <c r="M26" s="14"/>
      <c r="N26" s="9"/>
      <c r="Q26" s="28">
        <f>'Tiền '!$D$16*H26</f>
        <v>0</v>
      </c>
      <c r="R26" s="34">
        <f t="shared" si="1"/>
        <v>0</v>
      </c>
    </row>
    <row r="27" ht="18">
      <c r="A27" s="12">
        <v>45194</v>
      </c>
      <c r="B27" s="9"/>
      <c r="C27" s="9"/>
      <c r="D27" s="9"/>
      <c r="E27" s="9"/>
      <c r="F27" s="9"/>
      <c r="G27" s="9"/>
      <c r="H27" s="14">
        <f t="shared" si="0"/>
        <v>0</v>
      </c>
      <c r="I27" s="14">
        <f>(B27*'Tiền '!$E$7)+(C27*'Tiền '!$F$7)+(D27*'Tiền '!$G$7)+(E27*'Tiền '!$H$7)+(F27*'Tiền '!$I$4)+(G27*'Tiền '!$J$4)</f>
        <v>0</v>
      </c>
      <c r="J27" s="14">
        <f>(B27*'Tiền '!$E$6)+(C27*'Tiền '!$F$6)+(D27*'Tiền '!$G$6)+(E27*'Tiền '!$H$6)+(F27*'Tiền '!$I$3)+(G27*'Tiền '!$J$3)</f>
        <v>0</v>
      </c>
      <c r="K27" s="3"/>
      <c r="L27" s="3"/>
      <c r="M27" s="14"/>
      <c r="N27" s="9"/>
      <c r="Q27" s="28">
        <f>'Tiền '!$D$16*H27</f>
        <v>0</v>
      </c>
      <c r="R27" s="34">
        <f t="shared" si="1"/>
        <v>0</v>
      </c>
    </row>
    <row r="28" ht="18">
      <c r="A28" s="12">
        <v>45195</v>
      </c>
      <c r="B28" s="9"/>
      <c r="C28" s="9"/>
      <c r="D28" s="9"/>
      <c r="E28" s="9"/>
      <c r="F28" s="9"/>
      <c r="G28" s="9"/>
      <c r="H28" s="14">
        <f t="shared" si="0"/>
        <v>0</v>
      </c>
      <c r="I28" s="14">
        <f>(B28*'Tiền '!$E$7)+(C28*'Tiền '!$F$7)+(D28*'Tiền '!$G$7)+(E28*'Tiền '!$H$7)+(F28*'Tiền '!$I$4)+(G28*'Tiền '!$J$4)</f>
        <v>0</v>
      </c>
      <c r="J28" s="14">
        <f>(B28*'Tiền '!$E$6)+(C28*'Tiền '!$F$6)+(D28*'Tiền '!$G$6)+(E28*'Tiền '!$H$6)+(F28*'Tiền '!$I$3)+(G28*'Tiền '!$J$3)</f>
        <v>0</v>
      </c>
      <c r="K28" s="3"/>
      <c r="L28" s="3"/>
      <c r="M28" s="14"/>
      <c r="N28" s="9"/>
      <c r="Q28" s="28">
        <f>'Tiền '!$D$16*H28</f>
        <v>0</v>
      </c>
      <c r="R28" s="34">
        <f t="shared" si="1"/>
        <v>0</v>
      </c>
    </row>
    <row r="29" ht="18">
      <c r="A29" s="12">
        <v>45196</v>
      </c>
      <c r="B29" s="9"/>
      <c r="C29" s="9"/>
      <c r="D29" s="9"/>
      <c r="E29" s="9"/>
      <c r="F29" s="9"/>
      <c r="G29" s="9"/>
      <c r="H29" s="14">
        <f t="shared" si="0"/>
        <v>0</v>
      </c>
      <c r="I29" s="14">
        <f>(B29*'Tiền '!$E$7)+(C29*'Tiền '!$F$7)+(D29*'Tiền '!$G$7)+(E29*'Tiền '!$H$7)+(F29*'Tiền '!$I$4)+(G29*'Tiền '!$J$4)</f>
        <v>0</v>
      </c>
      <c r="J29" s="14">
        <f>(B29*'Tiền '!$E$6)+(C29*'Tiền '!$F$6)+(D29*'Tiền '!$G$6)+(E29*'Tiền '!$H$6)+(F29*'Tiền '!$I$3)+(G29*'Tiền '!$J$3)</f>
        <v>0</v>
      </c>
      <c r="K29" s="3"/>
      <c r="L29" s="3"/>
      <c r="M29" s="14"/>
      <c r="N29" s="9"/>
      <c r="Q29" s="28">
        <f>'Tiền '!$D$16*H29</f>
        <v>0</v>
      </c>
      <c r="R29" s="34">
        <f t="shared" si="1"/>
        <v>0</v>
      </c>
    </row>
    <row r="30" ht="18">
      <c r="A30" s="12">
        <v>45197</v>
      </c>
      <c r="B30" s="9"/>
      <c r="C30" s="9"/>
      <c r="D30" s="9"/>
      <c r="E30" s="9"/>
      <c r="F30" s="9"/>
      <c r="G30" s="9"/>
      <c r="H30" s="14">
        <f t="shared" si="0"/>
        <v>0</v>
      </c>
      <c r="I30" s="14">
        <f>(B30*'Tiền '!$E$7)+(C30*'Tiền '!$F$7)+(D30*'Tiền '!$G$7)+(E30*'Tiền '!$H$7)+(F30*'Tiền '!$I$4)+(G30*'Tiền '!$J$4)</f>
        <v>0</v>
      </c>
      <c r="J30" s="14">
        <f>(B30*'Tiền '!$E$6)+(C30*'Tiền '!$F$6)+(D30*'Tiền '!$G$6)+(E30*'Tiền '!$H$6)+(F30*'Tiền '!$I$3)+(G30*'Tiền '!$J$3)</f>
        <v>0</v>
      </c>
      <c r="K30" s="3"/>
      <c r="L30" s="3"/>
      <c r="M30" s="14"/>
      <c r="N30" s="9"/>
      <c r="Q30" s="28">
        <f>'Tiền '!$D$16*H30</f>
        <v>0</v>
      </c>
      <c r="R30" s="34">
        <f t="shared" si="1"/>
        <v>0</v>
      </c>
    </row>
    <row r="31" ht="18">
      <c r="A31" s="12">
        <v>45198</v>
      </c>
      <c r="B31" s="9"/>
      <c r="C31" s="9"/>
      <c r="D31" s="9"/>
      <c r="E31" s="9"/>
      <c r="F31" s="9"/>
      <c r="G31" s="9"/>
      <c r="H31" s="14">
        <f t="shared" si="0"/>
        <v>0</v>
      </c>
      <c r="I31" s="14">
        <f>(B31*'Tiền '!$E$7)+(C31*'Tiền '!$F$7)+(D31*'Tiền '!$G$7)+(E31*'Tiền '!$H$7)+(F31*'Tiền '!$I$4)+(G31*'Tiền '!$J$4)</f>
        <v>0</v>
      </c>
      <c r="J31" s="14">
        <f>(B31*'Tiền '!$E$6)+(C31*'Tiền '!$F$6)+(D31*'Tiền '!$G$6)+(E31*'Tiền '!$H$6)+(F31*'Tiền '!$I$3)+(G31*'Tiền '!$J$3)</f>
        <v>0</v>
      </c>
      <c r="K31" s="3"/>
      <c r="L31" s="3"/>
      <c r="M31" s="14"/>
      <c r="N31" s="9"/>
      <c r="Q31" s="28">
        <f>'Tiền '!$D$16*H31</f>
        <v>0</v>
      </c>
      <c r="R31" s="34">
        <f t="shared" si="1"/>
        <v>0</v>
      </c>
    </row>
    <row r="32" ht="18">
      <c r="A32" s="12">
        <v>45199</v>
      </c>
      <c r="B32" s="49"/>
      <c r="C32" s="49"/>
      <c r="D32" s="49"/>
      <c r="E32" s="49"/>
      <c r="F32" s="49"/>
      <c r="G32" s="49"/>
      <c r="H32" s="46">
        <f t="shared" si="0"/>
        <v>0</v>
      </c>
      <c r="I32" s="14">
        <f>(B32*'Tiền '!$E$7)+(C32*'Tiền '!$F$7)+(D32*'Tiền '!$G$7)+(E32*'Tiền '!$H$7)+(F32*'Tiền '!$I$4)+(G32*'Tiền '!$J$4)</f>
        <v>0</v>
      </c>
      <c r="J32" s="14">
        <f>(B32*'Tiền '!$E$6)+(C32*'Tiền '!$F$6)+(D32*'Tiền '!$G$6)+(E32*'Tiền '!$H$6)+(F32*'Tiền '!$I$3)+(G32*'Tiền '!$J$3)</f>
        <v>0</v>
      </c>
      <c r="K32" s="3"/>
      <c r="L32" s="3"/>
      <c r="M32" s="46"/>
      <c r="N32" s="49"/>
      <c r="Q32" s="28">
        <f>'Tiền '!$D$16*H32</f>
        <v>0</v>
      </c>
      <c r="R32" s="34">
        <f t="shared" si="1"/>
        <v>0</v>
      </c>
    </row>
    <row r="33" ht="18" s="54" customFormat="1">
      <c r="A33" s="51"/>
      <c r="B33" s="50"/>
      <c r="C33" s="50"/>
      <c r="D33" s="50"/>
      <c r="E33" s="50"/>
      <c r="F33" s="50"/>
      <c r="G33" s="50"/>
      <c r="H33" s="50"/>
      <c r="I33" s="52"/>
      <c r="J33" s="52"/>
      <c r="K33" s="50"/>
      <c r="L33" s="50"/>
      <c r="M33" s="53"/>
      <c r="N33" s="50"/>
    </row>
    <row r="34" ht="18">
      <c r="I34" s="4"/>
      <c r="J34" s="4"/>
      <c r="M34" s="25"/>
      <c r="N34" s="3"/>
    </row>
  </sheetData>
  <mergeCells>
    <mergeCell ref="A1:I1"/>
    <mergeCell ref="K1:L1"/>
    <mergeCell ref="K2:L2"/>
    <mergeCell ref="K3:L3"/>
    <mergeCell ref="K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Tháng 4</vt:lpstr>
      <vt:lpstr>Tháng 5</vt:lpstr>
      <vt:lpstr>Tháng 6</vt:lpstr>
      <vt:lpstr>Tháng 7</vt:lpstr>
      <vt:lpstr>Tiền </vt:lpstr>
      <vt:lpstr>Tháng 8</vt:lpstr>
      <vt:lpstr>Tháng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Gia Kiệt</dc:creator>
  <cp:lastModifiedBy>Kiệt Đặng Gia</cp:lastModifiedBy>
  <dcterms:created xsi:type="dcterms:W3CDTF">2023-04-23T03:27:21Z</dcterms:created>
  <dcterms:modified xsi:type="dcterms:W3CDTF">2023-08-01T09:30:45Z</dcterms:modified>
</cp:coreProperties>
</file>