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1">
      <go:sheetsCustomData xmlns:go="http://customooxmlschemas.google.com/" r:id="rId5" roundtripDataSignature="AMtx7mgSj63vMRmkoxyOCjRy9mnRW3S/ug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&quot;맑은 고딕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/>
    </xf>
    <xf borderId="0" fillId="0" fontId="2" numFmtId="0" xfId="0" applyFont="1"/>
    <xf borderId="0" fillId="0" fontId="2" numFmtId="3" xfId="0" applyFont="1" applyNumberForma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tr">
        <f>IFERROR(__xludf.DUMMYFUNCTION("IMPORTHTML (""https://www.worldometers.info/coronavirus/#countries"",""table"",1)"),"#")</f>
        <v>#</v>
      </c>
      <c r="B1" s="2" t="str">
        <f>IFERROR(__xludf.DUMMYFUNCTION("""COMPUTED_VALUE"""),"Country,
Other")</f>
        <v>Country,
Other</v>
      </c>
      <c r="C1" s="2" t="str">
        <f>IFERROR(__xludf.DUMMYFUNCTION("""COMPUTED_VALUE"""),"Total
Cases")</f>
        <v>Total
Cases</v>
      </c>
      <c r="D1" s="2" t="str">
        <f>IFERROR(__xludf.DUMMYFUNCTION("""COMPUTED_VALUE"""),"New
Cases")</f>
        <v>New
Cases</v>
      </c>
      <c r="E1" s="2" t="str">
        <f>IFERROR(__xludf.DUMMYFUNCTION("""COMPUTED_VALUE"""),"Total
Deaths")</f>
        <v>Total
Deaths</v>
      </c>
      <c r="F1" s="2" t="str">
        <f>IFERROR(__xludf.DUMMYFUNCTION("""COMPUTED_VALUE"""),"New
Deaths")</f>
        <v>New
Deaths</v>
      </c>
      <c r="G1" s="2" t="str">
        <f>IFERROR(__xludf.DUMMYFUNCTION("""COMPUTED_VALUE"""),"Total
Recovered")</f>
        <v>Total
Recovered</v>
      </c>
      <c r="H1" s="2" t="str">
        <f>IFERROR(__xludf.DUMMYFUNCTION("""COMPUTED_VALUE"""),"New
Recovered")</f>
        <v>New
Recovered</v>
      </c>
      <c r="I1" s="2" t="str">
        <f>IFERROR(__xludf.DUMMYFUNCTION("""COMPUTED_VALUE"""),"Active
Cases")</f>
        <v>Active
Cases</v>
      </c>
      <c r="J1" s="2" t="str">
        <f>IFERROR(__xludf.DUMMYFUNCTION("""COMPUTED_VALUE"""),"Serious,
Critical")</f>
        <v>Serious,
Critical</v>
      </c>
      <c r="K1" s="2" t="str">
        <f>IFERROR(__xludf.DUMMYFUNCTION("""COMPUTED_VALUE"""),"Tot Cases/
1M pop")</f>
        <v>Tot Cases/
1M pop</v>
      </c>
      <c r="L1" s="2" t="str">
        <f>IFERROR(__xludf.DUMMYFUNCTION("""COMPUTED_VALUE"""),"Deaths/
1M pop")</f>
        <v>Deaths/
1M pop</v>
      </c>
      <c r="M1" s="2" t="str">
        <f>IFERROR(__xludf.DUMMYFUNCTION("""COMPUTED_VALUE"""),"Total
Tests")</f>
        <v>Total
Tests</v>
      </c>
      <c r="N1" s="2" t="str">
        <f>IFERROR(__xludf.DUMMYFUNCTION("""COMPUTED_VALUE"""),"Tests/
1M pop")</f>
        <v>Tests/
1M pop</v>
      </c>
      <c r="O1" s="2" t="str">
        <f>IFERROR(__xludf.DUMMYFUNCTION("""COMPUTED_VALUE"""),"Population")</f>
        <v>Population</v>
      </c>
      <c r="P1" s="2" t="str">
        <f>IFERROR(__xludf.DUMMYFUNCTION("""COMPUTED_VALUE"""),"Continent")</f>
        <v>Continent</v>
      </c>
      <c r="Q1" s="2" t="str">
        <f>IFERROR(__xludf.DUMMYFUNCTION("""COMPUTED_VALUE"""),"1 Case
every X ppl")</f>
        <v>1 Case
every X ppl</v>
      </c>
      <c r="R1" s="2" t="str">
        <f>IFERROR(__xludf.DUMMYFUNCTION("""COMPUTED_VALUE"""),"1 Death
every X ppl")</f>
        <v>1 Death
every X ppl</v>
      </c>
      <c r="S1" s="2" t="str">
        <f>IFERROR(__xludf.DUMMYFUNCTION("""COMPUTED_VALUE"""),"1 Test
every X ppl")</f>
        <v>1 Test
every X ppl</v>
      </c>
      <c r="T1" s="2" t="str">
        <f>IFERROR(__xludf.DUMMYFUNCTION("""COMPUTED_VALUE"""),"New Cases/1M pop")</f>
        <v>New Cases/1M pop</v>
      </c>
      <c r="U1" s="2" t="str">
        <f>IFERROR(__xludf.DUMMYFUNCTION("""COMPUTED_VALUE"""),"New Deaths/1M pop")</f>
        <v>New Deaths/1M pop</v>
      </c>
      <c r="V1" s="2" t="str">
        <f>IFERROR(__xludf.DUMMYFUNCTION("""COMPUTED_VALUE"""),"Active Cases/1M pop")</f>
        <v>Active Cases/1M pop</v>
      </c>
    </row>
    <row r="2" ht="15.75" customHeight="1">
      <c r="A2" s="2"/>
      <c r="B2" s="2" t="str">
        <f>IFERROR(__xludf.DUMMYFUNCTION("""COMPUTED_VALUE"""),"North America")</f>
        <v>North America</v>
      </c>
      <c r="C2" s="3">
        <f>IFERROR(__xludf.DUMMYFUNCTION("""COMPUTED_VALUE"""),5.4562259E7)</f>
        <v>54562259</v>
      </c>
      <c r="D2" s="2" t="str">
        <f>IFERROR(__xludf.DUMMYFUNCTION("""COMPUTED_VALUE"""),"+68,002")</f>
        <v>+68,002</v>
      </c>
      <c r="E2" s="3">
        <f>IFERROR(__xludf.DUMMYFUNCTION("""COMPUTED_VALUE"""),1108304.0)</f>
        <v>1108304</v>
      </c>
      <c r="F2" s="2" t="str">
        <f>IFERROR(__xludf.DUMMYFUNCTION("""COMPUTED_VALUE"""),"+1,476")</f>
        <v>+1,476</v>
      </c>
      <c r="G2" s="3">
        <f>IFERROR(__xludf.DUMMYFUNCTION("""COMPUTED_VALUE"""),4.2750668E7)</f>
        <v>42750668</v>
      </c>
      <c r="H2" s="2" t="str">
        <f>IFERROR(__xludf.DUMMYFUNCTION("""COMPUTED_VALUE"""),"+102,795")</f>
        <v>+102,795</v>
      </c>
      <c r="I2" s="3">
        <f>IFERROR(__xludf.DUMMYFUNCTION("""COMPUTED_VALUE"""),1.0703287E7)</f>
        <v>10703287</v>
      </c>
      <c r="J2" s="3">
        <f>IFERROR(__xludf.DUMMYFUNCTION("""COMPUTED_VALUE"""),24123.0)</f>
        <v>24123</v>
      </c>
      <c r="K2" s="2"/>
      <c r="L2" s="2"/>
      <c r="M2" s="2"/>
      <c r="N2" s="2"/>
      <c r="O2" s="2"/>
      <c r="P2" s="2" t="str">
        <f>IFERROR(__xludf.DUMMYFUNCTION("""COMPUTED_VALUE"""),"North America")</f>
        <v>North America</v>
      </c>
      <c r="Q2" s="2"/>
      <c r="R2" s="2"/>
      <c r="S2" s="2"/>
      <c r="T2" s="2"/>
      <c r="U2" s="2"/>
      <c r="V2" s="2"/>
    </row>
    <row r="3" ht="15.75" customHeight="1">
      <c r="A3" s="2"/>
      <c r="B3" s="2" t="str">
        <f>IFERROR(__xludf.DUMMYFUNCTION("""COMPUTED_VALUE"""),"Asia")</f>
        <v>Asia</v>
      </c>
      <c r="C3" s="3">
        <f>IFERROR(__xludf.DUMMYFUNCTION("""COMPUTED_VALUE"""),7.7354804E7)</f>
        <v>77354804</v>
      </c>
      <c r="D3" s="2" t="str">
        <f>IFERROR(__xludf.DUMMYFUNCTION("""COMPUTED_VALUE"""),"+115,997")</f>
        <v>+115,997</v>
      </c>
      <c r="E3" s="3">
        <f>IFERROR(__xludf.DUMMYFUNCTION("""COMPUTED_VALUE"""),1141885.0)</f>
        <v>1141885</v>
      </c>
      <c r="F3" s="2" t="str">
        <f>IFERROR(__xludf.DUMMYFUNCTION("""COMPUTED_VALUE"""),"+1,609")</f>
        <v>+1,609</v>
      </c>
      <c r="G3" s="3">
        <f>IFERROR(__xludf.DUMMYFUNCTION("""COMPUTED_VALUE"""),7.4233593E7)</f>
        <v>74233593</v>
      </c>
      <c r="H3" s="2" t="str">
        <f>IFERROR(__xludf.DUMMYFUNCTION("""COMPUTED_VALUE"""),"+141,917")</f>
        <v>+141,917</v>
      </c>
      <c r="I3" s="3">
        <f>IFERROR(__xludf.DUMMYFUNCTION("""COMPUTED_VALUE"""),1979326.0)</f>
        <v>1979326</v>
      </c>
      <c r="J3" s="3">
        <f>IFERROR(__xludf.DUMMYFUNCTION("""COMPUTED_VALUE"""),29851.0)</f>
        <v>29851</v>
      </c>
      <c r="K3" s="2"/>
      <c r="L3" s="2"/>
      <c r="M3" s="2"/>
      <c r="N3" s="2"/>
      <c r="O3" s="2"/>
      <c r="P3" s="2" t="str">
        <f>IFERROR(__xludf.DUMMYFUNCTION("""COMPUTED_VALUE"""),"Asia")</f>
        <v>Asia</v>
      </c>
      <c r="Q3" s="2"/>
      <c r="R3" s="2"/>
      <c r="S3" s="2"/>
      <c r="T3" s="2"/>
      <c r="U3" s="2"/>
      <c r="V3" s="2"/>
    </row>
    <row r="4" ht="15.75" customHeight="1">
      <c r="A4" s="2"/>
      <c r="B4" s="2" t="str">
        <f>IFERROR(__xludf.DUMMYFUNCTION("""COMPUTED_VALUE"""),"South America")</f>
        <v>South America</v>
      </c>
      <c r="C4" s="3">
        <f>IFERROR(__xludf.DUMMYFUNCTION("""COMPUTED_VALUE"""),3.8052613E7)</f>
        <v>38052613</v>
      </c>
      <c r="D4" s="2" t="str">
        <f>IFERROR(__xludf.DUMMYFUNCTION("""COMPUTED_VALUE"""),"+10,306")</f>
        <v>+10,306</v>
      </c>
      <c r="E4" s="3">
        <f>IFERROR(__xludf.DUMMYFUNCTION("""COMPUTED_VALUE"""),1161569.0)</f>
        <v>1161569</v>
      </c>
      <c r="F4" s="2" t="str">
        <f>IFERROR(__xludf.DUMMYFUNCTION("""COMPUTED_VALUE"""),"+233")</f>
        <v>+233</v>
      </c>
      <c r="G4" s="3">
        <f>IFERROR(__xludf.DUMMYFUNCTION("""COMPUTED_VALUE"""),3.6152214E7)</f>
        <v>36152214</v>
      </c>
      <c r="H4" s="2" t="str">
        <f>IFERROR(__xludf.DUMMYFUNCTION("""COMPUTED_VALUE"""),"+3,549")</f>
        <v>+3,549</v>
      </c>
      <c r="I4" s="3">
        <f>IFERROR(__xludf.DUMMYFUNCTION("""COMPUTED_VALUE"""),738830.0)</f>
        <v>738830</v>
      </c>
      <c r="J4" s="3">
        <f>IFERROR(__xludf.DUMMYFUNCTION("""COMPUTED_VALUE"""),12612.0)</f>
        <v>12612</v>
      </c>
      <c r="K4" s="2"/>
      <c r="L4" s="2"/>
      <c r="M4" s="2"/>
      <c r="N4" s="2"/>
      <c r="O4" s="2"/>
      <c r="P4" s="2" t="str">
        <f>IFERROR(__xludf.DUMMYFUNCTION("""COMPUTED_VALUE"""),"South America")</f>
        <v>South America</v>
      </c>
      <c r="Q4" s="2"/>
      <c r="R4" s="2"/>
      <c r="S4" s="2"/>
      <c r="T4" s="2"/>
      <c r="U4" s="2"/>
      <c r="V4" s="2"/>
    </row>
    <row r="5" ht="15.75" customHeight="1">
      <c r="A5" s="2"/>
      <c r="B5" s="2" t="str">
        <f>IFERROR(__xludf.DUMMYFUNCTION("""COMPUTED_VALUE"""),"Europe")</f>
        <v>Europe</v>
      </c>
      <c r="C5" s="3">
        <f>IFERROR(__xludf.DUMMYFUNCTION("""COMPUTED_VALUE"""),6.0691148E7)</f>
        <v>60691148</v>
      </c>
      <c r="D5" s="2" t="str">
        <f>IFERROR(__xludf.DUMMYFUNCTION("""COMPUTED_VALUE"""),"+152,351")</f>
        <v>+152,351</v>
      </c>
      <c r="E5" s="3">
        <f>IFERROR(__xludf.DUMMYFUNCTION("""COMPUTED_VALUE"""),1249311.0)</f>
        <v>1249311</v>
      </c>
      <c r="F5" s="2" t="str">
        <f>IFERROR(__xludf.DUMMYFUNCTION("""COMPUTED_VALUE"""),"+2,622")</f>
        <v>+2,622</v>
      </c>
      <c r="G5" s="3">
        <f>IFERROR(__xludf.DUMMYFUNCTION("""COMPUTED_VALUE"""),5.551891E7)</f>
        <v>55518910</v>
      </c>
      <c r="H5" s="2" t="str">
        <f>IFERROR(__xludf.DUMMYFUNCTION("""COMPUTED_VALUE"""),"+125,336")</f>
        <v>+125,336</v>
      </c>
      <c r="I5" s="3">
        <f>IFERROR(__xludf.DUMMYFUNCTION("""COMPUTED_VALUE"""),3922927.0)</f>
        <v>3922927</v>
      </c>
      <c r="J5" s="3">
        <f>IFERROR(__xludf.DUMMYFUNCTION("""COMPUTED_VALUE"""),11654.0)</f>
        <v>11654</v>
      </c>
      <c r="K5" s="2"/>
      <c r="L5" s="2"/>
      <c r="M5" s="2"/>
      <c r="N5" s="2"/>
      <c r="O5" s="2"/>
      <c r="P5" s="2" t="str">
        <f>IFERROR(__xludf.DUMMYFUNCTION("""COMPUTED_VALUE"""),"Europe")</f>
        <v>Europe</v>
      </c>
      <c r="Q5" s="2"/>
      <c r="R5" s="2"/>
      <c r="S5" s="2"/>
      <c r="T5" s="2"/>
      <c r="U5" s="2"/>
      <c r="V5" s="2"/>
    </row>
    <row r="6" ht="15.75" customHeight="1">
      <c r="A6" s="2"/>
      <c r="B6" s="2" t="str">
        <f>IFERROR(__xludf.DUMMYFUNCTION("""COMPUTED_VALUE"""),"Africa")</f>
        <v>Africa</v>
      </c>
      <c r="C6" s="3">
        <f>IFERROR(__xludf.DUMMYFUNCTION("""COMPUTED_VALUE"""),8472061.0)</f>
        <v>8472061</v>
      </c>
      <c r="D6" s="2" t="str">
        <f>IFERROR(__xludf.DUMMYFUNCTION("""COMPUTED_VALUE"""),"+3,260")</f>
        <v>+3,260</v>
      </c>
      <c r="E6" s="3">
        <f>IFERROR(__xludf.DUMMYFUNCTION("""COMPUTED_VALUE"""),214832.0)</f>
        <v>214832</v>
      </c>
      <c r="F6" s="2" t="str">
        <f>IFERROR(__xludf.DUMMYFUNCTION("""COMPUTED_VALUE"""),"+169")</f>
        <v>+169</v>
      </c>
      <c r="G6" s="3">
        <f>IFERROR(__xludf.DUMMYFUNCTION("""COMPUTED_VALUE"""),7787903.0)</f>
        <v>7787903</v>
      </c>
      <c r="H6" s="2" t="str">
        <f>IFERROR(__xludf.DUMMYFUNCTION("""COMPUTED_VALUE"""),"+9,116")</f>
        <v>+9,116</v>
      </c>
      <c r="I6" s="3">
        <f>IFERROR(__xludf.DUMMYFUNCTION("""COMPUTED_VALUE"""),469326.0)</f>
        <v>469326</v>
      </c>
      <c r="J6" s="3">
        <f>IFERROR(__xludf.DUMMYFUNCTION("""COMPUTED_VALUE"""),2746.0)</f>
        <v>2746</v>
      </c>
      <c r="K6" s="2"/>
      <c r="L6" s="2"/>
      <c r="M6" s="2"/>
      <c r="N6" s="2"/>
      <c r="O6" s="2"/>
      <c r="P6" s="2" t="str">
        <f>IFERROR(__xludf.DUMMYFUNCTION("""COMPUTED_VALUE"""),"Africa")</f>
        <v>Africa</v>
      </c>
      <c r="Q6" s="2"/>
      <c r="R6" s="2"/>
      <c r="S6" s="2"/>
      <c r="T6" s="2"/>
      <c r="U6" s="2"/>
      <c r="V6" s="2"/>
    </row>
    <row r="7" ht="15.75" customHeight="1">
      <c r="A7" s="2"/>
      <c r="B7" s="2" t="str">
        <f>IFERROR(__xludf.DUMMYFUNCTION("""COMPUTED_VALUE"""),"Oceania")</f>
        <v>Oceania</v>
      </c>
      <c r="C7" s="3">
        <f>IFERROR(__xludf.DUMMYFUNCTION("""COMPUTED_VALUE"""),260529.0)</f>
        <v>260529</v>
      </c>
      <c r="D7" s="2" t="str">
        <f>IFERROR(__xludf.DUMMYFUNCTION("""COMPUTED_VALUE"""),"+1,893")</f>
        <v>+1,893</v>
      </c>
      <c r="E7" s="3">
        <f>IFERROR(__xludf.DUMMYFUNCTION("""COMPUTED_VALUE"""),3225.0)</f>
        <v>3225</v>
      </c>
      <c r="F7" s="2" t="str">
        <f>IFERROR(__xludf.DUMMYFUNCTION("""COMPUTED_VALUE"""),"+13")</f>
        <v>+13</v>
      </c>
      <c r="G7" s="3">
        <f>IFERROR(__xludf.DUMMYFUNCTION("""COMPUTED_VALUE"""),201494.0)</f>
        <v>201494</v>
      </c>
      <c r="H7" s="2" t="str">
        <f>IFERROR(__xludf.DUMMYFUNCTION("""COMPUTED_VALUE"""),"+20")</f>
        <v>+20</v>
      </c>
      <c r="I7" s="3">
        <f>IFERROR(__xludf.DUMMYFUNCTION("""COMPUTED_VALUE"""),55810.0)</f>
        <v>55810</v>
      </c>
      <c r="J7" s="2">
        <f>IFERROR(__xludf.DUMMYFUNCTION("""COMPUTED_VALUE"""),384.0)</f>
        <v>384</v>
      </c>
      <c r="K7" s="2"/>
      <c r="L7" s="2"/>
      <c r="M7" s="2"/>
      <c r="N7" s="2"/>
      <c r="O7" s="2"/>
      <c r="P7" s="2" t="str">
        <f>IFERROR(__xludf.DUMMYFUNCTION("""COMPUTED_VALUE"""),"Australia/Oceania")</f>
        <v>Australia/Oceania</v>
      </c>
      <c r="Q7" s="2"/>
      <c r="R7" s="2"/>
      <c r="S7" s="2"/>
      <c r="T7" s="2"/>
      <c r="U7" s="2"/>
      <c r="V7" s="2"/>
    </row>
    <row r="8" ht="15.75" customHeight="1">
      <c r="A8" s="2"/>
      <c r="B8" s="2"/>
      <c r="C8" s="2">
        <f>IFERROR(__xludf.DUMMYFUNCTION("""COMPUTED_VALUE"""),721.0)</f>
        <v>721</v>
      </c>
      <c r="D8" s="2"/>
      <c r="E8" s="2">
        <f>IFERROR(__xludf.DUMMYFUNCTION("""COMPUTED_VALUE"""),15.0)</f>
        <v>15</v>
      </c>
      <c r="F8" s="2"/>
      <c r="G8" s="2">
        <f>IFERROR(__xludf.DUMMYFUNCTION("""COMPUTED_VALUE"""),706.0)</f>
        <v>706</v>
      </c>
      <c r="H8" s="2"/>
      <c r="I8" s="2">
        <f>IFERROR(__xludf.DUMMYFUNCTION("""COMPUTED_VALUE"""),0.0)</f>
        <v>0</v>
      </c>
      <c r="J8" s="2">
        <f>IFERROR(__xludf.DUMMYFUNCTION("""COMPUTED_VALUE"""),0.0)</f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ht="15.75" customHeight="1">
      <c r="A9" s="2"/>
      <c r="B9" s="2" t="str">
        <f>IFERROR(__xludf.DUMMYFUNCTION("""COMPUTED_VALUE"""),"World")</f>
        <v>World</v>
      </c>
      <c r="C9" s="3">
        <f>IFERROR(__xludf.DUMMYFUNCTION("""COMPUTED_VALUE"""),2.39394135E8)</f>
        <v>239394135</v>
      </c>
      <c r="D9" s="2" t="str">
        <f>IFERROR(__xludf.DUMMYFUNCTION("""COMPUTED_VALUE"""),"+351,809")</f>
        <v>+351,809</v>
      </c>
      <c r="E9" s="3">
        <f>IFERROR(__xludf.DUMMYFUNCTION("""COMPUTED_VALUE"""),4879141.0)</f>
        <v>4879141</v>
      </c>
      <c r="F9" s="2" t="str">
        <f>IFERROR(__xludf.DUMMYFUNCTION("""COMPUTED_VALUE"""),"+6,122")</f>
        <v>+6,122</v>
      </c>
      <c r="G9" s="3">
        <f>IFERROR(__xludf.DUMMYFUNCTION("""COMPUTED_VALUE"""),2.16645488E8)</f>
        <v>216645488</v>
      </c>
      <c r="H9" s="2" t="str">
        <f>IFERROR(__xludf.DUMMYFUNCTION("""COMPUTED_VALUE"""),"+382,733")</f>
        <v>+382,733</v>
      </c>
      <c r="I9" s="3">
        <f>IFERROR(__xludf.DUMMYFUNCTION("""COMPUTED_VALUE"""),1.7869506E7)</f>
        <v>17869506</v>
      </c>
      <c r="J9" s="3">
        <f>IFERROR(__xludf.DUMMYFUNCTION("""COMPUTED_VALUE"""),81370.0)</f>
        <v>81370</v>
      </c>
      <c r="K9" s="3">
        <f>IFERROR(__xludf.DUMMYFUNCTION("""COMPUTED_VALUE"""),30712.0)</f>
        <v>30712</v>
      </c>
      <c r="L9" s="2">
        <f>IFERROR(__xludf.DUMMYFUNCTION("""COMPUTED_VALUE"""),625.9)</f>
        <v>625.9</v>
      </c>
      <c r="M9" s="2"/>
      <c r="N9" s="2"/>
      <c r="O9" s="2"/>
      <c r="P9" s="2" t="str">
        <f>IFERROR(__xludf.DUMMYFUNCTION("""COMPUTED_VALUE"""),"All")</f>
        <v>All</v>
      </c>
      <c r="Q9" s="2"/>
      <c r="R9" s="2"/>
      <c r="S9" s="2"/>
      <c r="T9" s="2"/>
      <c r="U9" s="2"/>
      <c r="V9" s="2"/>
    </row>
    <row r="10" ht="15.75" customHeight="1">
      <c r="A10" s="2">
        <f>IFERROR(__xludf.DUMMYFUNCTION("""COMPUTED_VALUE"""),1.0)</f>
        <v>1</v>
      </c>
      <c r="B10" s="2" t="str">
        <f>IFERROR(__xludf.DUMMYFUNCTION("""COMPUTED_VALUE"""),"USA")</f>
        <v>USA</v>
      </c>
      <c r="C10" s="3">
        <f>IFERROR(__xludf.DUMMYFUNCTION("""COMPUTED_VALUE"""),4.5392846E7)</f>
        <v>45392846</v>
      </c>
      <c r="D10" s="2" t="str">
        <f>IFERROR(__xludf.DUMMYFUNCTION("""COMPUTED_VALUE"""),"+58,856")</f>
        <v>+58,856</v>
      </c>
      <c r="E10" s="3">
        <f>IFERROR(__xludf.DUMMYFUNCTION("""COMPUTED_VALUE"""),736254.0)</f>
        <v>736254</v>
      </c>
      <c r="F10" s="2" t="str">
        <f>IFERROR(__xludf.DUMMYFUNCTION("""COMPUTED_VALUE"""),"+1,190")</f>
        <v>+1,190</v>
      </c>
      <c r="G10" s="3">
        <f>IFERROR(__xludf.DUMMYFUNCTION("""COMPUTED_VALUE"""),3.4885512E7)</f>
        <v>34885512</v>
      </c>
      <c r="H10" s="2" t="str">
        <f>IFERROR(__xludf.DUMMYFUNCTION("""COMPUTED_VALUE"""),"+84,996")</f>
        <v>+84,996</v>
      </c>
      <c r="I10" s="3">
        <f>IFERROR(__xludf.DUMMYFUNCTION("""COMPUTED_VALUE"""),9771080.0)</f>
        <v>9771080</v>
      </c>
      <c r="J10" s="3">
        <f>IFERROR(__xludf.DUMMYFUNCTION("""COMPUTED_VALUE"""),16735.0)</f>
        <v>16735</v>
      </c>
      <c r="K10" s="3">
        <f>IFERROR(__xludf.DUMMYFUNCTION("""COMPUTED_VALUE"""),136119.0)</f>
        <v>136119</v>
      </c>
      <c r="L10" s="3">
        <f>IFERROR(__xludf.DUMMYFUNCTION("""COMPUTED_VALUE"""),2208.0)</f>
        <v>2208</v>
      </c>
      <c r="M10" s="3">
        <f>IFERROR(__xludf.DUMMYFUNCTION("""COMPUTED_VALUE"""),6.61896955E8)</f>
        <v>661896955</v>
      </c>
      <c r="N10" s="3">
        <f>IFERROR(__xludf.DUMMYFUNCTION("""COMPUTED_VALUE"""),1984820.0)</f>
        <v>1984820</v>
      </c>
      <c r="O10" s="3">
        <f>IFERROR(__xludf.DUMMYFUNCTION("""COMPUTED_VALUE"""),3.33479557E8)</f>
        <v>333479557</v>
      </c>
      <c r="P10" s="2" t="str">
        <f>IFERROR(__xludf.DUMMYFUNCTION("""COMPUTED_VALUE"""),"North America")</f>
        <v>North America</v>
      </c>
      <c r="Q10" s="2">
        <f>IFERROR(__xludf.DUMMYFUNCTION("""COMPUTED_VALUE"""),7.0)</f>
        <v>7</v>
      </c>
      <c r="R10" s="2">
        <f>IFERROR(__xludf.DUMMYFUNCTION("""COMPUTED_VALUE"""),453.0)</f>
        <v>453</v>
      </c>
      <c r="S10" s="2">
        <f>IFERROR(__xludf.DUMMYFUNCTION("""COMPUTED_VALUE"""),1.0)</f>
        <v>1</v>
      </c>
      <c r="T10" s="2">
        <f>IFERROR(__xludf.DUMMYFUNCTION("""COMPUTED_VALUE"""),176.0)</f>
        <v>176</v>
      </c>
      <c r="U10" s="2">
        <f>IFERROR(__xludf.DUMMYFUNCTION("""COMPUTED_VALUE"""),4.0)</f>
        <v>4</v>
      </c>
      <c r="V10" s="3">
        <f>IFERROR(__xludf.DUMMYFUNCTION("""COMPUTED_VALUE"""),29300.0)</f>
        <v>29300</v>
      </c>
    </row>
    <row r="11" ht="15.75" customHeight="1">
      <c r="A11" s="2">
        <f>IFERROR(__xludf.DUMMYFUNCTION("""COMPUTED_VALUE"""),2.0)</f>
        <v>2</v>
      </c>
      <c r="B11" s="2" t="str">
        <f>IFERROR(__xludf.DUMMYFUNCTION("""COMPUTED_VALUE"""),"India")</f>
        <v>India</v>
      </c>
      <c r="C11" s="3">
        <f>IFERROR(__xludf.DUMMYFUNCTION("""COMPUTED_VALUE"""),3.40005E7)</f>
        <v>34000500</v>
      </c>
      <c r="D11" s="2" t="str">
        <f>IFERROR(__xludf.DUMMYFUNCTION("""COMPUTED_VALUE"""),"+16,021")</f>
        <v>+16,021</v>
      </c>
      <c r="E11" s="3">
        <f>IFERROR(__xludf.DUMMYFUNCTION("""COMPUTED_VALUE"""),451220.0)</f>
        <v>451220</v>
      </c>
      <c r="F11" s="2" t="str">
        <f>IFERROR(__xludf.DUMMYFUNCTION("""COMPUTED_VALUE"""),"+229")</f>
        <v>+229</v>
      </c>
      <c r="G11" s="3">
        <f>IFERROR(__xludf.DUMMYFUNCTION("""COMPUTED_VALUE"""),3.3335301E7)</f>
        <v>33335301</v>
      </c>
      <c r="H11" s="2" t="str">
        <f>IFERROR(__xludf.DUMMYFUNCTION("""COMPUTED_VALUE"""),"+22,850")</f>
        <v>+22,850</v>
      </c>
      <c r="I11" s="3">
        <f>IFERROR(__xludf.DUMMYFUNCTION("""COMPUTED_VALUE"""),213979.0)</f>
        <v>213979</v>
      </c>
      <c r="J11" s="3">
        <f>IFERROR(__xludf.DUMMYFUNCTION("""COMPUTED_VALUE"""),8944.0)</f>
        <v>8944</v>
      </c>
      <c r="K11" s="3">
        <f>IFERROR(__xludf.DUMMYFUNCTION("""COMPUTED_VALUE"""),24333.0)</f>
        <v>24333</v>
      </c>
      <c r="L11" s="2">
        <f>IFERROR(__xludf.DUMMYFUNCTION("""COMPUTED_VALUE"""),323.0)</f>
        <v>323</v>
      </c>
      <c r="M11" s="3">
        <f>IFERROR(__xludf.DUMMYFUNCTION("""COMPUTED_VALUE"""),5.85038043E8)</f>
        <v>585038043</v>
      </c>
      <c r="N11" s="3">
        <f>IFERROR(__xludf.DUMMYFUNCTION("""COMPUTED_VALUE"""),418689.0)</f>
        <v>418689</v>
      </c>
      <c r="O11" s="3">
        <f>IFERROR(__xludf.DUMMYFUNCTION("""COMPUTED_VALUE"""),1.397309368E9)</f>
        <v>1397309368</v>
      </c>
      <c r="P11" s="2" t="str">
        <f>IFERROR(__xludf.DUMMYFUNCTION("""COMPUTED_VALUE"""),"Asia")</f>
        <v>Asia</v>
      </c>
      <c r="Q11" s="2">
        <f>IFERROR(__xludf.DUMMYFUNCTION("""COMPUTED_VALUE"""),41.0)</f>
        <v>41</v>
      </c>
      <c r="R11" s="3">
        <f>IFERROR(__xludf.DUMMYFUNCTION("""COMPUTED_VALUE"""),3097.0)</f>
        <v>3097</v>
      </c>
      <c r="S11" s="2">
        <f>IFERROR(__xludf.DUMMYFUNCTION("""COMPUTED_VALUE"""),2.0)</f>
        <v>2</v>
      </c>
      <c r="T11" s="2">
        <f>IFERROR(__xludf.DUMMYFUNCTION("""COMPUTED_VALUE"""),11.0)</f>
        <v>11</v>
      </c>
      <c r="U11" s="2">
        <f>IFERROR(__xludf.DUMMYFUNCTION("""COMPUTED_VALUE"""),0.2)</f>
        <v>0.2</v>
      </c>
      <c r="V11" s="2">
        <f>IFERROR(__xludf.DUMMYFUNCTION("""COMPUTED_VALUE"""),153.0)</f>
        <v>153</v>
      </c>
    </row>
    <row r="12" ht="15.75" customHeight="1">
      <c r="A12" s="2">
        <f>IFERROR(__xludf.DUMMYFUNCTION("""COMPUTED_VALUE"""),3.0)</f>
        <v>3</v>
      </c>
      <c r="B12" s="2" t="str">
        <f>IFERROR(__xludf.DUMMYFUNCTION("""COMPUTED_VALUE"""),"Brazil")</f>
        <v>Brazil</v>
      </c>
      <c r="C12" s="3">
        <f>IFERROR(__xludf.DUMMYFUNCTION("""COMPUTED_VALUE"""),2.1590097E7)</f>
        <v>21590097</v>
      </c>
      <c r="D12" s="2" t="str">
        <f>IFERROR(__xludf.DUMMYFUNCTION("""COMPUTED_VALUE"""),"+7,359")</f>
        <v>+7,359</v>
      </c>
      <c r="E12" s="3">
        <f>IFERROR(__xludf.DUMMYFUNCTION("""COMPUTED_VALUE"""),601398.0)</f>
        <v>601398</v>
      </c>
      <c r="F12" s="2" t="str">
        <f>IFERROR(__xludf.DUMMYFUNCTION("""COMPUTED_VALUE"""),"+132")</f>
        <v>+132</v>
      </c>
      <c r="G12" s="3">
        <f>IFERROR(__xludf.DUMMYFUNCTION("""COMPUTED_VALUE"""),2.0694669E7)</f>
        <v>20694669</v>
      </c>
      <c r="H12" s="2"/>
      <c r="I12" s="3">
        <f>IFERROR(__xludf.DUMMYFUNCTION("""COMPUTED_VALUE"""),294030.0)</f>
        <v>294030</v>
      </c>
      <c r="J12" s="3">
        <f>IFERROR(__xludf.DUMMYFUNCTION("""COMPUTED_VALUE"""),8318.0)</f>
        <v>8318</v>
      </c>
      <c r="K12" s="3">
        <f>IFERROR(__xludf.DUMMYFUNCTION("""COMPUTED_VALUE"""),100659.0)</f>
        <v>100659</v>
      </c>
      <c r="L12" s="3">
        <f>IFERROR(__xludf.DUMMYFUNCTION("""COMPUTED_VALUE"""),2804.0)</f>
        <v>2804</v>
      </c>
      <c r="M12" s="3">
        <f>IFERROR(__xludf.DUMMYFUNCTION("""COMPUTED_VALUE"""),6.3776166E7)</f>
        <v>63776166</v>
      </c>
      <c r="N12" s="3">
        <f>IFERROR(__xludf.DUMMYFUNCTION("""COMPUTED_VALUE"""),297342.0)</f>
        <v>297342</v>
      </c>
      <c r="O12" s="3">
        <f>IFERROR(__xludf.DUMMYFUNCTION("""COMPUTED_VALUE"""),2.14487273E8)</f>
        <v>214487273</v>
      </c>
      <c r="P12" s="2" t="str">
        <f>IFERROR(__xludf.DUMMYFUNCTION("""COMPUTED_VALUE"""),"South America")</f>
        <v>South America</v>
      </c>
      <c r="Q12" s="2">
        <f>IFERROR(__xludf.DUMMYFUNCTION("""COMPUTED_VALUE"""),10.0)</f>
        <v>10</v>
      </c>
      <c r="R12" s="2">
        <f>IFERROR(__xludf.DUMMYFUNCTION("""COMPUTED_VALUE"""),357.0)</f>
        <v>357</v>
      </c>
      <c r="S12" s="2">
        <f>IFERROR(__xludf.DUMMYFUNCTION("""COMPUTED_VALUE"""),3.0)</f>
        <v>3</v>
      </c>
      <c r="T12" s="2">
        <f>IFERROR(__xludf.DUMMYFUNCTION("""COMPUTED_VALUE"""),34.0)</f>
        <v>34</v>
      </c>
      <c r="U12" s="2">
        <f>IFERROR(__xludf.DUMMYFUNCTION("""COMPUTED_VALUE"""),0.6)</f>
        <v>0.6</v>
      </c>
      <c r="V12" s="3">
        <f>IFERROR(__xludf.DUMMYFUNCTION("""COMPUTED_VALUE"""),1371.0)</f>
        <v>1371</v>
      </c>
    </row>
    <row r="13" ht="15.75" customHeight="1">
      <c r="A13" s="2">
        <f>IFERROR(__xludf.DUMMYFUNCTION("""COMPUTED_VALUE"""),4.0)</f>
        <v>4</v>
      </c>
      <c r="B13" s="2" t="str">
        <f>IFERROR(__xludf.DUMMYFUNCTION("""COMPUTED_VALUE"""),"UK")</f>
        <v>UK</v>
      </c>
      <c r="C13" s="3">
        <f>IFERROR(__xludf.DUMMYFUNCTION("""COMPUTED_VALUE"""),8231437.0)</f>
        <v>8231437</v>
      </c>
      <c r="D13" s="2" t="str">
        <f>IFERROR(__xludf.DUMMYFUNCTION("""COMPUTED_VALUE"""),"+38,520")</f>
        <v>+38,520</v>
      </c>
      <c r="E13" s="3">
        <f>IFERROR(__xludf.DUMMYFUNCTION("""COMPUTED_VALUE"""),137944.0)</f>
        <v>137944</v>
      </c>
      <c r="F13" s="2" t="str">
        <f>IFERROR(__xludf.DUMMYFUNCTION("""COMPUTED_VALUE"""),"+181")</f>
        <v>+181</v>
      </c>
      <c r="G13" s="3">
        <f>IFERROR(__xludf.DUMMYFUNCTION("""COMPUTED_VALUE"""),6724341.0)</f>
        <v>6724341</v>
      </c>
      <c r="H13" s="2" t="str">
        <f>IFERROR(__xludf.DUMMYFUNCTION("""COMPUTED_VALUE"""),"+37,646")</f>
        <v>+37,646</v>
      </c>
      <c r="I13" s="3">
        <f>IFERROR(__xludf.DUMMYFUNCTION("""COMPUTED_VALUE"""),1369152.0)</f>
        <v>1369152</v>
      </c>
      <c r="J13" s="2">
        <f>IFERROR(__xludf.DUMMYFUNCTION("""COMPUTED_VALUE"""),747.0)</f>
        <v>747</v>
      </c>
      <c r="K13" s="3">
        <f>IFERROR(__xludf.DUMMYFUNCTION("""COMPUTED_VALUE"""),120446.0)</f>
        <v>120446</v>
      </c>
      <c r="L13" s="3">
        <f>IFERROR(__xludf.DUMMYFUNCTION("""COMPUTED_VALUE"""),2018.0)</f>
        <v>2018</v>
      </c>
      <c r="M13" s="3">
        <f>IFERROR(__xludf.DUMMYFUNCTION("""COMPUTED_VALUE"""),3.15278717E8)</f>
        <v>315278717</v>
      </c>
      <c r="N13" s="3">
        <f>IFERROR(__xludf.DUMMYFUNCTION("""COMPUTED_VALUE"""),4613310.0)</f>
        <v>4613310</v>
      </c>
      <c r="O13" s="3">
        <f>IFERROR(__xludf.DUMMYFUNCTION("""COMPUTED_VALUE"""),6.8341111E7)</f>
        <v>68341111</v>
      </c>
      <c r="P13" s="2" t="str">
        <f>IFERROR(__xludf.DUMMYFUNCTION("""COMPUTED_VALUE"""),"Europe")</f>
        <v>Europe</v>
      </c>
      <c r="Q13" s="2">
        <f>IFERROR(__xludf.DUMMYFUNCTION("""COMPUTED_VALUE"""),8.0)</f>
        <v>8</v>
      </c>
      <c r="R13" s="2">
        <f>IFERROR(__xludf.DUMMYFUNCTION("""COMPUTED_VALUE"""),495.0)</f>
        <v>495</v>
      </c>
      <c r="S13" s="2">
        <f>IFERROR(__xludf.DUMMYFUNCTION("""COMPUTED_VALUE"""),0.0)</f>
        <v>0</v>
      </c>
      <c r="T13" s="2">
        <f>IFERROR(__xludf.DUMMYFUNCTION("""COMPUTED_VALUE"""),564.0)</f>
        <v>564</v>
      </c>
      <c r="U13" s="2">
        <f>IFERROR(__xludf.DUMMYFUNCTION("""COMPUTED_VALUE"""),3.0)</f>
        <v>3</v>
      </c>
      <c r="V13" s="3">
        <f>IFERROR(__xludf.DUMMYFUNCTION("""COMPUTED_VALUE"""),20034.0)</f>
        <v>20034</v>
      </c>
    </row>
    <row r="14" ht="15.75" customHeight="1">
      <c r="A14" s="2">
        <f>IFERROR(__xludf.DUMMYFUNCTION("""COMPUTED_VALUE"""),5.0)</f>
        <v>5</v>
      </c>
      <c r="B14" s="2" t="str">
        <f>IFERROR(__xludf.DUMMYFUNCTION("""COMPUTED_VALUE"""),"Russia")</f>
        <v>Russia</v>
      </c>
      <c r="C14" s="3">
        <f>IFERROR(__xludf.DUMMYFUNCTION("""COMPUTED_VALUE"""),7832964.0)</f>
        <v>7832964</v>
      </c>
      <c r="D14" s="2" t="str">
        <f>IFERROR(__xludf.DUMMYFUNCTION("""COMPUTED_VALUE"""),"+28,190")</f>
        <v>+28,190</v>
      </c>
      <c r="E14" s="3">
        <f>IFERROR(__xludf.DUMMYFUNCTION("""COMPUTED_VALUE"""),218345.0)</f>
        <v>218345</v>
      </c>
      <c r="F14" s="2" t="str">
        <f>IFERROR(__xludf.DUMMYFUNCTION("""COMPUTED_VALUE"""),"+973")</f>
        <v>+973</v>
      </c>
      <c r="G14" s="3">
        <f>IFERROR(__xludf.DUMMYFUNCTION("""COMPUTED_VALUE"""),6894285.0)</f>
        <v>6894285</v>
      </c>
      <c r="H14" s="2" t="str">
        <f>IFERROR(__xludf.DUMMYFUNCTION("""COMPUTED_VALUE"""),"+20,706")</f>
        <v>+20,706</v>
      </c>
      <c r="I14" s="3">
        <f>IFERROR(__xludf.DUMMYFUNCTION("""COMPUTED_VALUE"""),720334.0)</f>
        <v>720334</v>
      </c>
      <c r="J14" s="3">
        <f>IFERROR(__xludf.DUMMYFUNCTION("""COMPUTED_VALUE"""),2300.0)</f>
        <v>2300</v>
      </c>
      <c r="K14" s="3">
        <f>IFERROR(__xludf.DUMMYFUNCTION("""COMPUTED_VALUE"""),53645.0)</f>
        <v>53645</v>
      </c>
      <c r="L14" s="3">
        <f>IFERROR(__xludf.DUMMYFUNCTION("""COMPUTED_VALUE"""),1495.0)</f>
        <v>1495</v>
      </c>
      <c r="M14" s="3">
        <f>IFERROR(__xludf.DUMMYFUNCTION("""COMPUTED_VALUE"""),1.976E8)</f>
        <v>197600000</v>
      </c>
      <c r="N14" s="3">
        <f>IFERROR(__xludf.DUMMYFUNCTION("""COMPUTED_VALUE"""),1353292.0)</f>
        <v>1353292</v>
      </c>
      <c r="O14" s="3">
        <f>IFERROR(__xludf.DUMMYFUNCTION("""COMPUTED_VALUE"""),1.46014362E8)</f>
        <v>146014362</v>
      </c>
      <c r="P14" s="2" t="str">
        <f>IFERROR(__xludf.DUMMYFUNCTION("""COMPUTED_VALUE"""),"Europe")</f>
        <v>Europe</v>
      </c>
      <c r="Q14" s="2">
        <f>IFERROR(__xludf.DUMMYFUNCTION("""COMPUTED_VALUE"""),19.0)</f>
        <v>19</v>
      </c>
      <c r="R14" s="2">
        <f>IFERROR(__xludf.DUMMYFUNCTION("""COMPUTED_VALUE"""),669.0)</f>
        <v>669</v>
      </c>
      <c r="S14" s="2">
        <f>IFERROR(__xludf.DUMMYFUNCTION("""COMPUTED_VALUE"""),1.0)</f>
        <v>1</v>
      </c>
      <c r="T14" s="2">
        <f>IFERROR(__xludf.DUMMYFUNCTION("""COMPUTED_VALUE"""),193.0)</f>
        <v>193</v>
      </c>
      <c r="U14" s="2">
        <f>IFERROR(__xludf.DUMMYFUNCTION("""COMPUTED_VALUE"""),7.0)</f>
        <v>7</v>
      </c>
      <c r="V14" s="3">
        <f>IFERROR(__xludf.DUMMYFUNCTION("""COMPUTED_VALUE"""),4933.0)</f>
        <v>4933</v>
      </c>
    </row>
    <row r="15" ht="15.75" customHeight="1">
      <c r="A15" s="2">
        <f>IFERROR(__xludf.DUMMYFUNCTION("""COMPUTED_VALUE"""),6.0)</f>
        <v>6</v>
      </c>
      <c r="B15" s="2" t="str">
        <f>IFERROR(__xludf.DUMMYFUNCTION("""COMPUTED_VALUE"""),"Turkey")</f>
        <v>Turkey</v>
      </c>
      <c r="C15" s="3">
        <f>IFERROR(__xludf.DUMMYFUNCTION("""COMPUTED_VALUE"""),7508975.0)</f>
        <v>7508975</v>
      </c>
      <c r="D15" s="2" t="str">
        <f>IFERROR(__xludf.DUMMYFUNCTION("""COMPUTED_VALUE"""),"+33,860")</f>
        <v>+33,860</v>
      </c>
      <c r="E15" s="3">
        <f>IFERROR(__xludf.DUMMYFUNCTION("""COMPUTED_VALUE"""),66605.0)</f>
        <v>66605</v>
      </c>
      <c r="F15" s="2" t="str">
        <f>IFERROR(__xludf.DUMMYFUNCTION("""COMPUTED_VALUE"""),"+237")</f>
        <v>+237</v>
      </c>
      <c r="G15" s="3">
        <f>IFERROR(__xludf.DUMMYFUNCTION("""COMPUTED_VALUE"""),6957447.0)</f>
        <v>6957447</v>
      </c>
      <c r="H15" s="2" t="str">
        <f>IFERROR(__xludf.DUMMYFUNCTION("""COMPUTED_VALUE"""),"+30,110")</f>
        <v>+30,110</v>
      </c>
      <c r="I15" s="3">
        <f>IFERROR(__xludf.DUMMYFUNCTION("""COMPUTED_VALUE"""),484923.0)</f>
        <v>484923</v>
      </c>
      <c r="J15" s="2">
        <f>IFERROR(__xludf.DUMMYFUNCTION("""COMPUTED_VALUE"""),633.0)</f>
        <v>633</v>
      </c>
      <c r="K15" s="3">
        <f>IFERROR(__xludf.DUMMYFUNCTION("""COMPUTED_VALUE"""),87828.0)</f>
        <v>87828</v>
      </c>
      <c r="L15" s="2">
        <f>IFERROR(__xludf.DUMMYFUNCTION("""COMPUTED_VALUE"""),779.0)</f>
        <v>779</v>
      </c>
      <c r="M15" s="3">
        <f>IFERROR(__xludf.DUMMYFUNCTION("""COMPUTED_VALUE"""),9.0560626E7)</f>
        <v>90560626</v>
      </c>
      <c r="N15" s="3">
        <f>IFERROR(__xludf.DUMMYFUNCTION("""COMPUTED_VALUE"""),1059233.0)</f>
        <v>1059233</v>
      </c>
      <c r="O15" s="3">
        <f>IFERROR(__xludf.DUMMYFUNCTION("""COMPUTED_VALUE"""),8.5496437E7)</f>
        <v>85496437</v>
      </c>
      <c r="P15" s="2" t="str">
        <f>IFERROR(__xludf.DUMMYFUNCTION("""COMPUTED_VALUE"""),"Asia")</f>
        <v>Asia</v>
      </c>
      <c r="Q15" s="2">
        <f>IFERROR(__xludf.DUMMYFUNCTION("""COMPUTED_VALUE"""),11.0)</f>
        <v>11</v>
      </c>
      <c r="R15" s="3">
        <f>IFERROR(__xludf.DUMMYFUNCTION("""COMPUTED_VALUE"""),1284.0)</f>
        <v>1284</v>
      </c>
      <c r="S15" s="2">
        <f>IFERROR(__xludf.DUMMYFUNCTION("""COMPUTED_VALUE"""),1.0)</f>
        <v>1</v>
      </c>
      <c r="T15" s="2">
        <f>IFERROR(__xludf.DUMMYFUNCTION("""COMPUTED_VALUE"""),396.0)</f>
        <v>396</v>
      </c>
      <c r="U15" s="2">
        <f>IFERROR(__xludf.DUMMYFUNCTION("""COMPUTED_VALUE"""),3.0)</f>
        <v>3</v>
      </c>
      <c r="V15" s="3">
        <f>IFERROR(__xludf.DUMMYFUNCTION("""COMPUTED_VALUE"""),5672.0)</f>
        <v>5672</v>
      </c>
    </row>
    <row r="16" ht="15.75" customHeight="1">
      <c r="A16" s="2">
        <f>IFERROR(__xludf.DUMMYFUNCTION("""COMPUTED_VALUE"""),7.0)</f>
        <v>7</v>
      </c>
      <c r="B16" s="2" t="str">
        <f>IFERROR(__xludf.DUMMYFUNCTION("""COMPUTED_VALUE"""),"France")</f>
        <v>France</v>
      </c>
      <c r="C16" s="3">
        <f>IFERROR(__xludf.DUMMYFUNCTION("""COMPUTED_VALUE"""),7063511.0)</f>
        <v>7063511</v>
      </c>
      <c r="D16" s="2" t="str">
        <f>IFERROR(__xludf.DUMMYFUNCTION("""COMPUTED_VALUE"""),"+5,880")</f>
        <v>+5,880</v>
      </c>
      <c r="E16" s="3">
        <f>IFERROR(__xludf.DUMMYFUNCTION("""COMPUTED_VALUE"""),117150.0)</f>
        <v>117150</v>
      </c>
      <c r="F16" s="2" t="str">
        <f>IFERROR(__xludf.DUMMYFUNCTION("""COMPUTED_VALUE"""),"+68")</f>
        <v>+68</v>
      </c>
      <c r="G16" s="3">
        <f>IFERROR(__xludf.DUMMYFUNCTION("""COMPUTED_VALUE"""),6854411.0)</f>
        <v>6854411</v>
      </c>
      <c r="H16" s="2" t="str">
        <f>IFERROR(__xludf.DUMMYFUNCTION("""COMPUTED_VALUE"""),"+6,764")</f>
        <v>+6,764</v>
      </c>
      <c r="I16" s="3">
        <f>IFERROR(__xludf.DUMMYFUNCTION("""COMPUTED_VALUE"""),91950.0)</f>
        <v>91950</v>
      </c>
      <c r="J16" s="3">
        <f>IFERROR(__xludf.DUMMYFUNCTION("""COMPUTED_VALUE"""),1200.0)</f>
        <v>1200</v>
      </c>
      <c r="K16" s="3">
        <f>IFERROR(__xludf.DUMMYFUNCTION("""COMPUTED_VALUE"""),107909.0)</f>
        <v>107909</v>
      </c>
      <c r="L16" s="3">
        <f>IFERROR(__xludf.DUMMYFUNCTION("""COMPUTED_VALUE"""),1790.0)</f>
        <v>1790</v>
      </c>
      <c r="M16" s="3">
        <f>IFERROR(__xludf.DUMMYFUNCTION("""COMPUTED_VALUE"""),1.46046715E8)</f>
        <v>146046715</v>
      </c>
      <c r="N16" s="3">
        <f>IFERROR(__xludf.DUMMYFUNCTION("""COMPUTED_VALUE"""),2231155.0)</f>
        <v>2231155</v>
      </c>
      <c r="O16" s="3">
        <f>IFERROR(__xludf.DUMMYFUNCTION("""COMPUTED_VALUE"""),6.5457901E7)</f>
        <v>65457901</v>
      </c>
      <c r="P16" s="2" t="str">
        <f>IFERROR(__xludf.DUMMYFUNCTION("""COMPUTED_VALUE"""),"Europe")</f>
        <v>Europe</v>
      </c>
      <c r="Q16" s="2">
        <f>IFERROR(__xludf.DUMMYFUNCTION("""COMPUTED_VALUE"""),9.0)</f>
        <v>9</v>
      </c>
      <c r="R16" s="2">
        <f>IFERROR(__xludf.DUMMYFUNCTION("""COMPUTED_VALUE"""),559.0)</f>
        <v>559</v>
      </c>
      <c r="S16" s="2">
        <f>IFERROR(__xludf.DUMMYFUNCTION("""COMPUTED_VALUE"""),0.0)</f>
        <v>0</v>
      </c>
      <c r="T16" s="2">
        <f>IFERROR(__xludf.DUMMYFUNCTION("""COMPUTED_VALUE"""),90.0)</f>
        <v>90</v>
      </c>
      <c r="U16" s="2">
        <f>IFERROR(__xludf.DUMMYFUNCTION("""COMPUTED_VALUE"""),1.0)</f>
        <v>1</v>
      </c>
      <c r="V16" s="3">
        <f>IFERROR(__xludf.DUMMYFUNCTION("""COMPUTED_VALUE"""),1405.0)</f>
        <v>1405</v>
      </c>
    </row>
    <row r="17" ht="15.75" customHeight="1">
      <c r="A17" s="2">
        <f>IFERROR(__xludf.DUMMYFUNCTION("""COMPUTED_VALUE"""),8.0)</f>
        <v>8</v>
      </c>
      <c r="B17" s="2" t="str">
        <f>IFERROR(__xludf.DUMMYFUNCTION("""COMPUTED_VALUE"""),"Iran")</f>
        <v>Iran</v>
      </c>
      <c r="C17" s="3">
        <f>IFERROR(__xludf.DUMMYFUNCTION("""COMPUTED_VALUE"""),5729785.0)</f>
        <v>5729785</v>
      </c>
      <c r="D17" s="2" t="str">
        <f>IFERROR(__xludf.DUMMYFUNCTION("""COMPUTED_VALUE"""),"+13,391")</f>
        <v>+13,391</v>
      </c>
      <c r="E17" s="3">
        <f>IFERROR(__xludf.DUMMYFUNCTION("""COMPUTED_VALUE"""),123081.0)</f>
        <v>123081</v>
      </c>
      <c r="F17" s="2" t="str">
        <f>IFERROR(__xludf.DUMMYFUNCTION("""COMPUTED_VALUE"""),"+213")</f>
        <v>+213</v>
      </c>
      <c r="G17" s="3">
        <f>IFERROR(__xludf.DUMMYFUNCTION("""COMPUTED_VALUE"""),5249956.0)</f>
        <v>5249956</v>
      </c>
      <c r="H17" s="2" t="str">
        <f>IFERROR(__xludf.DUMMYFUNCTION("""COMPUTED_VALUE"""),"+15,946")</f>
        <v>+15,946</v>
      </c>
      <c r="I17" s="3">
        <f>IFERROR(__xludf.DUMMYFUNCTION("""COMPUTED_VALUE"""),356748.0)</f>
        <v>356748</v>
      </c>
      <c r="J17" s="3">
        <f>IFERROR(__xludf.DUMMYFUNCTION("""COMPUTED_VALUE"""),5124.0)</f>
        <v>5124</v>
      </c>
      <c r="K17" s="3">
        <f>IFERROR(__xludf.DUMMYFUNCTION("""COMPUTED_VALUE"""),67122.0)</f>
        <v>67122</v>
      </c>
      <c r="L17" s="3">
        <f>IFERROR(__xludf.DUMMYFUNCTION("""COMPUTED_VALUE"""),1442.0)</f>
        <v>1442</v>
      </c>
      <c r="M17" s="3">
        <f>IFERROR(__xludf.DUMMYFUNCTION("""COMPUTED_VALUE"""),3.2619228E7)</f>
        <v>32619228</v>
      </c>
      <c r="N17" s="3">
        <f>IFERROR(__xludf.DUMMYFUNCTION("""COMPUTED_VALUE"""),382121.0)</f>
        <v>382121</v>
      </c>
      <c r="O17" s="3">
        <f>IFERROR(__xludf.DUMMYFUNCTION("""COMPUTED_VALUE"""),8.5363583E7)</f>
        <v>85363583</v>
      </c>
      <c r="P17" s="2" t="str">
        <f>IFERROR(__xludf.DUMMYFUNCTION("""COMPUTED_VALUE"""),"Asia")</f>
        <v>Asia</v>
      </c>
      <c r="Q17" s="2">
        <f>IFERROR(__xludf.DUMMYFUNCTION("""COMPUTED_VALUE"""),15.0)</f>
        <v>15</v>
      </c>
      <c r="R17" s="2">
        <f>IFERROR(__xludf.DUMMYFUNCTION("""COMPUTED_VALUE"""),694.0)</f>
        <v>694</v>
      </c>
      <c r="S17" s="2">
        <f>IFERROR(__xludf.DUMMYFUNCTION("""COMPUTED_VALUE"""),3.0)</f>
        <v>3</v>
      </c>
      <c r="T17" s="2">
        <f>IFERROR(__xludf.DUMMYFUNCTION("""COMPUTED_VALUE"""),157.0)</f>
        <v>157</v>
      </c>
      <c r="U17" s="2">
        <f>IFERROR(__xludf.DUMMYFUNCTION("""COMPUTED_VALUE"""),2.0)</f>
        <v>2</v>
      </c>
      <c r="V17" s="3">
        <f>IFERROR(__xludf.DUMMYFUNCTION("""COMPUTED_VALUE"""),4179.0)</f>
        <v>4179</v>
      </c>
    </row>
    <row r="18" ht="15.75" customHeight="1">
      <c r="A18" s="2">
        <f>IFERROR(__xludf.DUMMYFUNCTION("""COMPUTED_VALUE"""),9.0)</f>
        <v>9</v>
      </c>
      <c r="B18" s="2" t="str">
        <f>IFERROR(__xludf.DUMMYFUNCTION("""COMPUTED_VALUE"""),"Argentina")</f>
        <v>Argentina</v>
      </c>
      <c r="C18" s="3">
        <f>IFERROR(__xludf.DUMMYFUNCTION("""COMPUTED_VALUE"""),5267339.0)</f>
        <v>5267339</v>
      </c>
      <c r="D18" s="2" t="str">
        <f>IFERROR(__xludf.DUMMYFUNCTION("""COMPUTED_VALUE"""),"+1,064")</f>
        <v>+1,064</v>
      </c>
      <c r="E18" s="3">
        <f>IFERROR(__xludf.DUMMYFUNCTION("""COMPUTED_VALUE"""),115547.0)</f>
        <v>115547</v>
      </c>
      <c r="F18" s="2" t="str">
        <f>IFERROR(__xludf.DUMMYFUNCTION("""COMPUTED_VALUE"""),"+56")</f>
        <v>+56</v>
      </c>
      <c r="G18" s="3">
        <f>IFERROR(__xludf.DUMMYFUNCTION("""COMPUTED_VALUE"""),5134604.0)</f>
        <v>5134604</v>
      </c>
      <c r="H18" s="2" t="str">
        <f>IFERROR(__xludf.DUMMYFUNCTION("""COMPUTED_VALUE"""),"+912")</f>
        <v>+912</v>
      </c>
      <c r="I18" s="3">
        <f>IFERROR(__xludf.DUMMYFUNCTION("""COMPUTED_VALUE"""),17188.0)</f>
        <v>17188</v>
      </c>
      <c r="J18" s="2">
        <f>IFERROR(__xludf.DUMMYFUNCTION("""COMPUTED_VALUE"""),920.0)</f>
        <v>920</v>
      </c>
      <c r="K18" s="3">
        <f>IFERROR(__xludf.DUMMYFUNCTION("""COMPUTED_VALUE"""),115197.0)</f>
        <v>115197</v>
      </c>
      <c r="L18" s="3">
        <f>IFERROR(__xludf.DUMMYFUNCTION("""COMPUTED_VALUE"""),2527.0)</f>
        <v>2527</v>
      </c>
      <c r="M18" s="3">
        <f>IFERROR(__xludf.DUMMYFUNCTION("""COMPUTED_VALUE"""),2.4289731E7)</f>
        <v>24289731</v>
      </c>
      <c r="N18" s="3">
        <f>IFERROR(__xludf.DUMMYFUNCTION("""COMPUTED_VALUE"""),531216.0)</f>
        <v>531216</v>
      </c>
      <c r="O18" s="3">
        <f>IFERROR(__xludf.DUMMYFUNCTION("""COMPUTED_VALUE"""),4.5724788E7)</f>
        <v>45724788</v>
      </c>
      <c r="P18" s="2" t="str">
        <f>IFERROR(__xludf.DUMMYFUNCTION("""COMPUTED_VALUE"""),"South America")</f>
        <v>South America</v>
      </c>
      <c r="Q18" s="2">
        <f>IFERROR(__xludf.DUMMYFUNCTION("""COMPUTED_VALUE"""),9.0)</f>
        <v>9</v>
      </c>
      <c r="R18" s="2">
        <f>IFERROR(__xludf.DUMMYFUNCTION("""COMPUTED_VALUE"""),396.0)</f>
        <v>396</v>
      </c>
      <c r="S18" s="2">
        <f>IFERROR(__xludf.DUMMYFUNCTION("""COMPUTED_VALUE"""),2.0)</f>
        <v>2</v>
      </c>
      <c r="T18" s="2">
        <f>IFERROR(__xludf.DUMMYFUNCTION("""COMPUTED_VALUE"""),23.0)</f>
        <v>23</v>
      </c>
      <c r="U18" s="2">
        <f>IFERROR(__xludf.DUMMYFUNCTION("""COMPUTED_VALUE"""),1.0)</f>
        <v>1</v>
      </c>
      <c r="V18" s="2">
        <f>IFERROR(__xludf.DUMMYFUNCTION("""COMPUTED_VALUE"""),376.0)</f>
        <v>376</v>
      </c>
    </row>
    <row r="19" ht="15.75" customHeight="1">
      <c r="A19" s="2">
        <f>IFERROR(__xludf.DUMMYFUNCTION("""COMPUTED_VALUE"""),10.0)</f>
        <v>10</v>
      </c>
      <c r="B19" s="2" t="str">
        <f>IFERROR(__xludf.DUMMYFUNCTION("""COMPUTED_VALUE"""),"Spain")</f>
        <v>Spain</v>
      </c>
      <c r="C19" s="3">
        <f>IFERROR(__xludf.DUMMYFUNCTION("""COMPUTED_VALUE"""),4977448.0)</f>
        <v>4977448</v>
      </c>
      <c r="D19" s="2"/>
      <c r="E19" s="3">
        <f>IFERROR(__xludf.DUMMYFUNCTION("""COMPUTED_VALUE"""),86827.0)</f>
        <v>86827</v>
      </c>
      <c r="F19" s="2"/>
      <c r="G19" s="3">
        <f>IFERROR(__xludf.DUMMYFUNCTION("""COMPUTED_VALUE"""),4816194.0)</f>
        <v>4816194</v>
      </c>
      <c r="H19" s="2"/>
      <c r="I19" s="3">
        <f>IFERROR(__xludf.DUMMYFUNCTION("""COMPUTED_VALUE"""),74427.0)</f>
        <v>74427</v>
      </c>
      <c r="J19" s="2">
        <f>IFERROR(__xludf.DUMMYFUNCTION("""COMPUTED_VALUE"""),507.0)</f>
        <v>507</v>
      </c>
      <c r="K19" s="3">
        <f>IFERROR(__xludf.DUMMYFUNCTION("""COMPUTED_VALUE"""),106406.0)</f>
        <v>106406</v>
      </c>
      <c r="L19" s="3">
        <f>IFERROR(__xludf.DUMMYFUNCTION("""COMPUTED_VALUE"""),1856.0)</f>
        <v>1856</v>
      </c>
      <c r="M19" s="3">
        <f>IFERROR(__xludf.DUMMYFUNCTION("""COMPUTED_VALUE"""),6.6213858E7)</f>
        <v>66213858</v>
      </c>
      <c r="N19" s="3">
        <f>IFERROR(__xludf.DUMMYFUNCTION("""COMPUTED_VALUE"""),1415494.0)</f>
        <v>1415494</v>
      </c>
      <c r="O19" s="3">
        <f>IFERROR(__xludf.DUMMYFUNCTION("""COMPUTED_VALUE"""),4.6777901E7)</f>
        <v>46777901</v>
      </c>
      <c r="P19" s="2" t="str">
        <f>IFERROR(__xludf.DUMMYFUNCTION("""COMPUTED_VALUE"""),"Europe")</f>
        <v>Europe</v>
      </c>
      <c r="Q19" s="2">
        <f>IFERROR(__xludf.DUMMYFUNCTION("""COMPUTED_VALUE"""),9.0)</f>
        <v>9</v>
      </c>
      <c r="R19" s="2">
        <f>IFERROR(__xludf.DUMMYFUNCTION("""COMPUTED_VALUE"""),539.0)</f>
        <v>539</v>
      </c>
      <c r="S19" s="2">
        <f>IFERROR(__xludf.DUMMYFUNCTION("""COMPUTED_VALUE"""),1.0)</f>
        <v>1</v>
      </c>
      <c r="T19" s="2"/>
      <c r="U19" s="2"/>
      <c r="V19" s="3">
        <f>IFERROR(__xludf.DUMMYFUNCTION("""COMPUTED_VALUE"""),1591.0)</f>
        <v>1591</v>
      </c>
    </row>
    <row r="20" ht="15.75" customHeight="1">
      <c r="A20" s="2">
        <f>IFERROR(__xludf.DUMMYFUNCTION("""COMPUTED_VALUE"""),11.0)</f>
        <v>11</v>
      </c>
      <c r="B20" s="2" t="str">
        <f>IFERROR(__xludf.DUMMYFUNCTION("""COMPUTED_VALUE"""),"Colombia")</f>
        <v>Colombia</v>
      </c>
      <c r="C20" s="3">
        <f>IFERROR(__xludf.DUMMYFUNCTION("""COMPUTED_VALUE"""),4974400.0)</f>
        <v>4974400</v>
      </c>
      <c r="D20" s="2" t="str">
        <f>IFERROR(__xludf.DUMMYFUNCTION("""COMPUTED_VALUE"""),"+1,075")</f>
        <v>+1,075</v>
      </c>
      <c r="E20" s="3">
        <f>IFERROR(__xludf.DUMMYFUNCTION("""COMPUTED_VALUE"""),126692.0)</f>
        <v>126692</v>
      </c>
      <c r="F20" s="2" t="str">
        <f>IFERROR(__xludf.DUMMYFUNCTION("""COMPUTED_VALUE"""),"+37")</f>
        <v>+37</v>
      </c>
      <c r="G20" s="3">
        <f>IFERROR(__xludf.DUMMYFUNCTION("""COMPUTED_VALUE"""),4817951.0)</f>
        <v>4817951</v>
      </c>
      <c r="H20" s="2" t="str">
        <f>IFERROR(__xludf.DUMMYFUNCTION("""COMPUTED_VALUE"""),"+1,383")</f>
        <v>+1,383</v>
      </c>
      <c r="I20" s="3">
        <f>IFERROR(__xludf.DUMMYFUNCTION("""COMPUTED_VALUE"""),29757.0)</f>
        <v>29757</v>
      </c>
      <c r="J20" s="2">
        <f>IFERROR(__xludf.DUMMYFUNCTION("""COMPUTED_VALUE"""),342.0)</f>
        <v>342</v>
      </c>
      <c r="K20" s="3">
        <f>IFERROR(__xludf.DUMMYFUNCTION("""COMPUTED_VALUE"""),96451.0)</f>
        <v>96451</v>
      </c>
      <c r="L20" s="3">
        <f>IFERROR(__xludf.DUMMYFUNCTION("""COMPUTED_VALUE"""),2456.0)</f>
        <v>2456</v>
      </c>
      <c r="M20" s="3">
        <f>IFERROR(__xludf.DUMMYFUNCTION("""COMPUTED_VALUE"""),2.6052816E7)</f>
        <v>26052816</v>
      </c>
      <c r="N20" s="3">
        <f>IFERROR(__xludf.DUMMYFUNCTION("""COMPUTED_VALUE"""),505149.0)</f>
        <v>505149</v>
      </c>
      <c r="O20" s="3">
        <f>IFERROR(__xludf.DUMMYFUNCTION("""COMPUTED_VALUE"""),5.1574548E7)</f>
        <v>51574548</v>
      </c>
      <c r="P20" s="2" t="str">
        <f>IFERROR(__xludf.DUMMYFUNCTION("""COMPUTED_VALUE"""),"South America")</f>
        <v>South America</v>
      </c>
      <c r="Q20" s="2">
        <f>IFERROR(__xludf.DUMMYFUNCTION("""COMPUTED_VALUE"""),10.0)</f>
        <v>10</v>
      </c>
      <c r="R20" s="2">
        <f>IFERROR(__xludf.DUMMYFUNCTION("""COMPUTED_VALUE"""),407.0)</f>
        <v>407</v>
      </c>
      <c r="S20" s="2">
        <f>IFERROR(__xludf.DUMMYFUNCTION("""COMPUTED_VALUE"""),2.0)</f>
        <v>2</v>
      </c>
      <c r="T20" s="2">
        <f>IFERROR(__xludf.DUMMYFUNCTION("""COMPUTED_VALUE"""),21.0)</f>
        <v>21</v>
      </c>
      <c r="U20" s="2">
        <f>IFERROR(__xludf.DUMMYFUNCTION("""COMPUTED_VALUE"""),0.7)</f>
        <v>0.7</v>
      </c>
      <c r="V20" s="2">
        <f>IFERROR(__xludf.DUMMYFUNCTION("""COMPUTED_VALUE"""),577.0)</f>
        <v>577</v>
      </c>
    </row>
    <row r="21" ht="15.75" customHeight="1">
      <c r="A21" s="2">
        <f>IFERROR(__xludf.DUMMYFUNCTION("""COMPUTED_VALUE"""),12.0)</f>
        <v>12</v>
      </c>
      <c r="B21" s="2" t="str">
        <f>IFERROR(__xludf.DUMMYFUNCTION("""COMPUTED_VALUE"""),"Italy")</f>
        <v>Italy</v>
      </c>
      <c r="C21" s="3">
        <f>IFERROR(__xludf.DUMMYFUNCTION("""COMPUTED_VALUE"""),4704318.0)</f>
        <v>4704318</v>
      </c>
      <c r="D21" s="2" t="str">
        <f>IFERROR(__xludf.DUMMYFUNCTION("""COMPUTED_VALUE"""),"+2,494")</f>
        <v>+2,494</v>
      </c>
      <c r="E21" s="3">
        <f>IFERROR(__xludf.DUMMYFUNCTION("""COMPUTED_VALUE"""),131384.0)</f>
        <v>131384</v>
      </c>
      <c r="F21" s="2" t="str">
        <f>IFERROR(__xludf.DUMMYFUNCTION("""COMPUTED_VALUE"""),"+49")</f>
        <v>+49</v>
      </c>
      <c r="G21" s="3">
        <f>IFERROR(__xludf.DUMMYFUNCTION("""COMPUTED_VALUE"""),4490388.0)</f>
        <v>4490388</v>
      </c>
      <c r="H21" s="2" t="str">
        <f>IFERROR(__xludf.DUMMYFUNCTION("""COMPUTED_VALUE"""),"+3,997")</f>
        <v>+3,997</v>
      </c>
      <c r="I21" s="3">
        <f>IFERROR(__xludf.DUMMYFUNCTION("""COMPUTED_VALUE"""),82546.0)</f>
        <v>82546</v>
      </c>
      <c r="J21" s="2">
        <f>IFERROR(__xludf.DUMMYFUNCTION("""COMPUTED_VALUE"""),370.0)</f>
        <v>370</v>
      </c>
      <c r="K21" s="3">
        <f>IFERROR(__xludf.DUMMYFUNCTION("""COMPUTED_VALUE"""),77953.0)</f>
        <v>77953</v>
      </c>
      <c r="L21" s="3">
        <f>IFERROR(__xludf.DUMMYFUNCTION("""COMPUTED_VALUE"""),2177.0)</f>
        <v>2177</v>
      </c>
      <c r="M21" s="3">
        <f>IFERROR(__xludf.DUMMYFUNCTION("""COMPUTED_VALUE"""),9.5761232E7)</f>
        <v>95761232</v>
      </c>
      <c r="N21" s="3">
        <f>IFERROR(__xludf.DUMMYFUNCTION("""COMPUTED_VALUE"""),1586810.0)</f>
        <v>1586810</v>
      </c>
      <c r="O21" s="3">
        <f>IFERROR(__xludf.DUMMYFUNCTION("""COMPUTED_VALUE"""),6.0348285E7)</f>
        <v>60348285</v>
      </c>
      <c r="P21" s="2" t="str">
        <f>IFERROR(__xludf.DUMMYFUNCTION("""COMPUTED_VALUE"""),"Europe")</f>
        <v>Europe</v>
      </c>
      <c r="Q21" s="2">
        <f>IFERROR(__xludf.DUMMYFUNCTION("""COMPUTED_VALUE"""),13.0)</f>
        <v>13</v>
      </c>
      <c r="R21" s="2">
        <f>IFERROR(__xludf.DUMMYFUNCTION("""COMPUTED_VALUE"""),459.0)</f>
        <v>459</v>
      </c>
      <c r="S21" s="2">
        <f>IFERROR(__xludf.DUMMYFUNCTION("""COMPUTED_VALUE"""),1.0)</f>
        <v>1</v>
      </c>
      <c r="T21" s="2">
        <f>IFERROR(__xludf.DUMMYFUNCTION("""COMPUTED_VALUE"""),41.0)</f>
        <v>41</v>
      </c>
      <c r="U21" s="2">
        <f>IFERROR(__xludf.DUMMYFUNCTION("""COMPUTED_VALUE"""),0.8)</f>
        <v>0.8</v>
      </c>
      <c r="V21" s="3">
        <f>IFERROR(__xludf.DUMMYFUNCTION("""COMPUTED_VALUE"""),1368.0)</f>
        <v>1368</v>
      </c>
    </row>
    <row r="22" ht="15.75" customHeight="1">
      <c r="A22" s="2">
        <f>IFERROR(__xludf.DUMMYFUNCTION("""COMPUTED_VALUE"""),13.0)</f>
        <v>13</v>
      </c>
      <c r="B22" s="2" t="str">
        <f>IFERROR(__xludf.DUMMYFUNCTION("""COMPUTED_VALUE"""),"Germany")</f>
        <v>Germany</v>
      </c>
      <c r="C22" s="3">
        <f>IFERROR(__xludf.DUMMYFUNCTION("""COMPUTED_VALUE"""),4342178.0)</f>
        <v>4342178</v>
      </c>
      <c r="D22" s="2" t="str">
        <f>IFERROR(__xludf.DUMMYFUNCTION("""COMPUTED_VALUE"""),"+7,924")</f>
        <v>+7,924</v>
      </c>
      <c r="E22" s="3">
        <f>IFERROR(__xludf.DUMMYFUNCTION("""COMPUTED_VALUE"""),95183.0)</f>
        <v>95183</v>
      </c>
      <c r="F22" s="2" t="str">
        <f>IFERROR(__xludf.DUMMYFUNCTION("""COMPUTED_VALUE"""),"+96")</f>
        <v>+96</v>
      </c>
      <c r="G22" s="3">
        <f>IFERROR(__xludf.DUMMYFUNCTION("""COMPUTED_VALUE"""),4106300.0)</f>
        <v>4106300</v>
      </c>
      <c r="H22" s="2" t="str">
        <f>IFERROR(__xludf.DUMMYFUNCTION("""COMPUTED_VALUE"""),"+10,400")</f>
        <v>+10,400</v>
      </c>
      <c r="I22" s="3">
        <f>IFERROR(__xludf.DUMMYFUNCTION("""COMPUTED_VALUE"""),140695.0)</f>
        <v>140695</v>
      </c>
      <c r="J22" s="3">
        <f>IFERROR(__xludf.DUMMYFUNCTION("""COMPUTED_VALUE"""),1336.0)</f>
        <v>1336</v>
      </c>
      <c r="K22" s="3">
        <f>IFERROR(__xludf.DUMMYFUNCTION("""COMPUTED_VALUE"""),51615.0)</f>
        <v>51615</v>
      </c>
      <c r="L22" s="3">
        <f>IFERROR(__xludf.DUMMYFUNCTION("""COMPUTED_VALUE"""),1131.0)</f>
        <v>1131</v>
      </c>
      <c r="M22" s="3">
        <f>IFERROR(__xludf.DUMMYFUNCTION("""COMPUTED_VALUE"""),7.3348901E7)</f>
        <v>73348901</v>
      </c>
      <c r="N22" s="3">
        <f>IFERROR(__xludf.DUMMYFUNCTION("""COMPUTED_VALUE"""),871894.0)</f>
        <v>871894</v>
      </c>
      <c r="O22" s="3">
        <f>IFERROR(__xludf.DUMMYFUNCTION("""COMPUTED_VALUE"""),8.4125917E7)</f>
        <v>84125917</v>
      </c>
      <c r="P22" s="2" t="str">
        <f>IFERROR(__xludf.DUMMYFUNCTION("""COMPUTED_VALUE"""),"Europe")</f>
        <v>Europe</v>
      </c>
      <c r="Q22" s="2">
        <f>IFERROR(__xludf.DUMMYFUNCTION("""COMPUTED_VALUE"""),19.0)</f>
        <v>19</v>
      </c>
      <c r="R22" s="2">
        <f>IFERROR(__xludf.DUMMYFUNCTION("""COMPUTED_VALUE"""),884.0)</f>
        <v>884</v>
      </c>
      <c r="S22" s="2">
        <f>IFERROR(__xludf.DUMMYFUNCTION("""COMPUTED_VALUE"""),1.0)</f>
        <v>1</v>
      </c>
      <c r="T22" s="2">
        <f>IFERROR(__xludf.DUMMYFUNCTION("""COMPUTED_VALUE"""),94.0)</f>
        <v>94</v>
      </c>
      <c r="U22" s="2">
        <f>IFERROR(__xludf.DUMMYFUNCTION("""COMPUTED_VALUE"""),1.0)</f>
        <v>1</v>
      </c>
      <c r="V22" s="3">
        <f>IFERROR(__xludf.DUMMYFUNCTION("""COMPUTED_VALUE"""),1672.0)</f>
        <v>1672</v>
      </c>
    </row>
    <row r="23" ht="15.75" customHeight="1">
      <c r="A23" s="2">
        <f>IFERROR(__xludf.DUMMYFUNCTION("""COMPUTED_VALUE"""),14.0)</f>
        <v>14</v>
      </c>
      <c r="B23" s="2" t="str">
        <f>IFERROR(__xludf.DUMMYFUNCTION("""COMPUTED_VALUE"""),"Indonesia")</f>
        <v>Indonesia</v>
      </c>
      <c r="C23" s="3">
        <f>IFERROR(__xludf.DUMMYFUNCTION("""COMPUTED_VALUE"""),4229813.0)</f>
        <v>4229813</v>
      </c>
      <c r="D23" s="2" t="str">
        <f>IFERROR(__xludf.DUMMYFUNCTION("""COMPUTED_VALUE"""),"+1,261")</f>
        <v>+1,261</v>
      </c>
      <c r="E23" s="3">
        <f>IFERROR(__xludf.DUMMYFUNCTION("""COMPUTED_VALUE"""),142763.0)</f>
        <v>142763</v>
      </c>
      <c r="F23" s="2" t="str">
        <f>IFERROR(__xludf.DUMMYFUNCTION("""COMPUTED_VALUE"""),"+47")</f>
        <v>+47</v>
      </c>
      <c r="G23" s="3">
        <f>IFERROR(__xludf.DUMMYFUNCTION("""COMPUTED_VALUE"""),4065425.0)</f>
        <v>4065425</v>
      </c>
      <c r="H23" s="2" t="str">
        <f>IFERROR(__xludf.DUMMYFUNCTION("""COMPUTED_VALUE"""),"+2,130")</f>
        <v>+2,130</v>
      </c>
      <c r="I23" s="3">
        <f>IFERROR(__xludf.DUMMYFUNCTION("""COMPUTED_VALUE"""),21625.0)</f>
        <v>21625</v>
      </c>
      <c r="J23" s="2"/>
      <c r="K23" s="3">
        <f>IFERROR(__xludf.DUMMYFUNCTION("""COMPUTED_VALUE"""),15258.0)</f>
        <v>15258</v>
      </c>
      <c r="L23" s="2">
        <f>IFERROR(__xludf.DUMMYFUNCTION("""COMPUTED_VALUE"""),515.0)</f>
        <v>515</v>
      </c>
      <c r="M23" s="3">
        <f>IFERROR(__xludf.DUMMYFUNCTION("""COMPUTED_VALUE"""),4.2125852E7)</f>
        <v>42125852</v>
      </c>
      <c r="N23" s="3">
        <f>IFERROR(__xludf.DUMMYFUNCTION("""COMPUTED_VALUE"""),151962.0)</f>
        <v>151962</v>
      </c>
      <c r="O23" s="3">
        <f>IFERROR(__xludf.DUMMYFUNCTION("""COMPUTED_VALUE"""),2.77212298E8)</f>
        <v>277212298</v>
      </c>
      <c r="P23" s="2" t="str">
        <f>IFERROR(__xludf.DUMMYFUNCTION("""COMPUTED_VALUE"""),"Asia")</f>
        <v>Asia</v>
      </c>
      <c r="Q23" s="2">
        <f>IFERROR(__xludf.DUMMYFUNCTION("""COMPUTED_VALUE"""),66.0)</f>
        <v>66</v>
      </c>
      <c r="R23" s="3">
        <f>IFERROR(__xludf.DUMMYFUNCTION("""COMPUTED_VALUE"""),1942.0)</f>
        <v>1942</v>
      </c>
      <c r="S23" s="2">
        <f>IFERROR(__xludf.DUMMYFUNCTION("""COMPUTED_VALUE"""),7.0)</f>
        <v>7</v>
      </c>
      <c r="T23" s="2">
        <f>IFERROR(__xludf.DUMMYFUNCTION("""COMPUTED_VALUE"""),5.0)</f>
        <v>5</v>
      </c>
      <c r="U23" s="2">
        <f>IFERROR(__xludf.DUMMYFUNCTION("""COMPUTED_VALUE"""),0.2)</f>
        <v>0.2</v>
      </c>
      <c r="V23" s="2">
        <f>IFERROR(__xludf.DUMMYFUNCTION("""COMPUTED_VALUE"""),78.0)</f>
        <v>78</v>
      </c>
    </row>
    <row r="24" ht="15.75" customHeight="1">
      <c r="A24" s="2">
        <f>IFERROR(__xludf.DUMMYFUNCTION("""COMPUTED_VALUE"""),15.0)</f>
        <v>15</v>
      </c>
      <c r="B24" s="2" t="str">
        <f>IFERROR(__xludf.DUMMYFUNCTION("""COMPUTED_VALUE"""),"Mexico")</f>
        <v>Mexico</v>
      </c>
      <c r="C24" s="3">
        <f>IFERROR(__xludf.DUMMYFUNCTION("""COMPUTED_VALUE"""),3725242.0)</f>
        <v>3725242</v>
      </c>
      <c r="D24" s="2" t="str">
        <f>IFERROR(__xludf.DUMMYFUNCTION("""COMPUTED_VALUE"""),"+2,007")</f>
        <v>+2,007</v>
      </c>
      <c r="E24" s="3">
        <f>IFERROR(__xludf.DUMMYFUNCTION("""COMPUTED_VALUE"""),282227.0)</f>
        <v>282227</v>
      </c>
      <c r="F24" s="2" t="str">
        <f>IFERROR(__xludf.DUMMYFUNCTION("""COMPUTED_VALUE"""),"+141")</f>
        <v>+141</v>
      </c>
      <c r="G24" s="3">
        <f>IFERROR(__xludf.DUMMYFUNCTION("""COMPUTED_VALUE"""),3088055.0)</f>
        <v>3088055</v>
      </c>
      <c r="H24" s="2" t="str">
        <f>IFERROR(__xludf.DUMMYFUNCTION("""COMPUTED_VALUE"""),"+6,136")</f>
        <v>+6,136</v>
      </c>
      <c r="I24" s="3">
        <f>IFERROR(__xludf.DUMMYFUNCTION("""COMPUTED_VALUE"""),354960.0)</f>
        <v>354960</v>
      </c>
      <c r="J24" s="3">
        <f>IFERROR(__xludf.DUMMYFUNCTION("""COMPUTED_VALUE"""),4798.0)</f>
        <v>4798</v>
      </c>
      <c r="K24" s="3">
        <f>IFERROR(__xludf.DUMMYFUNCTION("""COMPUTED_VALUE"""),28511.0)</f>
        <v>28511</v>
      </c>
      <c r="L24" s="3">
        <f>IFERROR(__xludf.DUMMYFUNCTION("""COMPUTED_VALUE"""),2160.0)</f>
        <v>2160</v>
      </c>
      <c r="M24" s="3">
        <f>IFERROR(__xludf.DUMMYFUNCTION("""COMPUTED_VALUE"""),1.0912276E7)</f>
        <v>10912276</v>
      </c>
      <c r="N24" s="3">
        <f>IFERROR(__xludf.DUMMYFUNCTION("""COMPUTED_VALUE"""),83516.0)</f>
        <v>83516</v>
      </c>
      <c r="O24" s="3">
        <f>IFERROR(__xludf.DUMMYFUNCTION("""COMPUTED_VALUE"""),1.30660358E8)</f>
        <v>130660358</v>
      </c>
      <c r="P24" s="2" t="str">
        <f>IFERROR(__xludf.DUMMYFUNCTION("""COMPUTED_VALUE"""),"North America")</f>
        <v>North America</v>
      </c>
      <c r="Q24" s="2">
        <f>IFERROR(__xludf.DUMMYFUNCTION("""COMPUTED_VALUE"""),35.0)</f>
        <v>35</v>
      </c>
      <c r="R24" s="2">
        <f>IFERROR(__xludf.DUMMYFUNCTION("""COMPUTED_VALUE"""),463.0)</f>
        <v>463</v>
      </c>
      <c r="S24" s="2">
        <f>IFERROR(__xludf.DUMMYFUNCTION("""COMPUTED_VALUE"""),12.0)</f>
        <v>12</v>
      </c>
      <c r="T24" s="2">
        <f>IFERROR(__xludf.DUMMYFUNCTION("""COMPUTED_VALUE"""),15.0)</f>
        <v>15</v>
      </c>
      <c r="U24" s="2">
        <f>IFERROR(__xludf.DUMMYFUNCTION("""COMPUTED_VALUE"""),1.0)</f>
        <v>1</v>
      </c>
      <c r="V24" s="3">
        <f>IFERROR(__xludf.DUMMYFUNCTION("""COMPUTED_VALUE"""),2717.0)</f>
        <v>2717</v>
      </c>
    </row>
    <row r="25" ht="15.75" customHeight="1">
      <c r="A25" s="2">
        <f>IFERROR(__xludf.DUMMYFUNCTION("""COMPUTED_VALUE"""),16.0)</f>
        <v>16</v>
      </c>
      <c r="B25" s="2" t="str">
        <f>IFERROR(__xludf.DUMMYFUNCTION("""COMPUTED_VALUE"""),"Poland")</f>
        <v>Poland</v>
      </c>
      <c r="C25" s="3">
        <f>IFERROR(__xludf.DUMMYFUNCTION("""COMPUTED_VALUE"""),2925425.0)</f>
        <v>2925425</v>
      </c>
      <c r="D25" s="2" t="str">
        <f>IFERROR(__xludf.DUMMYFUNCTION("""COMPUTED_VALUE"""),"+2,118")</f>
        <v>+2,118</v>
      </c>
      <c r="E25" s="3">
        <f>IFERROR(__xludf.DUMMYFUNCTION("""COMPUTED_VALUE"""),75918.0)</f>
        <v>75918</v>
      </c>
      <c r="F25" s="2" t="str">
        <f>IFERROR(__xludf.DUMMYFUNCTION("""COMPUTED_VALUE"""),"+49")</f>
        <v>+49</v>
      </c>
      <c r="G25" s="3">
        <f>IFERROR(__xludf.DUMMYFUNCTION("""COMPUTED_VALUE"""),2670180.0)</f>
        <v>2670180</v>
      </c>
      <c r="H25" s="2" t="str">
        <f>IFERROR(__xludf.DUMMYFUNCTION("""COMPUTED_VALUE"""),"+492")</f>
        <v>+492</v>
      </c>
      <c r="I25" s="3">
        <f>IFERROR(__xludf.DUMMYFUNCTION("""COMPUTED_VALUE"""),179327.0)</f>
        <v>179327</v>
      </c>
      <c r="J25" s="2">
        <f>IFERROR(__xludf.DUMMYFUNCTION("""COMPUTED_VALUE"""),239.0)</f>
        <v>239</v>
      </c>
      <c r="K25" s="3">
        <f>IFERROR(__xludf.DUMMYFUNCTION("""COMPUTED_VALUE"""),77405.0)</f>
        <v>77405</v>
      </c>
      <c r="L25" s="3">
        <f>IFERROR(__xludf.DUMMYFUNCTION("""COMPUTED_VALUE"""),2009.0)</f>
        <v>2009</v>
      </c>
      <c r="M25" s="3">
        <f>IFERROR(__xludf.DUMMYFUNCTION("""COMPUTED_VALUE"""),2.1291251E7)</f>
        <v>21291251</v>
      </c>
      <c r="N25" s="3">
        <f>IFERROR(__xludf.DUMMYFUNCTION("""COMPUTED_VALUE"""),563355.0)</f>
        <v>563355</v>
      </c>
      <c r="O25" s="3">
        <f>IFERROR(__xludf.DUMMYFUNCTION("""COMPUTED_VALUE"""),3.7793676E7)</f>
        <v>37793676</v>
      </c>
      <c r="P25" s="2" t="str">
        <f>IFERROR(__xludf.DUMMYFUNCTION("""COMPUTED_VALUE"""),"Europe")</f>
        <v>Europe</v>
      </c>
      <c r="Q25" s="2">
        <f>IFERROR(__xludf.DUMMYFUNCTION("""COMPUTED_VALUE"""),13.0)</f>
        <v>13</v>
      </c>
      <c r="R25" s="2">
        <f>IFERROR(__xludf.DUMMYFUNCTION("""COMPUTED_VALUE"""),498.0)</f>
        <v>498</v>
      </c>
      <c r="S25" s="2">
        <f>IFERROR(__xludf.DUMMYFUNCTION("""COMPUTED_VALUE"""),2.0)</f>
        <v>2</v>
      </c>
      <c r="T25" s="2">
        <f>IFERROR(__xludf.DUMMYFUNCTION("""COMPUTED_VALUE"""),56.0)</f>
        <v>56</v>
      </c>
      <c r="U25" s="2">
        <f>IFERROR(__xludf.DUMMYFUNCTION("""COMPUTED_VALUE"""),1.0)</f>
        <v>1</v>
      </c>
      <c r="V25" s="3">
        <f>IFERROR(__xludf.DUMMYFUNCTION("""COMPUTED_VALUE"""),4745.0)</f>
        <v>4745</v>
      </c>
    </row>
    <row r="26" ht="15.75" customHeight="1">
      <c r="A26" s="2">
        <f>IFERROR(__xludf.DUMMYFUNCTION("""COMPUTED_VALUE"""),17.0)</f>
        <v>17</v>
      </c>
      <c r="B26" s="2" t="str">
        <f>IFERROR(__xludf.DUMMYFUNCTION("""COMPUTED_VALUE"""),"South Africa")</f>
        <v>South Africa</v>
      </c>
      <c r="C26" s="3">
        <f>IFERROR(__xludf.DUMMYFUNCTION("""COMPUTED_VALUE"""),2912938.0)</f>
        <v>2912938</v>
      </c>
      <c r="D26" s="2" t="str">
        <f>IFERROR(__xludf.DUMMYFUNCTION("""COMPUTED_VALUE"""),"+592")</f>
        <v>+592</v>
      </c>
      <c r="E26" s="3">
        <f>IFERROR(__xludf.DUMMYFUNCTION("""COMPUTED_VALUE"""),88429.0)</f>
        <v>88429</v>
      </c>
      <c r="F26" s="2" t="str">
        <f>IFERROR(__xludf.DUMMYFUNCTION("""COMPUTED_VALUE"""),"+83")</f>
        <v>+83</v>
      </c>
      <c r="G26" s="3">
        <f>IFERROR(__xludf.DUMMYFUNCTION("""COMPUTED_VALUE"""),2797443.0)</f>
        <v>2797443</v>
      </c>
      <c r="H26" s="2" t="str">
        <f>IFERROR(__xludf.DUMMYFUNCTION("""COMPUTED_VALUE"""),"+5,649")</f>
        <v>+5,649</v>
      </c>
      <c r="I26" s="3">
        <f>IFERROR(__xludf.DUMMYFUNCTION("""COMPUTED_VALUE"""),27066.0)</f>
        <v>27066</v>
      </c>
      <c r="J26" s="2">
        <f>IFERROR(__xludf.DUMMYFUNCTION("""COMPUTED_VALUE"""),546.0)</f>
        <v>546</v>
      </c>
      <c r="K26" s="3">
        <f>IFERROR(__xludf.DUMMYFUNCTION("""COMPUTED_VALUE"""),48338.0)</f>
        <v>48338</v>
      </c>
      <c r="L26" s="3">
        <f>IFERROR(__xludf.DUMMYFUNCTION("""COMPUTED_VALUE"""),1467.0)</f>
        <v>1467</v>
      </c>
      <c r="M26" s="3">
        <f>IFERROR(__xludf.DUMMYFUNCTION("""COMPUTED_VALUE"""),1.8016455E7)</f>
        <v>18016455</v>
      </c>
      <c r="N26" s="3">
        <f>IFERROR(__xludf.DUMMYFUNCTION("""COMPUTED_VALUE"""),298968.0)</f>
        <v>298968</v>
      </c>
      <c r="O26" s="3">
        <f>IFERROR(__xludf.DUMMYFUNCTION("""COMPUTED_VALUE"""),6.0262064E7)</f>
        <v>60262064</v>
      </c>
      <c r="P26" s="2" t="str">
        <f>IFERROR(__xludf.DUMMYFUNCTION("""COMPUTED_VALUE"""),"Africa")</f>
        <v>Africa</v>
      </c>
      <c r="Q26" s="2">
        <f>IFERROR(__xludf.DUMMYFUNCTION("""COMPUTED_VALUE"""),21.0)</f>
        <v>21</v>
      </c>
      <c r="R26" s="2">
        <f>IFERROR(__xludf.DUMMYFUNCTION("""COMPUTED_VALUE"""),681.0)</f>
        <v>681</v>
      </c>
      <c r="S26" s="2">
        <f>IFERROR(__xludf.DUMMYFUNCTION("""COMPUTED_VALUE"""),3.0)</f>
        <v>3</v>
      </c>
      <c r="T26" s="2">
        <f>IFERROR(__xludf.DUMMYFUNCTION("""COMPUTED_VALUE"""),10.0)</f>
        <v>10</v>
      </c>
      <c r="U26" s="2">
        <f>IFERROR(__xludf.DUMMYFUNCTION("""COMPUTED_VALUE"""),1.0)</f>
        <v>1</v>
      </c>
      <c r="V26" s="2">
        <f>IFERROR(__xludf.DUMMYFUNCTION("""COMPUTED_VALUE"""),449.0)</f>
        <v>449</v>
      </c>
    </row>
    <row r="27" ht="15.75" customHeight="1">
      <c r="A27" s="2">
        <f>IFERROR(__xludf.DUMMYFUNCTION("""COMPUTED_VALUE"""),18.0)</f>
        <v>18</v>
      </c>
      <c r="B27" s="2" t="str">
        <f>IFERROR(__xludf.DUMMYFUNCTION("""COMPUTED_VALUE"""),"Philippines")</f>
        <v>Philippines</v>
      </c>
      <c r="C27" s="3">
        <f>IFERROR(__xludf.DUMMYFUNCTION("""COMPUTED_VALUE"""),2683372.0)</f>
        <v>2683372</v>
      </c>
      <c r="D27" s="2" t="str">
        <f>IFERROR(__xludf.DUMMYFUNCTION("""COMPUTED_VALUE"""),"+8,615")</f>
        <v>+8,615</v>
      </c>
      <c r="E27" s="3">
        <f>IFERROR(__xludf.DUMMYFUNCTION("""COMPUTED_VALUE"""),39896.0)</f>
        <v>39896</v>
      </c>
      <c r="F27" s="2" t="str">
        <f>IFERROR(__xludf.DUMMYFUNCTION("""COMPUTED_VALUE"""),"+236")</f>
        <v>+236</v>
      </c>
      <c r="G27" s="3">
        <f>IFERROR(__xludf.DUMMYFUNCTION("""COMPUTED_VALUE"""),2561248.0)</f>
        <v>2561248</v>
      </c>
      <c r="H27" s="2" t="str">
        <f>IFERROR(__xludf.DUMMYFUNCTION("""COMPUTED_VALUE"""),"+25,146")</f>
        <v>+25,146</v>
      </c>
      <c r="I27" s="3">
        <f>IFERROR(__xludf.DUMMYFUNCTION("""COMPUTED_VALUE"""),82228.0)</f>
        <v>82228</v>
      </c>
      <c r="J27" s="3">
        <f>IFERROR(__xludf.DUMMYFUNCTION("""COMPUTED_VALUE"""),3194.0)</f>
        <v>3194</v>
      </c>
      <c r="K27" s="3">
        <f>IFERROR(__xludf.DUMMYFUNCTION("""COMPUTED_VALUE"""),24079.0)</f>
        <v>24079</v>
      </c>
      <c r="L27" s="2">
        <f>IFERROR(__xludf.DUMMYFUNCTION("""COMPUTED_VALUE"""),358.0)</f>
        <v>358</v>
      </c>
      <c r="M27" s="3">
        <f>IFERROR(__xludf.DUMMYFUNCTION("""COMPUTED_VALUE"""),2.1881933E7)</f>
        <v>21881933</v>
      </c>
      <c r="N27" s="3">
        <f>IFERROR(__xludf.DUMMYFUNCTION("""COMPUTED_VALUE"""),196355.0)</f>
        <v>196355</v>
      </c>
      <c r="O27" s="3">
        <f>IFERROR(__xludf.DUMMYFUNCTION("""COMPUTED_VALUE"""),1.11440414E8)</f>
        <v>111440414</v>
      </c>
      <c r="P27" s="2" t="str">
        <f>IFERROR(__xludf.DUMMYFUNCTION("""COMPUTED_VALUE"""),"Asia")</f>
        <v>Asia</v>
      </c>
      <c r="Q27" s="2">
        <f>IFERROR(__xludf.DUMMYFUNCTION("""COMPUTED_VALUE"""),42.0)</f>
        <v>42</v>
      </c>
      <c r="R27" s="3">
        <f>IFERROR(__xludf.DUMMYFUNCTION("""COMPUTED_VALUE"""),2793.0)</f>
        <v>2793</v>
      </c>
      <c r="S27" s="2">
        <f>IFERROR(__xludf.DUMMYFUNCTION("""COMPUTED_VALUE"""),5.0)</f>
        <v>5</v>
      </c>
      <c r="T27" s="2">
        <f>IFERROR(__xludf.DUMMYFUNCTION("""COMPUTED_VALUE"""),77.0)</f>
        <v>77</v>
      </c>
      <c r="U27" s="2">
        <f>IFERROR(__xludf.DUMMYFUNCTION("""COMPUTED_VALUE"""),2.0)</f>
        <v>2</v>
      </c>
      <c r="V27" s="2">
        <f>IFERROR(__xludf.DUMMYFUNCTION("""COMPUTED_VALUE"""),738.0)</f>
        <v>738</v>
      </c>
    </row>
    <row r="28" ht="15.75" customHeight="1">
      <c r="A28" s="2">
        <f>IFERROR(__xludf.DUMMYFUNCTION("""COMPUTED_VALUE"""),19.0)</f>
        <v>19</v>
      </c>
      <c r="B28" s="2" t="str">
        <f>IFERROR(__xludf.DUMMYFUNCTION("""COMPUTED_VALUE"""),"Ukraine")</f>
        <v>Ukraine</v>
      </c>
      <c r="C28" s="3">
        <f>IFERROR(__xludf.DUMMYFUNCTION("""COMPUTED_VALUE"""),2562085.0)</f>
        <v>2562085</v>
      </c>
      <c r="D28" s="2" t="str">
        <f>IFERROR(__xludf.DUMMYFUNCTION("""COMPUTED_VALUE"""),"+11,996")</f>
        <v>+11,996</v>
      </c>
      <c r="E28" s="3">
        <f>IFERROR(__xludf.DUMMYFUNCTION("""COMPUTED_VALUE"""),59052.0)</f>
        <v>59052</v>
      </c>
      <c r="F28" s="2" t="str">
        <f>IFERROR(__xludf.DUMMYFUNCTION("""COMPUTED_VALUE"""),"+352")</f>
        <v>+352</v>
      </c>
      <c r="G28" s="3">
        <f>IFERROR(__xludf.DUMMYFUNCTION("""COMPUTED_VALUE"""),2297899.0)</f>
        <v>2297899</v>
      </c>
      <c r="H28" s="2" t="str">
        <f>IFERROR(__xludf.DUMMYFUNCTION("""COMPUTED_VALUE"""),"+5,419")</f>
        <v>+5,419</v>
      </c>
      <c r="I28" s="3">
        <f>IFERROR(__xludf.DUMMYFUNCTION("""COMPUTED_VALUE"""),205134.0)</f>
        <v>205134</v>
      </c>
      <c r="J28" s="2">
        <f>IFERROR(__xludf.DUMMYFUNCTION("""COMPUTED_VALUE"""),177.0)</f>
        <v>177</v>
      </c>
      <c r="K28" s="3">
        <f>IFERROR(__xludf.DUMMYFUNCTION("""COMPUTED_VALUE"""),59037.0)</f>
        <v>59037</v>
      </c>
      <c r="L28" s="3">
        <f>IFERROR(__xludf.DUMMYFUNCTION("""COMPUTED_VALUE"""),1361.0)</f>
        <v>1361</v>
      </c>
      <c r="M28" s="3">
        <f>IFERROR(__xludf.DUMMYFUNCTION("""COMPUTED_VALUE"""),1.3323492E7)</f>
        <v>13323492</v>
      </c>
      <c r="N28" s="3">
        <f>IFERROR(__xludf.DUMMYFUNCTION("""COMPUTED_VALUE"""),307006.0)</f>
        <v>307006</v>
      </c>
      <c r="O28" s="3">
        <f>IFERROR(__xludf.DUMMYFUNCTION("""COMPUTED_VALUE"""),4.3398083E7)</f>
        <v>43398083</v>
      </c>
      <c r="P28" s="2" t="str">
        <f>IFERROR(__xludf.DUMMYFUNCTION("""COMPUTED_VALUE"""),"Europe")</f>
        <v>Europe</v>
      </c>
      <c r="Q28" s="2">
        <f>IFERROR(__xludf.DUMMYFUNCTION("""COMPUTED_VALUE"""),17.0)</f>
        <v>17</v>
      </c>
      <c r="R28" s="2">
        <f>IFERROR(__xludf.DUMMYFUNCTION("""COMPUTED_VALUE"""),735.0)</f>
        <v>735</v>
      </c>
      <c r="S28" s="2">
        <f>IFERROR(__xludf.DUMMYFUNCTION("""COMPUTED_VALUE"""),3.0)</f>
        <v>3</v>
      </c>
      <c r="T28" s="2">
        <f>IFERROR(__xludf.DUMMYFUNCTION("""COMPUTED_VALUE"""),276.0)</f>
        <v>276</v>
      </c>
      <c r="U28" s="2">
        <f>IFERROR(__xludf.DUMMYFUNCTION("""COMPUTED_VALUE"""),8.0)</f>
        <v>8</v>
      </c>
      <c r="V28" s="3">
        <f>IFERROR(__xludf.DUMMYFUNCTION("""COMPUTED_VALUE"""),4727.0)</f>
        <v>4727</v>
      </c>
    </row>
    <row r="29" ht="15.75" customHeight="1">
      <c r="A29" s="2">
        <f>IFERROR(__xludf.DUMMYFUNCTION("""COMPUTED_VALUE"""),20.0)</f>
        <v>20</v>
      </c>
      <c r="B29" s="2" t="str">
        <f>IFERROR(__xludf.DUMMYFUNCTION("""COMPUTED_VALUE"""),"Malaysia")</f>
        <v>Malaysia</v>
      </c>
      <c r="C29" s="3">
        <f>IFERROR(__xludf.DUMMYFUNCTION("""COMPUTED_VALUE"""),2353579.0)</f>
        <v>2353579</v>
      </c>
      <c r="D29" s="2" t="str">
        <f>IFERROR(__xludf.DUMMYFUNCTION("""COMPUTED_VALUE"""),"+7,276")</f>
        <v>+7,276</v>
      </c>
      <c r="E29" s="3">
        <f>IFERROR(__xludf.DUMMYFUNCTION("""COMPUTED_VALUE"""),27525.0)</f>
        <v>27525</v>
      </c>
      <c r="F29" s="2" t="str">
        <f>IFERROR(__xludf.DUMMYFUNCTION("""COMPUTED_VALUE"""),"+103")</f>
        <v>+103</v>
      </c>
      <c r="G29" s="3">
        <f>IFERROR(__xludf.DUMMYFUNCTION("""COMPUTED_VALUE"""),2217057.0)</f>
        <v>2217057</v>
      </c>
      <c r="H29" s="2" t="str">
        <f>IFERROR(__xludf.DUMMYFUNCTION("""COMPUTED_VALUE"""),"+10,555")</f>
        <v>+10,555</v>
      </c>
      <c r="I29" s="3">
        <f>IFERROR(__xludf.DUMMYFUNCTION("""COMPUTED_VALUE"""),108997.0)</f>
        <v>108997</v>
      </c>
      <c r="J29" s="2">
        <f>IFERROR(__xludf.DUMMYFUNCTION("""COMPUTED_VALUE"""),722.0)</f>
        <v>722</v>
      </c>
      <c r="K29" s="3">
        <f>IFERROR(__xludf.DUMMYFUNCTION("""COMPUTED_VALUE"""),71549.0)</f>
        <v>71549</v>
      </c>
      <c r="L29" s="2">
        <f>IFERROR(__xludf.DUMMYFUNCTION("""COMPUTED_VALUE"""),837.0)</f>
        <v>837</v>
      </c>
      <c r="M29" s="3">
        <f>IFERROR(__xludf.DUMMYFUNCTION("""COMPUTED_VALUE"""),3.1783248E7)</f>
        <v>31783248</v>
      </c>
      <c r="N29" s="3">
        <f>IFERROR(__xludf.DUMMYFUNCTION("""COMPUTED_VALUE"""),966212.0)</f>
        <v>966212</v>
      </c>
      <c r="O29" s="3">
        <f>IFERROR(__xludf.DUMMYFUNCTION("""COMPUTED_VALUE"""),3.2894691E7)</f>
        <v>32894691</v>
      </c>
      <c r="P29" s="2" t="str">
        <f>IFERROR(__xludf.DUMMYFUNCTION("""COMPUTED_VALUE"""),"Asia")</f>
        <v>Asia</v>
      </c>
      <c r="Q29" s="2">
        <f>IFERROR(__xludf.DUMMYFUNCTION("""COMPUTED_VALUE"""),14.0)</f>
        <v>14</v>
      </c>
      <c r="R29" s="3">
        <f>IFERROR(__xludf.DUMMYFUNCTION("""COMPUTED_VALUE"""),1195.0)</f>
        <v>1195</v>
      </c>
      <c r="S29" s="2">
        <f>IFERROR(__xludf.DUMMYFUNCTION("""COMPUTED_VALUE"""),1.0)</f>
        <v>1</v>
      </c>
      <c r="T29" s="2">
        <f>IFERROR(__xludf.DUMMYFUNCTION("""COMPUTED_VALUE"""),221.0)</f>
        <v>221</v>
      </c>
      <c r="U29" s="2">
        <f>IFERROR(__xludf.DUMMYFUNCTION("""COMPUTED_VALUE"""),3.0)</f>
        <v>3</v>
      </c>
      <c r="V29" s="3">
        <f>IFERROR(__xludf.DUMMYFUNCTION("""COMPUTED_VALUE"""),3314.0)</f>
        <v>3314</v>
      </c>
    </row>
    <row r="30" ht="15.75" customHeight="1">
      <c r="A30" s="2">
        <f>IFERROR(__xludf.DUMMYFUNCTION("""COMPUTED_VALUE"""),21.0)</f>
        <v>21</v>
      </c>
      <c r="B30" s="2" t="str">
        <f>IFERROR(__xludf.DUMMYFUNCTION("""COMPUTED_VALUE"""),"Peru")</f>
        <v>Peru</v>
      </c>
      <c r="C30" s="3">
        <f>IFERROR(__xludf.DUMMYFUNCTION("""COMPUTED_VALUE"""),2184676.0)</f>
        <v>2184676</v>
      </c>
      <c r="D30" s="2"/>
      <c r="E30" s="3">
        <f>IFERROR(__xludf.DUMMYFUNCTION("""COMPUTED_VALUE"""),199703.0)</f>
        <v>199703</v>
      </c>
      <c r="F30" s="2"/>
      <c r="G30" s="2" t="str">
        <f>IFERROR(__xludf.DUMMYFUNCTION("""COMPUTED_VALUE"""),"N/A")</f>
        <v>N/A</v>
      </c>
      <c r="H30" s="2" t="str">
        <f>IFERROR(__xludf.DUMMYFUNCTION("""COMPUTED_VALUE"""),"N/A")</f>
        <v>N/A</v>
      </c>
      <c r="I30" s="2" t="str">
        <f>IFERROR(__xludf.DUMMYFUNCTION("""COMPUTED_VALUE"""),"N/A")</f>
        <v>N/A</v>
      </c>
      <c r="J30" s="2">
        <f>IFERROR(__xludf.DUMMYFUNCTION("""COMPUTED_VALUE"""),913.0)</f>
        <v>913</v>
      </c>
      <c r="K30" s="3">
        <f>IFERROR(__xludf.DUMMYFUNCTION("""COMPUTED_VALUE"""),65103.0)</f>
        <v>65103</v>
      </c>
      <c r="L30" s="3">
        <f>IFERROR(__xludf.DUMMYFUNCTION("""COMPUTED_VALUE"""),5951.0)</f>
        <v>5951</v>
      </c>
      <c r="M30" s="3">
        <f>IFERROR(__xludf.DUMMYFUNCTION("""COMPUTED_VALUE"""),1.8289317E7)</f>
        <v>18289317</v>
      </c>
      <c r="N30" s="3">
        <f>IFERROR(__xludf.DUMMYFUNCTION("""COMPUTED_VALUE"""),545017.0)</f>
        <v>545017</v>
      </c>
      <c r="O30" s="3">
        <f>IFERROR(__xludf.DUMMYFUNCTION("""COMPUTED_VALUE"""),3.3557332E7)</f>
        <v>33557332</v>
      </c>
      <c r="P30" s="2" t="str">
        <f>IFERROR(__xludf.DUMMYFUNCTION("""COMPUTED_VALUE"""),"South America")</f>
        <v>South America</v>
      </c>
      <c r="Q30" s="2">
        <f>IFERROR(__xludf.DUMMYFUNCTION("""COMPUTED_VALUE"""),15.0)</f>
        <v>15</v>
      </c>
      <c r="R30" s="2">
        <f>IFERROR(__xludf.DUMMYFUNCTION("""COMPUTED_VALUE"""),168.0)</f>
        <v>168</v>
      </c>
      <c r="S30" s="2">
        <f>IFERROR(__xludf.DUMMYFUNCTION("""COMPUTED_VALUE"""),2.0)</f>
        <v>2</v>
      </c>
      <c r="T30" s="2"/>
      <c r="U30" s="2"/>
      <c r="V30" s="3">
        <f>IFERROR(__xludf.DUMMYFUNCTION("""COMPUTED_VALUE"""),7876.0)</f>
        <v>7876</v>
      </c>
    </row>
    <row r="31" ht="15.75" customHeight="1">
      <c r="A31" s="2">
        <f>IFERROR(__xludf.DUMMYFUNCTION("""COMPUTED_VALUE"""),22.0)</f>
        <v>22</v>
      </c>
      <c r="B31" s="2" t="str">
        <f>IFERROR(__xludf.DUMMYFUNCTION("""COMPUTED_VALUE"""),"Netherlands")</f>
        <v>Netherlands</v>
      </c>
      <c r="C31" s="3">
        <f>IFERROR(__xludf.DUMMYFUNCTION("""COMPUTED_VALUE"""),2029289.0)</f>
        <v>2029289</v>
      </c>
      <c r="D31" s="2" t="str">
        <f>IFERROR(__xludf.DUMMYFUNCTION("""COMPUTED_VALUE"""),"+2,887")</f>
        <v>+2,887</v>
      </c>
      <c r="E31" s="3">
        <f>IFERROR(__xludf.DUMMYFUNCTION("""COMPUTED_VALUE"""),18215.0)</f>
        <v>18215</v>
      </c>
      <c r="F31" s="2" t="str">
        <f>IFERROR(__xludf.DUMMYFUNCTION("""COMPUTED_VALUE"""),"+6")</f>
        <v>+6</v>
      </c>
      <c r="G31" s="3">
        <f>IFERROR(__xludf.DUMMYFUNCTION("""COMPUTED_VALUE"""),1952705.0)</f>
        <v>1952705</v>
      </c>
      <c r="H31" s="2" t="str">
        <f>IFERROR(__xludf.DUMMYFUNCTION("""COMPUTED_VALUE"""),"+2,077")</f>
        <v>+2,077</v>
      </c>
      <c r="I31" s="3">
        <f>IFERROR(__xludf.DUMMYFUNCTION("""COMPUTED_VALUE"""),58369.0)</f>
        <v>58369</v>
      </c>
      <c r="J31" s="2">
        <f>IFERROR(__xludf.DUMMYFUNCTION("""COMPUTED_VALUE"""),149.0)</f>
        <v>149</v>
      </c>
      <c r="K31" s="3">
        <f>IFERROR(__xludf.DUMMYFUNCTION("""COMPUTED_VALUE"""),118097.0)</f>
        <v>118097</v>
      </c>
      <c r="L31" s="3">
        <f>IFERROR(__xludf.DUMMYFUNCTION("""COMPUTED_VALUE"""),1060.0)</f>
        <v>1060</v>
      </c>
      <c r="M31" s="3">
        <f>IFERROR(__xludf.DUMMYFUNCTION("""COMPUTED_VALUE"""),1.7632552E7)</f>
        <v>17632552</v>
      </c>
      <c r="N31" s="3">
        <f>IFERROR(__xludf.DUMMYFUNCTION("""COMPUTED_VALUE"""),1026146.0)</f>
        <v>1026146</v>
      </c>
      <c r="O31" s="3">
        <f>IFERROR(__xludf.DUMMYFUNCTION("""COMPUTED_VALUE"""),1.7183273E7)</f>
        <v>17183273</v>
      </c>
      <c r="P31" s="2" t="str">
        <f>IFERROR(__xludf.DUMMYFUNCTION("""COMPUTED_VALUE"""),"Europe")</f>
        <v>Europe</v>
      </c>
      <c r="Q31" s="2">
        <f>IFERROR(__xludf.DUMMYFUNCTION("""COMPUTED_VALUE"""),8.0)</f>
        <v>8</v>
      </c>
      <c r="R31" s="3">
        <f>IFERROR(__xludf.DUMMYFUNCTION("""COMPUTED_VALUE"""),943.0)</f>
        <v>943</v>
      </c>
      <c r="S31" s="2">
        <f>IFERROR(__xludf.DUMMYFUNCTION("""COMPUTED_VALUE"""),1.0)</f>
        <v>1</v>
      </c>
      <c r="T31" s="2">
        <f>IFERROR(__xludf.DUMMYFUNCTION("""COMPUTED_VALUE"""),168.0)</f>
        <v>168</v>
      </c>
      <c r="U31" s="2">
        <f>IFERROR(__xludf.DUMMYFUNCTION("""COMPUTED_VALUE"""),0.3)</f>
        <v>0.3</v>
      </c>
      <c r="V31" s="3">
        <f>IFERROR(__xludf.DUMMYFUNCTION("""COMPUTED_VALUE"""),3397.0)</f>
        <v>3397</v>
      </c>
    </row>
    <row r="32" ht="15.75" customHeight="1">
      <c r="A32" s="2">
        <f>IFERROR(__xludf.DUMMYFUNCTION("""COMPUTED_VALUE"""),23.0)</f>
        <v>23</v>
      </c>
      <c r="B32" s="2" t="str">
        <f>IFERROR(__xludf.DUMMYFUNCTION("""COMPUTED_VALUE"""),"Iraq")</f>
        <v>Iraq</v>
      </c>
      <c r="C32" s="3">
        <f>IFERROR(__xludf.DUMMYFUNCTION("""COMPUTED_VALUE"""),2026349.0)</f>
        <v>2026349</v>
      </c>
      <c r="D32" s="2" t="str">
        <f>IFERROR(__xludf.DUMMYFUNCTION("""COMPUTED_VALUE"""),"+1,644")</f>
        <v>+1,644</v>
      </c>
      <c r="E32" s="3">
        <f>IFERROR(__xludf.DUMMYFUNCTION("""COMPUTED_VALUE"""),22620.0)</f>
        <v>22620</v>
      </c>
      <c r="F32" s="2" t="str">
        <f>IFERROR(__xludf.DUMMYFUNCTION("""COMPUTED_VALUE"""),"+29")</f>
        <v>+29</v>
      </c>
      <c r="G32" s="3">
        <f>IFERROR(__xludf.DUMMYFUNCTION("""COMPUTED_VALUE"""),1952043.0)</f>
        <v>1952043</v>
      </c>
      <c r="H32" s="2" t="str">
        <f>IFERROR(__xludf.DUMMYFUNCTION("""COMPUTED_VALUE"""),"+3,472")</f>
        <v>+3,472</v>
      </c>
      <c r="I32" s="3">
        <f>IFERROR(__xludf.DUMMYFUNCTION("""COMPUTED_VALUE"""),51686.0)</f>
        <v>51686</v>
      </c>
      <c r="J32" s="2">
        <f>IFERROR(__xludf.DUMMYFUNCTION("""COMPUTED_VALUE"""),297.0)</f>
        <v>297</v>
      </c>
      <c r="K32" s="3">
        <f>IFERROR(__xludf.DUMMYFUNCTION("""COMPUTED_VALUE"""),48979.0)</f>
        <v>48979</v>
      </c>
      <c r="L32" s="3">
        <f>IFERROR(__xludf.DUMMYFUNCTION("""COMPUTED_VALUE"""),547.0)</f>
        <v>547</v>
      </c>
      <c r="M32" s="3">
        <f>IFERROR(__xludf.DUMMYFUNCTION("""COMPUTED_VALUE"""),1.5432035E7)</f>
        <v>15432035</v>
      </c>
      <c r="N32" s="3">
        <f>IFERROR(__xludf.DUMMYFUNCTION("""COMPUTED_VALUE"""),373011.0)</f>
        <v>373011</v>
      </c>
      <c r="O32" s="3">
        <f>IFERROR(__xludf.DUMMYFUNCTION("""COMPUTED_VALUE"""),4.1371485E7)</f>
        <v>41371485</v>
      </c>
      <c r="P32" s="2" t="str">
        <f>IFERROR(__xludf.DUMMYFUNCTION("""COMPUTED_VALUE"""),"Asia")</f>
        <v>Asia</v>
      </c>
      <c r="Q32" s="2">
        <f>IFERROR(__xludf.DUMMYFUNCTION("""COMPUTED_VALUE"""),20.0)</f>
        <v>20</v>
      </c>
      <c r="R32" s="3">
        <f>IFERROR(__xludf.DUMMYFUNCTION("""COMPUTED_VALUE"""),1829.0)</f>
        <v>1829</v>
      </c>
      <c r="S32" s="2">
        <f>IFERROR(__xludf.DUMMYFUNCTION("""COMPUTED_VALUE"""),3.0)</f>
        <v>3</v>
      </c>
      <c r="T32" s="2">
        <f>IFERROR(__xludf.DUMMYFUNCTION("""COMPUTED_VALUE"""),40.0)</f>
        <v>40</v>
      </c>
      <c r="U32" s="2">
        <f>IFERROR(__xludf.DUMMYFUNCTION("""COMPUTED_VALUE"""),0.7)</f>
        <v>0.7</v>
      </c>
      <c r="V32" s="3">
        <f>IFERROR(__xludf.DUMMYFUNCTION("""COMPUTED_VALUE"""),1249.0)</f>
        <v>1249</v>
      </c>
    </row>
    <row r="33" ht="15.75" customHeight="1">
      <c r="A33" s="2">
        <f>IFERROR(__xludf.DUMMYFUNCTION("""COMPUTED_VALUE"""),24.0)</f>
        <v>24</v>
      </c>
      <c r="B33" s="2" t="str">
        <f>IFERROR(__xludf.DUMMYFUNCTION("""COMPUTED_VALUE"""),"Thailand")</f>
        <v>Thailand</v>
      </c>
      <c r="C33" s="3">
        <f>IFERROR(__xludf.DUMMYFUNCTION("""COMPUTED_VALUE"""),1730364.0)</f>
        <v>1730364</v>
      </c>
      <c r="D33" s="2" t="str">
        <f>IFERROR(__xludf.DUMMYFUNCTION("""COMPUTED_VALUE"""),"+9,445")</f>
        <v>+9,445</v>
      </c>
      <c r="E33" s="3">
        <f>IFERROR(__xludf.DUMMYFUNCTION("""COMPUTED_VALUE"""),17835.0)</f>
        <v>17835</v>
      </c>
      <c r="F33" s="2" t="str">
        <f>IFERROR(__xludf.DUMMYFUNCTION("""COMPUTED_VALUE"""),"+84")</f>
        <v>+84</v>
      </c>
      <c r="G33" s="3">
        <f>IFERROR(__xludf.DUMMYFUNCTION("""COMPUTED_VALUE"""),1604355.0)</f>
        <v>1604355</v>
      </c>
      <c r="H33" s="2" t="str">
        <f>IFERROR(__xludf.DUMMYFUNCTION("""COMPUTED_VALUE"""),"+11,452")</f>
        <v>+11,452</v>
      </c>
      <c r="I33" s="3">
        <f>IFERROR(__xludf.DUMMYFUNCTION("""COMPUTED_VALUE"""),108174.0)</f>
        <v>108174</v>
      </c>
      <c r="J33" s="3">
        <f>IFERROR(__xludf.DUMMYFUNCTION("""COMPUTED_VALUE"""),3324.0)</f>
        <v>3324</v>
      </c>
      <c r="K33" s="3">
        <f>IFERROR(__xludf.DUMMYFUNCTION("""COMPUTED_VALUE"""),24711.0)</f>
        <v>24711</v>
      </c>
      <c r="L33" s="2">
        <f>IFERROR(__xludf.DUMMYFUNCTION("""COMPUTED_VALUE"""),255.0)</f>
        <v>255</v>
      </c>
      <c r="M33" s="3">
        <f>IFERROR(__xludf.DUMMYFUNCTION("""COMPUTED_VALUE"""),9201621.0)</f>
        <v>9201621</v>
      </c>
      <c r="N33" s="3">
        <f>IFERROR(__xludf.DUMMYFUNCTION("""COMPUTED_VALUE"""),131407.0)</f>
        <v>131407</v>
      </c>
      <c r="O33" s="3">
        <f>IFERROR(__xludf.DUMMYFUNCTION("""COMPUTED_VALUE"""),7.0023568E7)</f>
        <v>70023568</v>
      </c>
      <c r="P33" s="2" t="str">
        <f>IFERROR(__xludf.DUMMYFUNCTION("""COMPUTED_VALUE"""),"Asia")</f>
        <v>Asia</v>
      </c>
      <c r="Q33" s="2">
        <f>IFERROR(__xludf.DUMMYFUNCTION("""COMPUTED_VALUE"""),40.0)</f>
        <v>40</v>
      </c>
      <c r="R33" s="3">
        <f>IFERROR(__xludf.DUMMYFUNCTION("""COMPUTED_VALUE"""),3926.0)</f>
        <v>3926</v>
      </c>
      <c r="S33" s="2">
        <f>IFERROR(__xludf.DUMMYFUNCTION("""COMPUTED_VALUE"""),8.0)</f>
        <v>8</v>
      </c>
      <c r="T33" s="2">
        <f>IFERROR(__xludf.DUMMYFUNCTION("""COMPUTED_VALUE"""),135.0)</f>
        <v>135</v>
      </c>
      <c r="U33" s="2">
        <f>IFERROR(__xludf.DUMMYFUNCTION("""COMPUTED_VALUE"""),1.0)</f>
        <v>1</v>
      </c>
      <c r="V33" s="3">
        <f>IFERROR(__xludf.DUMMYFUNCTION("""COMPUTED_VALUE"""),1545.0)</f>
        <v>1545</v>
      </c>
    </row>
    <row r="34" ht="15.75" customHeight="1">
      <c r="A34" s="2">
        <f>IFERROR(__xludf.DUMMYFUNCTION("""COMPUTED_VALUE"""),25.0)</f>
        <v>25</v>
      </c>
      <c r="B34" s="2" t="str">
        <f>IFERROR(__xludf.DUMMYFUNCTION("""COMPUTED_VALUE"""),"Japan")</f>
        <v>Japan</v>
      </c>
      <c r="C34" s="3">
        <f>IFERROR(__xludf.DUMMYFUNCTION("""COMPUTED_VALUE"""),1711391.0)</f>
        <v>1711391</v>
      </c>
      <c r="D34" s="2" t="str">
        <f>IFERROR(__xludf.DUMMYFUNCTION("""COMPUTED_VALUE"""),"+369")</f>
        <v>+369</v>
      </c>
      <c r="E34" s="3">
        <f>IFERROR(__xludf.DUMMYFUNCTION("""COMPUTED_VALUE"""),17959.0)</f>
        <v>17959</v>
      </c>
      <c r="F34" s="2" t="str">
        <f>IFERROR(__xludf.DUMMYFUNCTION("""COMPUTED_VALUE"""),"+18")</f>
        <v>+18</v>
      </c>
      <c r="G34" s="3">
        <f>IFERROR(__xludf.DUMMYFUNCTION("""COMPUTED_VALUE"""),1682452.0)</f>
        <v>1682452</v>
      </c>
      <c r="H34" s="2" t="str">
        <f>IFERROR(__xludf.DUMMYFUNCTION("""COMPUTED_VALUE"""),"+1,250")</f>
        <v>+1,250</v>
      </c>
      <c r="I34" s="3">
        <f>IFERROR(__xludf.DUMMYFUNCTION("""COMPUTED_VALUE"""),10980.0)</f>
        <v>10980</v>
      </c>
      <c r="J34" s="2">
        <f>IFERROR(__xludf.DUMMYFUNCTION("""COMPUTED_VALUE"""),444.0)</f>
        <v>444</v>
      </c>
      <c r="K34" s="3">
        <f>IFERROR(__xludf.DUMMYFUNCTION("""COMPUTED_VALUE"""),13584.0)</f>
        <v>13584</v>
      </c>
      <c r="L34" s="2">
        <f>IFERROR(__xludf.DUMMYFUNCTION("""COMPUTED_VALUE"""),143.0)</f>
        <v>143</v>
      </c>
      <c r="M34" s="3">
        <f>IFERROR(__xludf.DUMMYFUNCTION("""COMPUTED_VALUE"""),2.546213E7)</f>
        <v>25462130</v>
      </c>
      <c r="N34" s="3">
        <f>IFERROR(__xludf.DUMMYFUNCTION("""COMPUTED_VALUE"""),202109.0)</f>
        <v>202109</v>
      </c>
      <c r="O34" s="3">
        <f>IFERROR(__xludf.DUMMYFUNCTION("""COMPUTED_VALUE"""),1.25981927E8)</f>
        <v>125981927</v>
      </c>
      <c r="P34" s="2" t="str">
        <f>IFERROR(__xludf.DUMMYFUNCTION("""COMPUTED_VALUE"""),"Asia")</f>
        <v>Asia</v>
      </c>
      <c r="Q34" s="2">
        <f>IFERROR(__xludf.DUMMYFUNCTION("""COMPUTED_VALUE"""),74.0)</f>
        <v>74</v>
      </c>
      <c r="R34" s="3">
        <f>IFERROR(__xludf.DUMMYFUNCTION("""COMPUTED_VALUE"""),7015.0)</f>
        <v>7015</v>
      </c>
      <c r="S34" s="2">
        <f>IFERROR(__xludf.DUMMYFUNCTION("""COMPUTED_VALUE"""),5.0)</f>
        <v>5</v>
      </c>
      <c r="T34" s="2">
        <f>IFERROR(__xludf.DUMMYFUNCTION("""COMPUTED_VALUE"""),3.0)</f>
        <v>3</v>
      </c>
      <c r="U34" s="2">
        <f>IFERROR(__xludf.DUMMYFUNCTION("""COMPUTED_VALUE"""),0.1)</f>
        <v>0.1</v>
      </c>
      <c r="V34" s="2">
        <f>IFERROR(__xludf.DUMMYFUNCTION("""COMPUTED_VALUE"""),87.0)</f>
        <v>87</v>
      </c>
    </row>
    <row r="35" ht="15.75" customHeight="1">
      <c r="A35" s="2">
        <f>IFERROR(__xludf.DUMMYFUNCTION("""COMPUTED_VALUE"""),26.0)</f>
        <v>26</v>
      </c>
      <c r="B35" s="2" t="str">
        <f>IFERROR(__xludf.DUMMYFUNCTION("""COMPUTED_VALUE"""),"Czechia")</f>
        <v>Czechia</v>
      </c>
      <c r="C35" s="3">
        <f>IFERROR(__xludf.DUMMYFUNCTION("""COMPUTED_VALUE"""),1704003.0)</f>
        <v>1704003</v>
      </c>
      <c r="D35" s="2" t="str">
        <f>IFERROR(__xludf.DUMMYFUNCTION("""COMPUTED_VALUE"""),"+1,345")</f>
        <v>+1,345</v>
      </c>
      <c r="E35" s="3">
        <f>IFERROR(__xludf.DUMMYFUNCTION("""COMPUTED_VALUE"""),30512.0)</f>
        <v>30512</v>
      </c>
      <c r="F35" s="2" t="str">
        <f>IFERROR(__xludf.DUMMYFUNCTION("""COMPUTED_VALUE"""),"+3")</f>
        <v>+3</v>
      </c>
      <c r="G35" s="3">
        <f>IFERROR(__xludf.DUMMYFUNCTION("""COMPUTED_VALUE"""),1662207.0)</f>
        <v>1662207</v>
      </c>
      <c r="H35" s="2" t="str">
        <f>IFERROR(__xludf.DUMMYFUNCTION("""COMPUTED_VALUE"""),"+48")</f>
        <v>+48</v>
      </c>
      <c r="I35" s="3">
        <f>IFERROR(__xludf.DUMMYFUNCTION("""COMPUTED_VALUE"""),11284.0)</f>
        <v>11284</v>
      </c>
      <c r="J35" s="2">
        <f>IFERROR(__xludf.DUMMYFUNCTION("""COMPUTED_VALUE"""),68.0)</f>
        <v>68</v>
      </c>
      <c r="K35" s="3">
        <f>IFERROR(__xludf.DUMMYFUNCTION("""COMPUTED_VALUE"""),158743.0)</f>
        <v>158743</v>
      </c>
      <c r="L35" s="3">
        <f>IFERROR(__xludf.DUMMYFUNCTION("""COMPUTED_VALUE"""),2842.0)</f>
        <v>2842</v>
      </c>
      <c r="M35" s="3">
        <f>IFERROR(__xludf.DUMMYFUNCTION("""COMPUTED_VALUE"""),3.8929974E7)</f>
        <v>38929974</v>
      </c>
      <c r="N35" s="3">
        <f>IFERROR(__xludf.DUMMYFUNCTION("""COMPUTED_VALUE"""),3626674.0)</f>
        <v>3626674</v>
      </c>
      <c r="O35" s="3">
        <f>IFERROR(__xludf.DUMMYFUNCTION("""COMPUTED_VALUE"""),1.0734345E7)</f>
        <v>10734345</v>
      </c>
      <c r="P35" s="2" t="str">
        <f>IFERROR(__xludf.DUMMYFUNCTION("""COMPUTED_VALUE"""),"Europe")</f>
        <v>Europe</v>
      </c>
      <c r="Q35" s="2">
        <f>IFERROR(__xludf.DUMMYFUNCTION("""COMPUTED_VALUE"""),6.0)</f>
        <v>6</v>
      </c>
      <c r="R35" s="2">
        <f>IFERROR(__xludf.DUMMYFUNCTION("""COMPUTED_VALUE"""),352.0)</f>
        <v>352</v>
      </c>
      <c r="S35" s="2">
        <f>IFERROR(__xludf.DUMMYFUNCTION("""COMPUTED_VALUE"""),0.0)</f>
        <v>0</v>
      </c>
      <c r="T35" s="2">
        <f>IFERROR(__xludf.DUMMYFUNCTION("""COMPUTED_VALUE"""),125.0)</f>
        <v>125</v>
      </c>
      <c r="U35" s="2">
        <f>IFERROR(__xludf.DUMMYFUNCTION("""COMPUTED_VALUE"""),0.3)</f>
        <v>0.3</v>
      </c>
      <c r="V35" s="3">
        <f>IFERROR(__xludf.DUMMYFUNCTION("""COMPUTED_VALUE"""),1051.0)</f>
        <v>1051</v>
      </c>
    </row>
    <row r="36" ht="15.75" customHeight="1">
      <c r="A36" s="2">
        <f>IFERROR(__xludf.DUMMYFUNCTION("""COMPUTED_VALUE"""),27.0)</f>
        <v>27</v>
      </c>
      <c r="B36" s="2" t="str">
        <f>IFERROR(__xludf.DUMMYFUNCTION("""COMPUTED_VALUE"""),"Chile")</f>
        <v>Chile</v>
      </c>
      <c r="C36" s="3">
        <f>IFERROR(__xludf.DUMMYFUNCTION("""COMPUTED_VALUE"""),1663992.0)</f>
        <v>1663992</v>
      </c>
      <c r="D36" s="2" t="str">
        <f>IFERROR(__xludf.DUMMYFUNCTION("""COMPUTED_VALUE"""),"+609")</f>
        <v>+609</v>
      </c>
      <c r="E36" s="3">
        <f>IFERROR(__xludf.DUMMYFUNCTION("""COMPUTED_VALUE"""),37574.0)</f>
        <v>37574</v>
      </c>
      <c r="F36" s="2" t="str">
        <f>IFERROR(__xludf.DUMMYFUNCTION("""COMPUTED_VALUE"""),"+3")</f>
        <v>+3</v>
      </c>
      <c r="G36" s="3">
        <f>IFERROR(__xludf.DUMMYFUNCTION("""COMPUTED_VALUE"""),1617792.0)</f>
        <v>1617792</v>
      </c>
      <c r="H36" s="2" t="str">
        <f>IFERROR(__xludf.DUMMYFUNCTION("""COMPUTED_VALUE"""),"+757")</f>
        <v>+757</v>
      </c>
      <c r="I36" s="3">
        <f>IFERROR(__xludf.DUMMYFUNCTION("""COMPUTED_VALUE"""),8626.0)</f>
        <v>8626</v>
      </c>
      <c r="J36" s="2">
        <f>IFERROR(__xludf.DUMMYFUNCTION("""COMPUTED_VALUE"""),362.0)</f>
        <v>362</v>
      </c>
      <c r="K36" s="3">
        <f>IFERROR(__xludf.DUMMYFUNCTION("""COMPUTED_VALUE"""),86103.0)</f>
        <v>86103</v>
      </c>
      <c r="L36" s="3">
        <f>IFERROR(__xludf.DUMMYFUNCTION("""COMPUTED_VALUE"""),1944.0)</f>
        <v>1944</v>
      </c>
      <c r="M36" s="3">
        <f>IFERROR(__xludf.DUMMYFUNCTION("""COMPUTED_VALUE"""),2.2464264E7)</f>
        <v>22464264</v>
      </c>
      <c r="N36" s="3">
        <f>IFERROR(__xludf.DUMMYFUNCTION("""COMPUTED_VALUE"""),1162414.0)</f>
        <v>1162414</v>
      </c>
      <c r="O36" s="3">
        <f>IFERROR(__xludf.DUMMYFUNCTION("""COMPUTED_VALUE"""),1.9325528E7)</f>
        <v>19325528</v>
      </c>
      <c r="P36" s="2" t="str">
        <f>IFERROR(__xludf.DUMMYFUNCTION("""COMPUTED_VALUE"""),"South America")</f>
        <v>South America</v>
      </c>
      <c r="Q36" s="2">
        <f>IFERROR(__xludf.DUMMYFUNCTION("""COMPUTED_VALUE"""),12.0)</f>
        <v>12</v>
      </c>
      <c r="R36" s="2">
        <f>IFERROR(__xludf.DUMMYFUNCTION("""COMPUTED_VALUE"""),514.0)</f>
        <v>514</v>
      </c>
      <c r="S36" s="2">
        <f>IFERROR(__xludf.DUMMYFUNCTION("""COMPUTED_VALUE"""),1.0)</f>
        <v>1</v>
      </c>
      <c r="T36" s="2">
        <f>IFERROR(__xludf.DUMMYFUNCTION("""COMPUTED_VALUE"""),32.0)</f>
        <v>32</v>
      </c>
      <c r="U36" s="2">
        <f>IFERROR(__xludf.DUMMYFUNCTION("""COMPUTED_VALUE"""),0.2)</f>
        <v>0.2</v>
      </c>
      <c r="V36" s="2">
        <f>IFERROR(__xludf.DUMMYFUNCTION("""COMPUTED_VALUE"""),446.0)</f>
        <v>446</v>
      </c>
    </row>
    <row r="37" ht="15.75" customHeight="1">
      <c r="A37" s="2">
        <f>IFERROR(__xludf.DUMMYFUNCTION("""COMPUTED_VALUE"""),28.0)</f>
        <v>28</v>
      </c>
      <c r="B37" s="2" t="str">
        <f>IFERROR(__xludf.DUMMYFUNCTION("""COMPUTED_VALUE"""),"Canada")</f>
        <v>Canada</v>
      </c>
      <c r="C37" s="3">
        <f>IFERROR(__xludf.DUMMYFUNCTION("""COMPUTED_VALUE"""),1661707.0)</f>
        <v>1661707</v>
      </c>
      <c r="D37" s="2" t="str">
        <f>IFERROR(__xludf.DUMMYFUNCTION("""COMPUTED_VALUE"""),"+1,707")</f>
        <v>+1,707</v>
      </c>
      <c r="E37" s="3">
        <f>IFERROR(__xludf.DUMMYFUNCTION("""COMPUTED_VALUE"""),28226.0)</f>
        <v>28226</v>
      </c>
      <c r="F37" s="2" t="str">
        <f>IFERROR(__xludf.DUMMYFUNCTION("""COMPUTED_VALUE"""),"+13")</f>
        <v>+13</v>
      </c>
      <c r="G37" s="3">
        <f>IFERROR(__xludf.DUMMYFUNCTION("""COMPUTED_VALUE"""),1592594.0)</f>
        <v>1592594</v>
      </c>
      <c r="H37" s="2" t="str">
        <f>IFERROR(__xludf.DUMMYFUNCTION("""COMPUTED_VALUE"""),"+3,897")</f>
        <v>+3,897</v>
      </c>
      <c r="I37" s="3">
        <f>IFERROR(__xludf.DUMMYFUNCTION("""COMPUTED_VALUE"""),40887.0)</f>
        <v>40887</v>
      </c>
      <c r="J37" s="2">
        <f>IFERROR(__xludf.DUMMYFUNCTION("""COMPUTED_VALUE"""),776.0)</f>
        <v>776</v>
      </c>
      <c r="K37" s="3">
        <f>IFERROR(__xludf.DUMMYFUNCTION("""COMPUTED_VALUE"""),43541.0)</f>
        <v>43541</v>
      </c>
      <c r="L37" s="2">
        <f>IFERROR(__xludf.DUMMYFUNCTION("""COMPUTED_VALUE"""),740.0)</f>
        <v>740</v>
      </c>
      <c r="M37" s="3">
        <f>IFERROR(__xludf.DUMMYFUNCTION("""COMPUTED_VALUE"""),4.4186056E7)</f>
        <v>44186056</v>
      </c>
      <c r="N37" s="3">
        <f>IFERROR(__xludf.DUMMYFUNCTION("""COMPUTED_VALUE"""),1157786.0)</f>
        <v>1157786</v>
      </c>
      <c r="O37" s="3">
        <f>IFERROR(__xludf.DUMMYFUNCTION("""COMPUTED_VALUE"""),3.8164285E7)</f>
        <v>38164285</v>
      </c>
      <c r="P37" s="2" t="str">
        <f>IFERROR(__xludf.DUMMYFUNCTION("""COMPUTED_VALUE"""),"North America")</f>
        <v>North America</v>
      </c>
      <c r="Q37" s="2">
        <f>IFERROR(__xludf.DUMMYFUNCTION("""COMPUTED_VALUE"""),23.0)</f>
        <v>23</v>
      </c>
      <c r="R37" s="3">
        <f>IFERROR(__xludf.DUMMYFUNCTION("""COMPUTED_VALUE"""),1352.0)</f>
        <v>1352</v>
      </c>
      <c r="S37" s="2">
        <f>IFERROR(__xludf.DUMMYFUNCTION("""COMPUTED_VALUE"""),1.0)</f>
        <v>1</v>
      </c>
      <c r="T37" s="2">
        <f>IFERROR(__xludf.DUMMYFUNCTION("""COMPUTED_VALUE"""),45.0)</f>
        <v>45</v>
      </c>
      <c r="U37" s="2">
        <f>IFERROR(__xludf.DUMMYFUNCTION("""COMPUTED_VALUE"""),0.3)</f>
        <v>0.3</v>
      </c>
      <c r="V37" s="3">
        <f>IFERROR(__xludf.DUMMYFUNCTION("""COMPUTED_VALUE"""),1071.0)</f>
        <v>1071</v>
      </c>
    </row>
    <row r="38" ht="15.75" customHeight="1">
      <c r="A38" s="2">
        <f>IFERROR(__xludf.DUMMYFUNCTION("""COMPUTED_VALUE"""),29.0)</f>
        <v>29</v>
      </c>
      <c r="B38" s="2" t="str">
        <f>IFERROR(__xludf.DUMMYFUNCTION("""COMPUTED_VALUE"""),"Bangladesh")</f>
        <v>Bangladesh</v>
      </c>
      <c r="C38" s="3">
        <f>IFERROR(__xludf.DUMMYFUNCTION("""COMPUTED_VALUE"""),1563501.0)</f>
        <v>1563501</v>
      </c>
      <c r="D38" s="2" t="str">
        <f>IFERROR(__xludf.DUMMYFUNCTION("""COMPUTED_VALUE"""),"+543")</f>
        <v>+543</v>
      </c>
      <c r="E38" s="3">
        <f>IFERROR(__xludf.DUMMYFUNCTION("""COMPUTED_VALUE"""),27713.0)</f>
        <v>27713</v>
      </c>
      <c r="F38" s="2" t="str">
        <f>IFERROR(__xludf.DUMMYFUNCTION("""COMPUTED_VALUE"""),"+14")</f>
        <v>+14</v>
      </c>
      <c r="G38" s="3">
        <f>IFERROR(__xludf.DUMMYFUNCTION("""COMPUTED_VALUE"""),1525168.0)</f>
        <v>1525168</v>
      </c>
      <c r="H38" s="2" t="str">
        <f>IFERROR(__xludf.DUMMYFUNCTION("""COMPUTED_VALUE"""),"+701")</f>
        <v>+701</v>
      </c>
      <c r="I38" s="3">
        <f>IFERROR(__xludf.DUMMYFUNCTION("""COMPUTED_VALUE"""),10620.0)</f>
        <v>10620</v>
      </c>
      <c r="J38" s="3">
        <f>IFERROR(__xludf.DUMMYFUNCTION("""COMPUTED_VALUE"""),1395.0)</f>
        <v>1395</v>
      </c>
      <c r="K38" s="3">
        <f>IFERROR(__xludf.DUMMYFUNCTION("""COMPUTED_VALUE"""),9375.0)</f>
        <v>9375</v>
      </c>
      <c r="L38" s="2">
        <f>IFERROR(__xludf.DUMMYFUNCTION("""COMPUTED_VALUE"""),166.0)</f>
        <v>166</v>
      </c>
      <c r="M38" s="3">
        <f>IFERROR(__xludf.DUMMYFUNCTION("""COMPUTED_VALUE"""),9998544.0)</f>
        <v>9998544</v>
      </c>
      <c r="N38" s="3">
        <f>IFERROR(__xludf.DUMMYFUNCTION("""COMPUTED_VALUE"""),59950.0)</f>
        <v>59950</v>
      </c>
      <c r="O38" s="3">
        <f>IFERROR(__xludf.DUMMYFUNCTION("""COMPUTED_VALUE"""),1.66782068E8)</f>
        <v>166782068</v>
      </c>
      <c r="P38" s="2" t="str">
        <f>IFERROR(__xludf.DUMMYFUNCTION("""COMPUTED_VALUE"""),"Asia")</f>
        <v>Asia</v>
      </c>
      <c r="Q38" s="2">
        <f>IFERROR(__xludf.DUMMYFUNCTION("""COMPUTED_VALUE"""),107.0)</f>
        <v>107</v>
      </c>
      <c r="R38" s="3">
        <f>IFERROR(__xludf.DUMMYFUNCTION("""COMPUTED_VALUE"""),6018.0)</f>
        <v>6018</v>
      </c>
      <c r="S38" s="2">
        <f>IFERROR(__xludf.DUMMYFUNCTION("""COMPUTED_VALUE"""),17.0)</f>
        <v>17</v>
      </c>
      <c r="T38" s="2">
        <f>IFERROR(__xludf.DUMMYFUNCTION("""COMPUTED_VALUE"""),3.0)</f>
        <v>3</v>
      </c>
      <c r="U38" s="2">
        <f>IFERROR(__xludf.DUMMYFUNCTION("""COMPUTED_VALUE"""),0.08)</f>
        <v>0.08</v>
      </c>
      <c r="V38" s="2">
        <f>IFERROR(__xludf.DUMMYFUNCTION("""COMPUTED_VALUE"""),64.0)</f>
        <v>64</v>
      </c>
    </row>
    <row r="39" ht="15.75" customHeight="1">
      <c r="A39" s="2">
        <f>IFERROR(__xludf.DUMMYFUNCTION("""COMPUTED_VALUE"""),30.0)</f>
        <v>30</v>
      </c>
      <c r="B39" s="2" t="str">
        <f>IFERROR(__xludf.DUMMYFUNCTION("""COMPUTED_VALUE"""),"Romania")</f>
        <v>Romania</v>
      </c>
      <c r="C39" s="3">
        <f>IFERROR(__xludf.DUMMYFUNCTION("""COMPUTED_VALUE"""),1382531.0)</f>
        <v>1382531</v>
      </c>
      <c r="D39" s="2" t="str">
        <f>IFERROR(__xludf.DUMMYFUNCTION("""COMPUTED_VALUE"""),"+16,743")</f>
        <v>+16,743</v>
      </c>
      <c r="E39" s="3">
        <f>IFERROR(__xludf.DUMMYFUNCTION("""COMPUTED_VALUE"""),40071.0)</f>
        <v>40071</v>
      </c>
      <c r="F39" s="2" t="str">
        <f>IFERROR(__xludf.DUMMYFUNCTION("""COMPUTED_VALUE"""),"+442")</f>
        <v>+442</v>
      </c>
      <c r="G39" s="3">
        <f>IFERROR(__xludf.DUMMYFUNCTION("""COMPUTED_VALUE"""),1188975.0)</f>
        <v>1188975</v>
      </c>
      <c r="H39" s="2" t="str">
        <f>IFERROR(__xludf.DUMMYFUNCTION("""COMPUTED_VALUE"""),"+11,271")</f>
        <v>+11,271</v>
      </c>
      <c r="I39" s="3">
        <f>IFERROR(__xludf.DUMMYFUNCTION("""COMPUTED_VALUE"""),153485.0)</f>
        <v>153485</v>
      </c>
      <c r="J39" s="3">
        <f>IFERROR(__xludf.DUMMYFUNCTION("""COMPUTED_VALUE"""),1667.0)</f>
        <v>1667</v>
      </c>
      <c r="K39" s="3">
        <f>IFERROR(__xludf.DUMMYFUNCTION("""COMPUTED_VALUE"""),72484.0)</f>
        <v>72484</v>
      </c>
      <c r="L39" s="3">
        <f>IFERROR(__xludf.DUMMYFUNCTION("""COMPUTED_VALUE"""),2101.0)</f>
        <v>2101</v>
      </c>
      <c r="M39" s="3">
        <f>IFERROR(__xludf.DUMMYFUNCTION("""COMPUTED_VALUE"""),1.3583662E7)</f>
        <v>13583662</v>
      </c>
      <c r="N39" s="3">
        <f>IFERROR(__xludf.DUMMYFUNCTION("""COMPUTED_VALUE"""),712166.0)</f>
        <v>712166</v>
      </c>
      <c r="O39" s="3">
        <f>IFERROR(__xludf.DUMMYFUNCTION("""COMPUTED_VALUE"""),1.9073726E7)</f>
        <v>19073726</v>
      </c>
      <c r="P39" s="2" t="str">
        <f>IFERROR(__xludf.DUMMYFUNCTION("""COMPUTED_VALUE"""),"Europe")</f>
        <v>Europe</v>
      </c>
      <c r="Q39" s="2">
        <f>IFERROR(__xludf.DUMMYFUNCTION("""COMPUTED_VALUE"""),14.0)</f>
        <v>14</v>
      </c>
      <c r="R39" s="2">
        <f>IFERROR(__xludf.DUMMYFUNCTION("""COMPUTED_VALUE"""),476.0)</f>
        <v>476</v>
      </c>
      <c r="S39" s="2">
        <f>IFERROR(__xludf.DUMMYFUNCTION("""COMPUTED_VALUE"""),1.0)</f>
        <v>1</v>
      </c>
      <c r="T39" s="2">
        <f>IFERROR(__xludf.DUMMYFUNCTION("""COMPUTED_VALUE"""),878.0)</f>
        <v>878</v>
      </c>
      <c r="U39" s="2">
        <f>IFERROR(__xludf.DUMMYFUNCTION("""COMPUTED_VALUE"""),23.0)</f>
        <v>23</v>
      </c>
      <c r="V39" s="3">
        <f>IFERROR(__xludf.DUMMYFUNCTION("""COMPUTED_VALUE"""),8047.0)</f>
        <v>8047</v>
      </c>
    </row>
    <row r="40" ht="15.75" customHeight="1">
      <c r="A40" s="2">
        <f>IFERROR(__xludf.DUMMYFUNCTION("""COMPUTED_VALUE"""),31.0)</f>
        <v>31</v>
      </c>
      <c r="B40" s="2" t="str">
        <f>IFERROR(__xludf.DUMMYFUNCTION("""COMPUTED_VALUE"""),"Israel")</f>
        <v>Israel</v>
      </c>
      <c r="C40" s="3">
        <f>IFERROR(__xludf.DUMMYFUNCTION("""COMPUTED_VALUE"""),1309738.0)</f>
        <v>1309738</v>
      </c>
      <c r="D40" s="2" t="str">
        <f>IFERROR(__xludf.DUMMYFUNCTION("""COMPUTED_VALUE"""),"+1,400")</f>
        <v>+1,400</v>
      </c>
      <c r="E40" s="3">
        <f>IFERROR(__xludf.DUMMYFUNCTION("""COMPUTED_VALUE"""),7952.0)</f>
        <v>7952</v>
      </c>
      <c r="F40" s="2" t="str">
        <f>IFERROR(__xludf.DUMMYFUNCTION("""COMPUTED_VALUE"""),"+12")</f>
        <v>+12</v>
      </c>
      <c r="G40" s="3">
        <f>IFERROR(__xludf.DUMMYFUNCTION("""COMPUTED_VALUE"""),1277545.0)</f>
        <v>1277545</v>
      </c>
      <c r="H40" s="2" t="str">
        <f>IFERROR(__xludf.DUMMYFUNCTION("""COMPUTED_VALUE"""),"+2,602")</f>
        <v>+2,602</v>
      </c>
      <c r="I40" s="3">
        <f>IFERROR(__xludf.DUMMYFUNCTION("""COMPUTED_VALUE"""),24241.0)</f>
        <v>24241</v>
      </c>
      <c r="J40" s="2">
        <f>IFERROR(__xludf.DUMMYFUNCTION("""COMPUTED_VALUE"""),413.0)</f>
        <v>413</v>
      </c>
      <c r="K40" s="3">
        <f>IFERROR(__xludf.DUMMYFUNCTION("""COMPUTED_VALUE"""),140439.0)</f>
        <v>140439</v>
      </c>
      <c r="L40" s="2">
        <f>IFERROR(__xludf.DUMMYFUNCTION("""COMPUTED_VALUE"""),853.0)</f>
        <v>853</v>
      </c>
      <c r="M40" s="3">
        <f>IFERROR(__xludf.DUMMYFUNCTION("""COMPUTED_VALUE"""),2.7731214E7)</f>
        <v>27731214</v>
      </c>
      <c r="N40" s="3">
        <f>IFERROR(__xludf.DUMMYFUNCTION("""COMPUTED_VALUE"""),2973538.0)</f>
        <v>2973538</v>
      </c>
      <c r="O40" s="3">
        <f>IFERROR(__xludf.DUMMYFUNCTION("""COMPUTED_VALUE"""),9326000.0)</f>
        <v>9326000</v>
      </c>
      <c r="P40" s="2" t="str">
        <f>IFERROR(__xludf.DUMMYFUNCTION("""COMPUTED_VALUE"""),"Asia")</f>
        <v>Asia</v>
      </c>
      <c r="Q40" s="2">
        <f>IFERROR(__xludf.DUMMYFUNCTION("""COMPUTED_VALUE"""),7.0)</f>
        <v>7</v>
      </c>
      <c r="R40" s="3">
        <f>IFERROR(__xludf.DUMMYFUNCTION("""COMPUTED_VALUE"""),1173.0)</f>
        <v>1173</v>
      </c>
      <c r="S40" s="2">
        <f>IFERROR(__xludf.DUMMYFUNCTION("""COMPUTED_VALUE"""),0.0)</f>
        <v>0</v>
      </c>
      <c r="T40" s="2">
        <f>IFERROR(__xludf.DUMMYFUNCTION("""COMPUTED_VALUE"""),150.0)</f>
        <v>150</v>
      </c>
      <c r="U40" s="2">
        <f>IFERROR(__xludf.DUMMYFUNCTION("""COMPUTED_VALUE"""),1.0)</f>
        <v>1</v>
      </c>
      <c r="V40" s="3">
        <f>IFERROR(__xludf.DUMMYFUNCTION("""COMPUTED_VALUE"""),2599.0)</f>
        <v>2599</v>
      </c>
    </row>
    <row r="41" ht="15.75" customHeight="1">
      <c r="A41" s="2">
        <f>IFERROR(__xludf.DUMMYFUNCTION("""COMPUTED_VALUE"""),32.0)</f>
        <v>32</v>
      </c>
      <c r="B41" s="2" t="str">
        <f>IFERROR(__xludf.DUMMYFUNCTION("""COMPUTED_VALUE"""),"Belgium")</f>
        <v>Belgium</v>
      </c>
      <c r="C41" s="3">
        <f>IFERROR(__xludf.DUMMYFUNCTION("""COMPUTED_VALUE"""),1266562.0)</f>
        <v>1266562</v>
      </c>
      <c r="D41" s="2" t="str">
        <f>IFERROR(__xludf.DUMMYFUNCTION("""COMPUTED_VALUE"""),"+1,940")</f>
        <v>+1,940</v>
      </c>
      <c r="E41" s="3">
        <f>IFERROR(__xludf.DUMMYFUNCTION("""COMPUTED_VALUE"""),25695.0)</f>
        <v>25695</v>
      </c>
      <c r="F41" s="2" t="str">
        <f>IFERROR(__xludf.DUMMYFUNCTION("""COMPUTED_VALUE"""),"+7")</f>
        <v>+7</v>
      </c>
      <c r="G41" s="3">
        <f>IFERROR(__xludf.DUMMYFUNCTION("""COMPUTED_VALUE"""),1181547.0)</f>
        <v>1181547</v>
      </c>
      <c r="H41" s="2" t="str">
        <f>IFERROR(__xludf.DUMMYFUNCTION("""COMPUTED_VALUE"""),"+2,301")</f>
        <v>+2,301</v>
      </c>
      <c r="I41" s="3">
        <f>IFERROR(__xludf.DUMMYFUNCTION("""COMPUTED_VALUE"""),59320.0)</f>
        <v>59320</v>
      </c>
      <c r="J41" s="2">
        <f>IFERROR(__xludf.DUMMYFUNCTION("""COMPUTED_VALUE"""),193.0)</f>
        <v>193</v>
      </c>
      <c r="K41" s="3">
        <f>IFERROR(__xludf.DUMMYFUNCTION("""COMPUTED_VALUE"""),108680.0)</f>
        <v>108680</v>
      </c>
      <c r="L41" s="3">
        <f>IFERROR(__xludf.DUMMYFUNCTION("""COMPUTED_VALUE"""),2205.0)</f>
        <v>2205</v>
      </c>
      <c r="M41" s="3">
        <f>IFERROR(__xludf.DUMMYFUNCTION("""COMPUTED_VALUE"""),2.0515224E7)</f>
        <v>20515224</v>
      </c>
      <c r="N41" s="3">
        <f>IFERROR(__xludf.DUMMYFUNCTION("""COMPUTED_VALUE"""),1760359.0)</f>
        <v>1760359</v>
      </c>
      <c r="O41" s="3">
        <f>IFERROR(__xludf.DUMMYFUNCTION("""COMPUTED_VALUE"""),1.1654E7)</f>
        <v>11654000</v>
      </c>
      <c r="P41" s="2" t="str">
        <f>IFERROR(__xludf.DUMMYFUNCTION("""COMPUTED_VALUE"""),"Europe")</f>
        <v>Europe</v>
      </c>
      <c r="Q41" s="2">
        <f>IFERROR(__xludf.DUMMYFUNCTION("""COMPUTED_VALUE"""),9.0)</f>
        <v>9</v>
      </c>
      <c r="R41" s="2">
        <f>IFERROR(__xludf.DUMMYFUNCTION("""COMPUTED_VALUE"""),454.0)</f>
        <v>454</v>
      </c>
      <c r="S41" s="2">
        <f>IFERROR(__xludf.DUMMYFUNCTION("""COMPUTED_VALUE"""),1.0)</f>
        <v>1</v>
      </c>
      <c r="T41" s="2">
        <f>IFERROR(__xludf.DUMMYFUNCTION("""COMPUTED_VALUE"""),166.0)</f>
        <v>166</v>
      </c>
      <c r="U41" s="2">
        <f>IFERROR(__xludf.DUMMYFUNCTION("""COMPUTED_VALUE"""),0.6)</f>
        <v>0.6</v>
      </c>
      <c r="V41" s="3">
        <f>IFERROR(__xludf.DUMMYFUNCTION("""COMPUTED_VALUE"""),5090.0)</f>
        <v>5090</v>
      </c>
    </row>
    <row r="42" ht="15.75" customHeight="1">
      <c r="A42" s="2">
        <f>IFERROR(__xludf.DUMMYFUNCTION("""COMPUTED_VALUE"""),33.0)</f>
        <v>33</v>
      </c>
      <c r="B42" s="2" t="str">
        <f>IFERROR(__xludf.DUMMYFUNCTION("""COMPUTED_VALUE"""),"Pakistan")</f>
        <v>Pakistan</v>
      </c>
      <c r="C42" s="3">
        <f>IFERROR(__xludf.DUMMYFUNCTION("""COMPUTED_VALUE"""),1259648.0)</f>
        <v>1259648</v>
      </c>
      <c r="D42" s="2" t="str">
        <f>IFERROR(__xludf.DUMMYFUNCTION("""COMPUTED_VALUE"""),"+689")</f>
        <v>+689</v>
      </c>
      <c r="E42" s="3">
        <f>IFERROR(__xludf.DUMMYFUNCTION("""COMPUTED_VALUE"""),28152.0)</f>
        <v>28152</v>
      </c>
      <c r="F42" s="2" t="str">
        <f>IFERROR(__xludf.DUMMYFUNCTION("""COMPUTED_VALUE"""),"+18")</f>
        <v>+18</v>
      </c>
      <c r="G42" s="3">
        <f>IFERROR(__xludf.DUMMYFUNCTION("""COMPUTED_VALUE"""),1189742.0)</f>
        <v>1189742</v>
      </c>
      <c r="H42" s="2" t="str">
        <f>IFERROR(__xludf.DUMMYFUNCTION("""COMPUTED_VALUE"""),"+1,180")</f>
        <v>+1,180</v>
      </c>
      <c r="I42" s="3">
        <f>IFERROR(__xludf.DUMMYFUNCTION("""COMPUTED_VALUE"""),41754.0)</f>
        <v>41754</v>
      </c>
      <c r="J42" s="3">
        <f>IFERROR(__xludf.DUMMYFUNCTION("""COMPUTED_VALUE"""),2280.0)</f>
        <v>2280</v>
      </c>
      <c r="K42" s="3">
        <f>IFERROR(__xludf.DUMMYFUNCTION("""COMPUTED_VALUE"""),5565.0)</f>
        <v>5565</v>
      </c>
      <c r="L42" s="2">
        <f>IFERROR(__xludf.DUMMYFUNCTION("""COMPUTED_VALUE"""),124.0)</f>
        <v>124</v>
      </c>
      <c r="M42" s="3">
        <f>IFERROR(__xludf.DUMMYFUNCTION("""COMPUTED_VALUE"""),1.9953497E7)</f>
        <v>19953497</v>
      </c>
      <c r="N42" s="3">
        <f>IFERROR(__xludf.DUMMYFUNCTION("""COMPUTED_VALUE"""),88151.0)</f>
        <v>88151</v>
      </c>
      <c r="O42" s="3">
        <f>IFERROR(__xludf.DUMMYFUNCTION("""COMPUTED_VALUE"""),2.26355057E8)</f>
        <v>226355057</v>
      </c>
      <c r="P42" s="2" t="str">
        <f>IFERROR(__xludf.DUMMYFUNCTION("""COMPUTED_VALUE"""),"Asia")</f>
        <v>Asia</v>
      </c>
      <c r="Q42" s="2">
        <f>IFERROR(__xludf.DUMMYFUNCTION("""COMPUTED_VALUE"""),180.0)</f>
        <v>180</v>
      </c>
      <c r="R42" s="3">
        <f>IFERROR(__xludf.DUMMYFUNCTION("""COMPUTED_VALUE"""),8040.0)</f>
        <v>8040</v>
      </c>
      <c r="S42" s="2">
        <f>IFERROR(__xludf.DUMMYFUNCTION("""COMPUTED_VALUE"""),11.0)</f>
        <v>11</v>
      </c>
      <c r="T42" s="2">
        <f>IFERROR(__xludf.DUMMYFUNCTION("""COMPUTED_VALUE"""),3.0)</f>
        <v>3</v>
      </c>
      <c r="U42" s="2">
        <f>IFERROR(__xludf.DUMMYFUNCTION("""COMPUTED_VALUE"""),0.08)</f>
        <v>0.08</v>
      </c>
      <c r="V42" s="2">
        <f>IFERROR(__xludf.DUMMYFUNCTION("""COMPUTED_VALUE"""),184.0)</f>
        <v>184</v>
      </c>
    </row>
    <row r="43" ht="15.75" customHeight="1">
      <c r="A43" s="2">
        <f>IFERROR(__xludf.DUMMYFUNCTION("""COMPUTED_VALUE"""),34.0)</f>
        <v>34</v>
      </c>
      <c r="B43" s="2" t="str">
        <f>IFERROR(__xludf.DUMMYFUNCTION("""COMPUTED_VALUE"""),"Sweden")</f>
        <v>Sweden</v>
      </c>
      <c r="C43" s="3">
        <f>IFERROR(__xludf.DUMMYFUNCTION("""COMPUTED_VALUE"""),1159560.0)</f>
        <v>1159560</v>
      </c>
      <c r="D43" s="2"/>
      <c r="E43" s="3">
        <f>IFERROR(__xludf.DUMMYFUNCTION("""COMPUTED_VALUE"""),14879.0)</f>
        <v>14879</v>
      </c>
      <c r="F43" s="2"/>
      <c r="G43" s="3">
        <f>IFERROR(__xludf.DUMMYFUNCTION("""COMPUTED_VALUE"""),1124661.0)</f>
        <v>1124661</v>
      </c>
      <c r="H43" s="2" t="str">
        <f>IFERROR(__xludf.DUMMYFUNCTION("""COMPUTED_VALUE"""),"+2")</f>
        <v>+2</v>
      </c>
      <c r="I43" s="3">
        <f>IFERROR(__xludf.DUMMYFUNCTION("""COMPUTED_VALUE"""),20020.0)</f>
        <v>20020</v>
      </c>
      <c r="J43" s="2">
        <f>IFERROR(__xludf.DUMMYFUNCTION("""COMPUTED_VALUE"""),29.0)</f>
        <v>29</v>
      </c>
      <c r="K43" s="3">
        <f>IFERROR(__xludf.DUMMYFUNCTION("""COMPUTED_VALUE"""),113910.0)</f>
        <v>113910</v>
      </c>
      <c r="L43" s="3">
        <f>IFERROR(__xludf.DUMMYFUNCTION("""COMPUTED_VALUE"""),1462.0)</f>
        <v>1462</v>
      </c>
      <c r="M43" s="3">
        <f>IFERROR(__xludf.DUMMYFUNCTION("""COMPUTED_VALUE"""),1.2743845E7)</f>
        <v>12743845</v>
      </c>
      <c r="N43" s="3">
        <f>IFERROR(__xludf.DUMMYFUNCTION("""COMPUTED_VALUE"""),1251898.0)</f>
        <v>1251898</v>
      </c>
      <c r="O43" s="3">
        <f>IFERROR(__xludf.DUMMYFUNCTION("""COMPUTED_VALUE"""),1.0179622E7)</f>
        <v>10179622</v>
      </c>
      <c r="P43" s="2" t="str">
        <f>IFERROR(__xludf.DUMMYFUNCTION("""COMPUTED_VALUE"""),"Europe")</f>
        <v>Europe</v>
      </c>
      <c r="Q43" s="2">
        <f>IFERROR(__xludf.DUMMYFUNCTION("""COMPUTED_VALUE"""),9.0)</f>
        <v>9</v>
      </c>
      <c r="R43" s="2">
        <f>IFERROR(__xludf.DUMMYFUNCTION("""COMPUTED_VALUE"""),684.0)</f>
        <v>684</v>
      </c>
      <c r="S43" s="2">
        <f>IFERROR(__xludf.DUMMYFUNCTION("""COMPUTED_VALUE"""),1.0)</f>
        <v>1</v>
      </c>
      <c r="T43" s="2"/>
      <c r="U43" s="2"/>
      <c r="V43" s="3">
        <f>IFERROR(__xludf.DUMMYFUNCTION("""COMPUTED_VALUE"""),1967.0)</f>
        <v>1967</v>
      </c>
    </row>
    <row r="44" ht="15.75" customHeight="1">
      <c r="A44" s="2">
        <f>IFERROR(__xludf.DUMMYFUNCTION("""COMPUTED_VALUE"""),35.0)</f>
        <v>35</v>
      </c>
      <c r="B44" s="2" t="str">
        <f>IFERROR(__xludf.DUMMYFUNCTION("""COMPUTED_VALUE"""),"Portugal")</f>
        <v>Portugal</v>
      </c>
      <c r="C44" s="3">
        <f>IFERROR(__xludf.DUMMYFUNCTION("""COMPUTED_VALUE"""),1076358.0)</f>
        <v>1076358</v>
      </c>
      <c r="D44" s="2" t="str">
        <f>IFERROR(__xludf.DUMMYFUNCTION("""COMPUTED_VALUE"""),"+719")</f>
        <v>+719</v>
      </c>
      <c r="E44" s="3">
        <f>IFERROR(__xludf.DUMMYFUNCTION("""COMPUTED_VALUE"""),18056.0)</f>
        <v>18056</v>
      </c>
      <c r="F44" s="2" t="str">
        <f>IFERROR(__xludf.DUMMYFUNCTION("""COMPUTED_VALUE"""),"+8")</f>
        <v>+8</v>
      </c>
      <c r="G44" s="3">
        <f>IFERROR(__xludf.DUMMYFUNCTION("""COMPUTED_VALUE"""),1028465.0)</f>
        <v>1028465</v>
      </c>
      <c r="H44" s="2" t="str">
        <f>IFERROR(__xludf.DUMMYFUNCTION("""COMPUTED_VALUE"""),"+1,041")</f>
        <v>+1,041</v>
      </c>
      <c r="I44" s="3">
        <f>IFERROR(__xludf.DUMMYFUNCTION("""COMPUTED_VALUE"""),29837.0)</f>
        <v>29837</v>
      </c>
      <c r="J44" s="2">
        <f>IFERROR(__xludf.DUMMYFUNCTION("""COMPUTED_VALUE"""),56.0)</f>
        <v>56</v>
      </c>
      <c r="K44" s="3">
        <f>IFERROR(__xludf.DUMMYFUNCTION("""COMPUTED_VALUE"""),105954.0)</f>
        <v>105954</v>
      </c>
      <c r="L44" s="3">
        <f>IFERROR(__xludf.DUMMYFUNCTION("""COMPUTED_VALUE"""),1777.0)</f>
        <v>1777</v>
      </c>
      <c r="M44" s="3">
        <f>IFERROR(__xludf.DUMMYFUNCTION("""COMPUTED_VALUE"""),1.9078687E7)</f>
        <v>19078687</v>
      </c>
      <c r="N44" s="3">
        <f>IFERROR(__xludf.DUMMYFUNCTION("""COMPUTED_VALUE"""),1878057.0)</f>
        <v>1878057</v>
      </c>
      <c r="O44" s="3">
        <f>IFERROR(__xludf.DUMMYFUNCTION("""COMPUTED_VALUE"""),1.0158735E7)</f>
        <v>10158735</v>
      </c>
      <c r="P44" s="2" t="str">
        <f>IFERROR(__xludf.DUMMYFUNCTION("""COMPUTED_VALUE"""),"Europe")</f>
        <v>Europe</v>
      </c>
      <c r="Q44" s="2">
        <f>IFERROR(__xludf.DUMMYFUNCTION("""COMPUTED_VALUE"""),9.0)</f>
        <v>9</v>
      </c>
      <c r="R44" s="2">
        <f>IFERROR(__xludf.DUMMYFUNCTION("""COMPUTED_VALUE"""),563.0)</f>
        <v>563</v>
      </c>
      <c r="S44" s="2">
        <f>IFERROR(__xludf.DUMMYFUNCTION("""COMPUTED_VALUE"""),1.0)</f>
        <v>1</v>
      </c>
      <c r="T44" s="2">
        <f>IFERROR(__xludf.DUMMYFUNCTION("""COMPUTED_VALUE"""),71.0)</f>
        <v>71</v>
      </c>
      <c r="U44" s="2">
        <f>IFERROR(__xludf.DUMMYFUNCTION("""COMPUTED_VALUE"""),0.8)</f>
        <v>0.8</v>
      </c>
      <c r="V44" s="3">
        <f>IFERROR(__xludf.DUMMYFUNCTION("""COMPUTED_VALUE"""),2937.0)</f>
        <v>2937</v>
      </c>
    </row>
    <row r="45" ht="15.75" customHeight="1">
      <c r="A45" s="2">
        <f>IFERROR(__xludf.DUMMYFUNCTION("""COMPUTED_VALUE"""),36.0)</f>
        <v>36</v>
      </c>
      <c r="B45" s="2" t="str">
        <f>IFERROR(__xludf.DUMMYFUNCTION("""COMPUTED_VALUE"""),"Serbia")</f>
        <v>Serbia</v>
      </c>
      <c r="C45" s="3">
        <f>IFERROR(__xludf.DUMMYFUNCTION("""COMPUTED_VALUE"""),1017798.0)</f>
        <v>1017798</v>
      </c>
      <c r="D45" s="2" t="str">
        <f>IFERROR(__xludf.DUMMYFUNCTION("""COMPUTED_VALUE"""),"+6,930")</f>
        <v>+6,930</v>
      </c>
      <c r="E45" s="3">
        <f>IFERROR(__xludf.DUMMYFUNCTION("""COMPUTED_VALUE"""),8841.0)</f>
        <v>8841</v>
      </c>
      <c r="F45" s="2" t="str">
        <f>IFERROR(__xludf.DUMMYFUNCTION("""COMPUTED_VALUE"""),"+53")</f>
        <v>+53</v>
      </c>
      <c r="G45" s="3">
        <f>IFERROR(__xludf.DUMMYFUNCTION("""COMPUTED_VALUE"""),884235.0)</f>
        <v>884235</v>
      </c>
      <c r="H45" s="2" t="str">
        <f>IFERROR(__xludf.DUMMYFUNCTION("""COMPUTED_VALUE"""),"+6,429")</f>
        <v>+6,429</v>
      </c>
      <c r="I45" s="3">
        <f>IFERROR(__xludf.DUMMYFUNCTION("""COMPUTED_VALUE"""),124722.0)</f>
        <v>124722</v>
      </c>
      <c r="J45" s="2">
        <f>IFERROR(__xludf.DUMMYFUNCTION("""COMPUTED_VALUE"""),269.0)</f>
        <v>269</v>
      </c>
      <c r="K45" s="3">
        <f>IFERROR(__xludf.DUMMYFUNCTION("""COMPUTED_VALUE"""),117090.0)</f>
        <v>117090</v>
      </c>
      <c r="L45" s="3">
        <f>IFERROR(__xludf.DUMMYFUNCTION("""COMPUTED_VALUE"""),1017.0)</f>
        <v>1017</v>
      </c>
      <c r="M45" s="3">
        <f>IFERROR(__xludf.DUMMYFUNCTION("""COMPUTED_VALUE"""),5898089.0)</f>
        <v>5898089</v>
      </c>
      <c r="N45" s="3">
        <f>IFERROR(__xludf.DUMMYFUNCTION("""COMPUTED_VALUE"""),678533.0)</f>
        <v>678533</v>
      </c>
      <c r="O45" s="3">
        <f>IFERROR(__xludf.DUMMYFUNCTION("""COMPUTED_VALUE"""),8692415.0)</f>
        <v>8692415</v>
      </c>
      <c r="P45" s="2" t="str">
        <f>IFERROR(__xludf.DUMMYFUNCTION("""COMPUTED_VALUE"""),"Europe")</f>
        <v>Europe</v>
      </c>
      <c r="Q45" s="2">
        <f>IFERROR(__xludf.DUMMYFUNCTION("""COMPUTED_VALUE"""),9.0)</f>
        <v>9</v>
      </c>
      <c r="R45" s="2">
        <f>IFERROR(__xludf.DUMMYFUNCTION("""COMPUTED_VALUE"""),983.0)</f>
        <v>983</v>
      </c>
      <c r="S45" s="2">
        <f>IFERROR(__xludf.DUMMYFUNCTION("""COMPUTED_VALUE"""),1.0)</f>
        <v>1</v>
      </c>
      <c r="T45" s="2">
        <f>IFERROR(__xludf.DUMMYFUNCTION("""COMPUTED_VALUE"""),797.0)</f>
        <v>797</v>
      </c>
      <c r="U45" s="2">
        <f>IFERROR(__xludf.DUMMYFUNCTION("""COMPUTED_VALUE"""),6.0)</f>
        <v>6</v>
      </c>
      <c r="V45" s="3">
        <f>IFERROR(__xludf.DUMMYFUNCTION("""COMPUTED_VALUE"""),14348.0)</f>
        <v>14348</v>
      </c>
    </row>
    <row r="46" ht="15.75" customHeight="1">
      <c r="A46" s="2">
        <f>IFERROR(__xludf.DUMMYFUNCTION("""COMPUTED_VALUE"""),37.0)</f>
        <v>37</v>
      </c>
      <c r="B46" s="2" t="str">
        <f>IFERROR(__xludf.DUMMYFUNCTION("""COMPUTED_VALUE"""),"Morocco")</f>
        <v>Morocco</v>
      </c>
      <c r="C46" s="3">
        <f>IFERROR(__xludf.DUMMYFUNCTION("""COMPUTED_VALUE"""),939922.0)</f>
        <v>939922</v>
      </c>
      <c r="D46" s="2" t="str">
        <f>IFERROR(__xludf.DUMMYFUNCTION("""COMPUTED_VALUE"""),"+566")</f>
        <v>+566</v>
      </c>
      <c r="E46" s="3">
        <f>IFERROR(__xludf.DUMMYFUNCTION("""COMPUTED_VALUE"""),14485.0)</f>
        <v>14485</v>
      </c>
      <c r="F46" s="2" t="str">
        <f>IFERROR(__xludf.DUMMYFUNCTION("""COMPUTED_VALUE"""),"+11")</f>
        <v>+11</v>
      </c>
      <c r="G46" s="3">
        <f>IFERROR(__xludf.DUMMYFUNCTION("""COMPUTED_VALUE"""),919074.0)</f>
        <v>919074</v>
      </c>
      <c r="H46" s="2" t="str">
        <f>IFERROR(__xludf.DUMMYFUNCTION("""COMPUTED_VALUE"""),"+699")</f>
        <v>+699</v>
      </c>
      <c r="I46" s="3">
        <f>IFERROR(__xludf.DUMMYFUNCTION("""COMPUTED_VALUE"""),6363.0)</f>
        <v>6363</v>
      </c>
      <c r="J46" s="2">
        <f>IFERROR(__xludf.DUMMYFUNCTION("""COMPUTED_VALUE"""),347.0)</f>
        <v>347</v>
      </c>
      <c r="K46" s="3">
        <f>IFERROR(__xludf.DUMMYFUNCTION("""COMPUTED_VALUE"""),25086.0)</f>
        <v>25086</v>
      </c>
      <c r="L46" s="2">
        <f>IFERROR(__xludf.DUMMYFUNCTION("""COMPUTED_VALUE"""),387.0)</f>
        <v>387</v>
      </c>
      <c r="M46" s="3">
        <f>IFERROR(__xludf.DUMMYFUNCTION("""COMPUTED_VALUE"""),9863162.0)</f>
        <v>9863162</v>
      </c>
      <c r="N46" s="3">
        <f>IFERROR(__xludf.DUMMYFUNCTION("""COMPUTED_VALUE"""),263239.0)</f>
        <v>263239</v>
      </c>
      <c r="O46" s="3">
        <f>IFERROR(__xludf.DUMMYFUNCTION("""COMPUTED_VALUE"""),3.7468409E7)</f>
        <v>37468409</v>
      </c>
      <c r="P46" s="2" t="str">
        <f>IFERROR(__xludf.DUMMYFUNCTION("""COMPUTED_VALUE"""),"Africa")</f>
        <v>Africa</v>
      </c>
      <c r="Q46" s="2">
        <f>IFERROR(__xludf.DUMMYFUNCTION("""COMPUTED_VALUE"""),40.0)</f>
        <v>40</v>
      </c>
      <c r="R46" s="3">
        <f>IFERROR(__xludf.DUMMYFUNCTION("""COMPUTED_VALUE"""),2587.0)</f>
        <v>2587</v>
      </c>
      <c r="S46" s="2">
        <f>IFERROR(__xludf.DUMMYFUNCTION("""COMPUTED_VALUE"""),4.0)</f>
        <v>4</v>
      </c>
      <c r="T46" s="2">
        <f>IFERROR(__xludf.DUMMYFUNCTION("""COMPUTED_VALUE"""),15.0)</f>
        <v>15</v>
      </c>
      <c r="U46" s="2">
        <f>IFERROR(__xludf.DUMMYFUNCTION("""COMPUTED_VALUE"""),0.3)</f>
        <v>0.3</v>
      </c>
      <c r="V46" s="2">
        <f>IFERROR(__xludf.DUMMYFUNCTION("""COMPUTED_VALUE"""),170.0)</f>
        <v>170</v>
      </c>
    </row>
    <row r="47" ht="15.75" customHeight="1">
      <c r="A47" s="2">
        <f>IFERROR(__xludf.DUMMYFUNCTION("""COMPUTED_VALUE"""),38.0)</f>
        <v>38</v>
      </c>
      <c r="B47" s="2" t="str">
        <f>IFERROR(__xludf.DUMMYFUNCTION("""COMPUTED_VALUE"""),"Cuba")</f>
        <v>Cuba</v>
      </c>
      <c r="C47" s="3">
        <f>IFERROR(__xludf.DUMMYFUNCTION("""COMPUTED_VALUE"""),923966.0)</f>
        <v>923966</v>
      </c>
      <c r="D47" s="2" t="str">
        <f>IFERROR(__xludf.DUMMYFUNCTION("""COMPUTED_VALUE"""),"+2,638")</f>
        <v>+2,638</v>
      </c>
      <c r="E47" s="3">
        <f>IFERROR(__xludf.DUMMYFUNCTION("""COMPUTED_VALUE"""),7928.0)</f>
        <v>7928</v>
      </c>
      <c r="F47" s="2" t="str">
        <f>IFERROR(__xludf.DUMMYFUNCTION("""COMPUTED_VALUE"""),"+37")</f>
        <v>+37</v>
      </c>
      <c r="G47" s="3">
        <f>IFERROR(__xludf.DUMMYFUNCTION("""COMPUTED_VALUE"""),900697.0)</f>
        <v>900697</v>
      </c>
      <c r="H47" s="2" t="str">
        <f>IFERROR(__xludf.DUMMYFUNCTION("""COMPUTED_VALUE"""),"+3,461")</f>
        <v>+3,461</v>
      </c>
      <c r="I47" s="3">
        <f>IFERROR(__xludf.DUMMYFUNCTION("""COMPUTED_VALUE"""),15341.0)</f>
        <v>15341</v>
      </c>
      <c r="J47" s="2">
        <f>IFERROR(__xludf.DUMMYFUNCTION("""COMPUTED_VALUE"""),311.0)</f>
        <v>311</v>
      </c>
      <c r="K47" s="3">
        <f>IFERROR(__xludf.DUMMYFUNCTION("""COMPUTED_VALUE"""),81638.0)</f>
        <v>81638</v>
      </c>
      <c r="L47" s="2">
        <f>IFERROR(__xludf.DUMMYFUNCTION("""COMPUTED_VALUE"""),700.0)</f>
        <v>700</v>
      </c>
      <c r="M47" s="3">
        <f>IFERROR(__xludf.DUMMYFUNCTION("""COMPUTED_VALUE"""),1.0021878E7)</f>
        <v>10021878</v>
      </c>
      <c r="N47" s="3">
        <f>IFERROR(__xludf.DUMMYFUNCTION("""COMPUTED_VALUE"""),885498.0)</f>
        <v>885498</v>
      </c>
      <c r="O47" s="3">
        <f>IFERROR(__xludf.DUMMYFUNCTION("""COMPUTED_VALUE"""),1.1317788E7)</f>
        <v>11317788</v>
      </c>
      <c r="P47" s="2" t="str">
        <f>IFERROR(__xludf.DUMMYFUNCTION("""COMPUTED_VALUE"""),"North America")</f>
        <v>North America</v>
      </c>
      <c r="Q47" s="2">
        <f>IFERROR(__xludf.DUMMYFUNCTION("""COMPUTED_VALUE"""),12.0)</f>
        <v>12</v>
      </c>
      <c r="R47" s="3">
        <f>IFERROR(__xludf.DUMMYFUNCTION("""COMPUTED_VALUE"""),1428.0)</f>
        <v>1428</v>
      </c>
      <c r="S47" s="2">
        <f>IFERROR(__xludf.DUMMYFUNCTION("""COMPUTED_VALUE"""),1.0)</f>
        <v>1</v>
      </c>
      <c r="T47" s="2">
        <f>IFERROR(__xludf.DUMMYFUNCTION("""COMPUTED_VALUE"""),233.0)</f>
        <v>233</v>
      </c>
      <c r="U47" s="2">
        <f>IFERROR(__xludf.DUMMYFUNCTION("""COMPUTED_VALUE"""),3.0)</f>
        <v>3</v>
      </c>
      <c r="V47" s="3">
        <f>IFERROR(__xludf.DUMMYFUNCTION("""COMPUTED_VALUE"""),1355.0)</f>
        <v>1355</v>
      </c>
    </row>
    <row r="48" ht="15.75" customHeight="1">
      <c r="A48" s="2">
        <f>IFERROR(__xludf.DUMMYFUNCTION("""COMPUTED_VALUE"""),39.0)</f>
        <v>39</v>
      </c>
      <c r="B48" s="2" t="str">
        <f>IFERROR(__xludf.DUMMYFUNCTION("""COMPUTED_VALUE"""),"Kazakhstan")</f>
        <v>Kazakhstan</v>
      </c>
      <c r="C48" s="3">
        <f>IFERROR(__xludf.DUMMYFUNCTION("""COMPUTED_VALUE"""),907140.0)</f>
        <v>907140</v>
      </c>
      <c r="D48" s="2" t="str">
        <f>IFERROR(__xludf.DUMMYFUNCTION("""COMPUTED_VALUE"""),"+1,499")</f>
        <v>+1,499</v>
      </c>
      <c r="E48" s="3">
        <f>IFERROR(__xludf.DUMMYFUNCTION("""COMPUTED_VALUE"""),11584.0)</f>
        <v>11584</v>
      </c>
      <c r="F48" s="2" t="str">
        <f>IFERROR(__xludf.DUMMYFUNCTION("""COMPUTED_VALUE"""),"+25")</f>
        <v>+25</v>
      </c>
      <c r="G48" s="3">
        <f>IFERROR(__xludf.DUMMYFUNCTION("""COMPUTED_VALUE"""),848891.0)</f>
        <v>848891</v>
      </c>
      <c r="H48" s="2" t="str">
        <f>IFERROR(__xludf.DUMMYFUNCTION("""COMPUTED_VALUE"""),"+1,435")</f>
        <v>+1,435</v>
      </c>
      <c r="I48" s="3">
        <f>IFERROR(__xludf.DUMMYFUNCTION("""COMPUTED_VALUE"""),46665.0)</f>
        <v>46665</v>
      </c>
      <c r="J48" s="2">
        <f>IFERROR(__xludf.DUMMYFUNCTION("""COMPUTED_VALUE"""),221.0)</f>
        <v>221</v>
      </c>
      <c r="K48" s="3">
        <f>IFERROR(__xludf.DUMMYFUNCTION("""COMPUTED_VALUE"""),47586.0)</f>
        <v>47586</v>
      </c>
      <c r="L48" s="2">
        <f>IFERROR(__xludf.DUMMYFUNCTION("""COMPUTED_VALUE"""),608.0)</f>
        <v>608</v>
      </c>
      <c r="M48" s="3">
        <f>IFERROR(__xludf.DUMMYFUNCTION("""COMPUTED_VALUE"""),1.1575012E7)</f>
        <v>11575012</v>
      </c>
      <c r="N48" s="3">
        <f>IFERROR(__xludf.DUMMYFUNCTION("""COMPUTED_VALUE"""),607195.0)</f>
        <v>607195</v>
      </c>
      <c r="O48" s="3">
        <f>IFERROR(__xludf.DUMMYFUNCTION("""COMPUTED_VALUE"""),1.9063084E7)</f>
        <v>19063084</v>
      </c>
      <c r="P48" s="2" t="str">
        <f>IFERROR(__xludf.DUMMYFUNCTION("""COMPUTED_VALUE"""),"Asia")</f>
        <v>Asia</v>
      </c>
      <c r="Q48" s="2">
        <f>IFERROR(__xludf.DUMMYFUNCTION("""COMPUTED_VALUE"""),21.0)</f>
        <v>21</v>
      </c>
      <c r="R48" s="3">
        <f>IFERROR(__xludf.DUMMYFUNCTION("""COMPUTED_VALUE"""),1646.0)</f>
        <v>1646</v>
      </c>
      <c r="S48" s="2">
        <f>IFERROR(__xludf.DUMMYFUNCTION("""COMPUTED_VALUE"""),2.0)</f>
        <v>2</v>
      </c>
      <c r="T48" s="2">
        <f>IFERROR(__xludf.DUMMYFUNCTION("""COMPUTED_VALUE"""),79.0)</f>
        <v>79</v>
      </c>
      <c r="U48" s="2">
        <f>IFERROR(__xludf.DUMMYFUNCTION("""COMPUTED_VALUE"""),1.0)</f>
        <v>1</v>
      </c>
      <c r="V48" s="3">
        <f>IFERROR(__xludf.DUMMYFUNCTION("""COMPUTED_VALUE"""),2448.0)</f>
        <v>2448</v>
      </c>
    </row>
    <row r="49" ht="15.75" customHeight="1">
      <c r="A49" s="2">
        <f>IFERROR(__xludf.DUMMYFUNCTION("""COMPUTED_VALUE"""),40.0)</f>
        <v>40</v>
      </c>
      <c r="B49" s="2" t="str">
        <f>IFERROR(__xludf.DUMMYFUNCTION("""COMPUTED_VALUE"""),"Switzerland")</f>
        <v>Switzerland</v>
      </c>
      <c r="C49" s="3">
        <f>IFERROR(__xludf.DUMMYFUNCTION("""COMPUTED_VALUE"""),851609.0)</f>
        <v>851609</v>
      </c>
      <c r="D49" s="2" t="str">
        <f>IFERROR(__xludf.DUMMYFUNCTION("""COMPUTED_VALUE"""),"+923")</f>
        <v>+923</v>
      </c>
      <c r="E49" s="3">
        <f>IFERROR(__xludf.DUMMYFUNCTION("""COMPUTED_VALUE"""),11153.0)</f>
        <v>11153</v>
      </c>
      <c r="F49" s="2" t="str">
        <f>IFERROR(__xludf.DUMMYFUNCTION("""COMPUTED_VALUE"""),"+3")</f>
        <v>+3</v>
      </c>
      <c r="G49" s="3">
        <f>IFERROR(__xludf.DUMMYFUNCTION("""COMPUTED_VALUE"""),796935.0)</f>
        <v>796935</v>
      </c>
      <c r="H49" s="2" t="str">
        <f>IFERROR(__xludf.DUMMYFUNCTION("""COMPUTED_VALUE"""),"+3")</f>
        <v>+3</v>
      </c>
      <c r="I49" s="3">
        <f>IFERROR(__xludf.DUMMYFUNCTION("""COMPUTED_VALUE"""),43521.0)</f>
        <v>43521</v>
      </c>
      <c r="J49" s="2">
        <f>IFERROR(__xludf.DUMMYFUNCTION("""COMPUTED_VALUE"""),139.0)</f>
        <v>139</v>
      </c>
      <c r="K49" s="3">
        <f>IFERROR(__xludf.DUMMYFUNCTION("""COMPUTED_VALUE"""),97490.0)</f>
        <v>97490</v>
      </c>
      <c r="L49" s="3">
        <f>IFERROR(__xludf.DUMMYFUNCTION("""COMPUTED_VALUE"""),1277.0)</f>
        <v>1277</v>
      </c>
      <c r="M49" s="3">
        <f>IFERROR(__xludf.DUMMYFUNCTION("""COMPUTED_VALUE"""),1.123599E7)</f>
        <v>11235990</v>
      </c>
      <c r="N49" s="3">
        <f>IFERROR(__xludf.DUMMYFUNCTION("""COMPUTED_VALUE"""),1286263.0)</f>
        <v>1286263</v>
      </c>
      <c r="O49" s="3">
        <f>IFERROR(__xludf.DUMMYFUNCTION("""COMPUTED_VALUE"""),8735375.0)</f>
        <v>8735375</v>
      </c>
      <c r="P49" s="2" t="str">
        <f>IFERROR(__xludf.DUMMYFUNCTION("""COMPUTED_VALUE"""),"Europe")</f>
        <v>Europe</v>
      </c>
      <c r="Q49" s="2">
        <f>IFERROR(__xludf.DUMMYFUNCTION("""COMPUTED_VALUE"""),10.0)</f>
        <v>10</v>
      </c>
      <c r="R49" s="2">
        <f>IFERROR(__xludf.DUMMYFUNCTION("""COMPUTED_VALUE"""),783.0)</f>
        <v>783</v>
      </c>
      <c r="S49" s="2">
        <f>IFERROR(__xludf.DUMMYFUNCTION("""COMPUTED_VALUE"""),1.0)</f>
        <v>1</v>
      </c>
      <c r="T49" s="2">
        <f>IFERROR(__xludf.DUMMYFUNCTION("""COMPUTED_VALUE"""),106.0)</f>
        <v>106</v>
      </c>
      <c r="U49" s="2">
        <f>IFERROR(__xludf.DUMMYFUNCTION("""COMPUTED_VALUE"""),0.3)</f>
        <v>0.3</v>
      </c>
      <c r="V49" s="3">
        <f>IFERROR(__xludf.DUMMYFUNCTION("""COMPUTED_VALUE"""),4982.0)</f>
        <v>4982</v>
      </c>
    </row>
    <row r="50" ht="15.75" customHeight="1">
      <c r="A50" s="2">
        <f>IFERROR(__xludf.DUMMYFUNCTION("""COMPUTED_VALUE"""),41.0)</f>
        <v>41</v>
      </c>
      <c r="B50" s="2" t="str">
        <f>IFERROR(__xludf.DUMMYFUNCTION("""COMPUTED_VALUE"""),"Vietnam")</f>
        <v>Vietnam</v>
      </c>
      <c r="C50" s="3">
        <f>IFERROR(__xludf.DUMMYFUNCTION("""COMPUTED_VALUE"""),846230.0)</f>
        <v>846230</v>
      </c>
      <c r="D50" s="2" t="str">
        <f>IFERROR(__xludf.DUMMYFUNCTION("""COMPUTED_VALUE"""),"+2,949")</f>
        <v>+2,949</v>
      </c>
      <c r="E50" s="3">
        <f>IFERROR(__xludf.DUMMYFUNCTION("""COMPUTED_VALUE"""),20763.0)</f>
        <v>20763</v>
      </c>
      <c r="F50" s="2" t="str">
        <f>IFERROR(__xludf.DUMMYFUNCTION("""COMPUTED_VALUE"""),"+93")</f>
        <v>+93</v>
      </c>
      <c r="G50" s="3">
        <f>IFERROR(__xludf.DUMMYFUNCTION("""COMPUTED_VALUE"""),786095.0)</f>
        <v>786095</v>
      </c>
      <c r="H50" s="2" t="str">
        <f>IFERROR(__xludf.DUMMYFUNCTION("""COMPUTED_VALUE"""),"+1,347")</f>
        <v>+1,347</v>
      </c>
      <c r="I50" s="3">
        <f>IFERROR(__xludf.DUMMYFUNCTION("""COMPUTED_VALUE"""),39372.0)</f>
        <v>39372</v>
      </c>
      <c r="J50" s="2"/>
      <c r="K50" s="3">
        <f>IFERROR(__xludf.DUMMYFUNCTION("""COMPUTED_VALUE"""),8595.0)</f>
        <v>8595</v>
      </c>
      <c r="L50" s="2">
        <f>IFERROR(__xludf.DUMMYFUNCTION("""COMPUTED_VALUE"""),211.0)</f>
        <v>211</v>
      </c>
      <c r="M50" s="3">
        <f>IFERROR(__xludf.DUMMYFUNCTION("""COMPUTED_VALUE"""),4.2517091E7)</f>
        <v>42517091</v>
      </c>
      <c r="N50" s="3">
        <f>IFERROR(__xludf.DUMMYFUNCTION("""COMPUTED_VALUE"""),431840.0)</f>
        <v>431840</v>
      </c>
      <c r="O50" s="3">
        <f>IFERROR(__xludf.DUMMYFUNCTION("""COMPUTED_VALUE"""),9.8455768E7)</f>
        <v>98455768</v>
      </c>
      <c r="P50" s="2" t="str">
        <f>IFERROR(__xludf.DUMMYFUNCTION("""COMPUTED_VALUE"""),"Asia")</f>
        <v>Asia</v>
      </c>
      <c r="Q50" s="2">
        <f>IFERROR(__xludf.DUMMYFUNCTION("""COMPUTED_VALUE"""),116.0)</f>
        <v>116</v>
      </c>
      <c r="R50" s="3">
        <f>IFERROR(__xludf.DUMMYFUNCTION("""COMPUTED_VALUE"""),4742.0)</f>
        <v>4742</v>
      </c>
      <c r="S50" s="2">
        <f>IFERROR(__xludf.DUMMYFUNCTION("""COMPUTED_VALUE"""),2.0)</f>
        <v>2</v>
      </c>
      <c r="T50" s="2">
        <f>IFERROR(__xludf.DUMMYFUNCTION("""COMPUTED_VALUE"""),30.0)</f>
        <v>30</v>
      </c>
      <c r="U50" s="2">
        <f>IFERROR(__xludf.DUMMYFUNCTION("""COMPUTED_VALUE"""),0.9)</f>
        <v>0.9</v>
      </c>
      <c r="V50" s="2">
        <f>IFERROR(__xludf.DUMMYFUNCTION("""COMPUTED_VALUE"""),400.0)</f>
        <v>400</v>
      </c>
    </row>
    <row r="51" ht="15.75" customHeight="1">
      <c r="A51" s="2">
        <f>IFERROR(__xludf.DUMMYFUNCTION("""COMPUTED_VALUE"""),42.0)</f>
        <v>42</v>
      </c>
      <c r="B51" s="2" t="str">
        <f>IFERROR(__xludf.DUMMYFUNCTION("""COMPUTED_VALUE"""),"Jordan")</f>
        <v>Jordan</v>
      </c>
      <c r="C51" s="3">
        <f>IFERROR(__xludf.DUMMYFUNCTION("""COMPUTED_VALUE"""),835969.0)</f>
        <v>835969</v>
      </c>
      <c r="D51" s="2" t="str">
        <f>IFERROR(__xludf.DUMMYFUNCTION("""COMPUTED_VALUE"""),"+1,191")</f>
        <v>+1,191</v>
      </c>
      <c r="E51" s="3">
        <f>IFERROR(__xludf.DUMMYFUNCTION("""COMPUTED_VALUE"""),10827.0)</f>
        <v>10827</v>
      </c>
      <c r="F51" s="2" t="str">
        <f>IFERROR(__xludf.DUMMYFUNCTION("""COMPUTED_VALUE"""),"+9")</f>
        <v>+9</v>
      </c>
      <c r="G51" s="3">
        <f>IFERROR(__xludf.DUMMYFUNCTION("""COMPUTED_VALUE"""),811013.0)</f>
        <v>811013</v>
      </c>
      <c r="H51" s="2" t="str">
        <f>IFERROR(__xludf.DUMMYFUNCTION("""COMPUTED_VALUE"""),"+1,033")</f>
        <v>+1,033</v>
      </c>
      <c r="I51" s="3">
        <f>IFERROR(__xludf.DUMMYFUNCTION("""COMPUTED_VALUE"""),14129.0)</f>
        <v>14129</v>
      </c>
      <c r="J51" s="2">
        <f>IFERROR(__xludf.DUMMYFUNCTION("""COMPUTED_VALUE"""),469.0)</f>
        <v>469</v>
      </c>
      <c r="K51" s="3">
        <f>IFERROR(__xludf.DUMMYFUNCTION("""COMPUTED_VALUE"""),80908.0)</f>
        <v>80908</v>
      </c>
      <c r="L51" s="3">
        <f>IFERROR(__xludf.DUMMYFUNCTION("""COMPUTED_VALUE"""),1048.0)</f>
        <v>1048</v>
      </c>
      <c r="M51" s="3">
        <f>IFERROR(__xludf.DUMMYFUNCTION("""COMPUTED_VALUE"""),1.040437E7)</f>
        <v>10404370</v>
      </c>
      <c r="N51" s="3">
        <f>IFERROR(__xludf.DUMMYFUNCTION("""COMPUTED_VALUE"""),1006973.0)</f>
        <v>1006973</v>
      </c>
      <c r="O51" s="3">
        <f>IFERROR(__xludf.DUMMYFUNCTION("""COMPUTED_VALUE"""),1.0332325E7)</f>
        <v>10332325</v>
      </c>
      <c r="P51" s="2" t="str">
        <f>IFERROR(__xludf.DUMMYFUNCTION("""COMPUTED_VALUE"""),"Asia")</f>
        <v>Asia</v>
      </c>
      <c r="Q51" s="2">
        <f>IFERROR(__xludf.DUMMYFUNCTION("""COMPUTED_VALUE"""),12.0)</f>
        <v>12</v>
      </c>
      <c r="R51" s="2">
        <f>IFERROR(__xludf.DUMMYFUNCTION("""COMPUTED_VALUE"""),954.0)</f>
        <v>954</v>
      </c>
      <c r="S51" s="2">
        <f>IFERROR(__xludf.DUMMYFUNCTION("""COMPUTED_VALUE"""),1.0)</f>
        <v>1</v>
      </c>
      <c r="T51" s="2">
        <f>IFERROR(__xludf.DUMMYFUNCTION("""COMPUTED_VALUE"""),115.0)</f>
        <v>115</v>
      </c>
      <c r="U51" s="2">
        <f>IFERROR(__xludf.DUMMYFUNCTION("""COMPUTED_VALUE"""),0.9)</f>
        <v>0.9</v>
      </c>
      <c r="V51" s="3">
        <f>IFERROR(__xludf.DUMMYFUNCTION("""COMPUTED_VALUE"""),1367.0)</f>
        <v>1367</v>
      </c>
    </row>
    <row r="52" ht="15.75" customHeight="1">
      <c r="A52" s="2">
        <f>IFERROR(__xludf.DUMMYFUNCTION("""COMPUTED_VALUE"""),43.0)</f>
        <v>43</v>
      </c>
      <c r="B52" s="2" t="str">
        <f>IFERROR(__xludf.DUMMYFUNCTION("""COMPUTED_VALUE"""),"Hungary")</f>
        <v>Hungary</v>
      </c>
      <c r="C52" s="3">
        <f>IFERROR(__xludf.DUMMYFUNCTION("""COMPUTED_VALUE"""),829911.0)</f>
        <v>829911</v>
      </c>
      <c r="D52" s="2" t="str">
        <f>IFERROR(__xludf.DUMMYFUNCTION("""COMPUTED_VALUE"""),"+455")</f>
        <v>+455</v>
      </c>
      <c r="E52" s="3">
        <f>IFERROR(__xludf.DUMMYFUNCTION("""COMPUTED_VALUE"""),30320.0)</f>
        <v>30320</v>
      </c>
      <c r="F52" s="2" t="str">
        <f>IFERROR(__xludf.DUMMYFUNCTION("""COMPUTED_VALUE"""),"+17")</f>
        <v>+17</v>
      </c>
      <c r="G52" s="3">
        <f>IFERROR(__xludf.DUMMYFUNCTION("""COMPUTED_VALUE"""),789322.0)</f>
        <v>789322</v>
      </c>
      <c r="H52" s="2" t="str">
        <f>IFERROR(__xludf.DUMMYFUNCTION("""COMPUTED_VALUE"""),"+312")</f>
        <v>+312</v>
      </c>
      <c r="I52" s="3">
        <f>IFERROR(__xludf.DUMMYFUNCTION("""COMPUTED_VALUE"""),10269.0)</f>
        <v>10269</v>
      </c>
      <c r="J52" s="2">
        <f>IFERROR(__xludf.DUMMYFUNCTION("""COMPUTED_VALUE"""),110.0)</f>
        <v>110</v>
      </c>
      <c r="K52" s="3">
        <f>IFERROR(__xludf.DUMMYFUNCTION("""COMPUTED_VALUE"""),86189.0)</f>
        <v>86189</v>
      </c>
      <c r="L52" s="3">
        <f>IFERROR(__xludf.DUMMYFUNCTION("""COMPUTED_VALUE"""),3149.0)</f>
        <v>3149</v>
      </c>
      <c r="M52" s="3">
        <f>IFERROR(__xludf.DUMMYFUNCTION("""COMPUTED_VALUE"""),7079804.0)</f>
        <v>7079804</v>
      </c>
      <c r="N52" s="3">
        <f>IFERROR(__xludf.DUMMYFUNCTION("""COMPUTED_VALUE"""),735257.0)</f>
        <v>735257</v>
      </c>
      <c r="O52" s="3">
        <f>IFERROR(__xludf.DUMMYFUNCTION("""COMPUTED_VALUE"""),9629021.0)</f>
        <v>9629021</v>
      </c>
      <c r="P52" s="2" t="str">
        <f>IFERROR(__xludf.DUMMYFUNCTION("""COMPUTED_VALUE"""),"Europe")</f>
        <v>Europe</v>
      </c>
      <c r="Q52" s="2">
        <f>IFERROR(__xludf.DUMMYFUNCTION("""COMPUTED_VALUE"""),12.0)</f>
        <v>12</v>
      </c>
      <c r="R52" s="2">
        <f>IFERROR(__xludf.DUMMYFUNCTION("""COMPUTED_VALUE"""),318.0)</f>
        <v>318</v>
      </c>
      <c r="S52" s="2">
        <f>IFERROR(__xludf.DUMMYFUNCTION("""COMPUTED_VALUE"""),1.0)</f>
        <v>1</v>
      </c>
      <c r="T52" s="2">
        <f>IFERROR(__xludf.DUMMYFUNCTION("""COMPUTED_VALUE"""),47.0)</f>
        <v>47</v>
      </c>
      <c r="U52" s="2">
        <f>IFERROR(__xludf.DUMMYFUNCTION("""COMPUTED_VALUE"""),2.0)</f>
        <v>2</v>
      </c>
      <c r="V52" s="3">
        <f>IFERROR(__xludf.DUMMYFUNCTION("""COMPUTED_VALUE"""),1066.0)</f>
        <v>1066</v>
      </c>
    </row>
    <row r="53" ht="15.75" customHeight="1">
      <c r="A53" s="2">
        <f>IFERROR(__xludf.DUMMYFUNCTION("""COMPUTED_VALUE"""),44.0)</f>
        <v>44</v>
      </c>
      <c r="B53" s="2" t="str">
        <f>IFERROR(__xludf.DUMMYFUNCTION("""COMPUTED_VALUE"""),"Nepal")</f>
        <v>Nepal</v>
      </c>
      <c r="C53" s="3">
        <f>IFERROR(__xludf.DUMMYFUNCTION("""COMPUTED_VALUE"""),803552.0)</f>
        <v>803552</v>
      </c>
      <c r="D53" s="2" t="str">
        <f>IFERROR(__xludf.DUMMYFUNCTION("""COMPUTED_VALUE"""),"+691")</f>
        <v>+691</v>
      </c>
      <c r="E53" s="3">
        <f>IFERROR(__xludf.DUMMYFUNCTION("""COMPUTED_VALUE"""),11257.0)</f>
        <v>11257</v>
      </c>
      <c r="F53" s="2" t="str">
        <f>IFERROR(__xludf.DUMMYFUNCTION("""COMPUTED_VALUE"""),"+14")</f>
        <v>+14</v>
      </c>
      <c r="G53" s="3">
        <f>IFERROR(__xludf.DUMMYFUNCTION("""COMPUTED_VALUE"""),777741.0)</f>
        <v>777741</v>
      </c>
      <c r="H53" s="2" t="str">
        <f>IFERROR(__xludf.DUMMYFUNCTION("""COMPUTED_VALUE"""),"+910")</f>
        <v>+910</v>
      </c>
      <c r="I53" s="3">
        <f>IFERROR(__xludf.DUMMYFUNCTION("""COMPUTED_VALUE"""),14554.0)</f>
        <v>14554</v>
      </c>
      <c r="J53" s="2"/>
      <c r="K53" s="3">
        <f>IFERROR(__xludf.DUMMYFUNCTION("""COMPUTED_VALUE"""),26961.0)</f>
        <v>26961</v>
      </c>
      <c r="L53" s="2">
        <f>IFERROR(__xludf.DUMMYFUNCTION("""COMPUTED_VALUE"""),378.0)</f>
        <v>378</v>
      </c>
      <c r="M53" s="3">
        <f>IFERROR(__xludf.DUMMYFUNCTION("""COMPUTED_VALUE"""),4303231.0)</f>
        <v>4303231</v>
      </c>
      <c r="N53" s="3">
        <f>IFERROR(__xludf.DUMMYFUNCTION("""COMPUTED_VALUE"""),144382.0)</f>
        <v>144382</v>
      </c>
      <c r="O53" s="3">
        <f>IFERROR(__xludf.DUMMYFUNCTION("""COMPUTED_VALUE"""),2.9804406E7)</f>
        <v>29804406</v>
      </c>
      <c r="P53" s="2" t="str">
        <f>IFERROR(__xludf.DUMMYFUNCTION("""COMPUTED_VALUE"""),"Asia")</f>
        <v>Asia</v>
      </c>
      <c r="Q53" s="2">
        <f>IFERROR(__xludf.DUMMYFUNCTION("""COMPUTED_VALUE"""),37.0)</f>
        <v>37</v>
      </c>
      <c r="R53" s="3">
        <f>IFERROR(__xludf.DUMMYFUNCTION("""COMPUTED_VALUE"""),2648.0)</f>
        <v>2648</v>
      </c>
      <c r="S53" s="2">
        <f>IFERROR(__xludf.DUMMYFUNCTION("""COMPUTED_VALUE"""),7.0)</f>
        <v>7</v>
      </c>
      <c r="T53" s="2">
        <f>IFERROR(__xludf.DUMMYFUNCTION("""COMPUTED_VALUE"""),23.0)</f>
        <v>23</v>
      </c>
      <c r="U53" s="2">
        <f>IFERROR(__xludf.DUMMYFUNCTION("""COMPUTED_VALUE"""),0.5)</f>
        <v>0.5</v>
      </c>
      <c r="V53" s="2">
        <f>IFERROR(__xludf.DUMMYFUNCTION("""COMPUTED_VALUE"""),488.0)</f>
        <v>488</v>
      </c>
    </row>
    <row r="54" ht="15.75" customHeight="1">
      <c r="A54" s="2">
        <f>IFERROR(__xludf.DUMMYFUNCTION("""COMPUTED_VALUE"""),45.0)</f>
        <v>45</v>
      </c>
      <c r="B54" s="2" t="str">
        <f>IFERROR(__xludf.DUMMYFUNCTION("""COMPUTED_VALUE"""),"Austria")</f>
        <v>Austria</v>
      </c>
      <c r="C54" s="3">
        <f>IFERROR(__xludf.DUMMYFUNCTION("""COMPUTED_VALUE"""),763928.0)</f>
        <v>763928</v>
      </c>
      <c r="D54" s="2" t="str">
        <f>IFERROR(__xludf.DUMMYFUNCTION("""COMPUTED_VALUE"""),"+1,390")</f>
        <v>+1,390</v>
      </c>
      <c r="E54" s="3">
        <f>IFERROR(__xludf.DUMMYFUNCTION("""COMPUTED_VALUE"""),11120.0)</f>
        <v>11120</v>
      </c>
      <c r="F54" s="2" t="str">
        <f>IFERROR(__xludf.DUMMYFUNCTION("""COMPUTED_VALUE"""),"+14")</f>
        <v>+14</v>
      </c>
      <c r="G54" s="3">
        <f>IFERROR(__xludf.DUMMYFUNCTION("""COMPUTED_VALUE"""),733437.0)</f>
        <v>733437</v>
      </c>
      <c r="H54" s="2" t="str">
        <f>IFERROR(__xludf.DUMMYFUNCTION("""COMPUTED_VALUE"""),"+1,739")</f>
        <v>+1,739</v>
      </c>
      <c r="I54" s="3">
        <f>IFERROR(__xludf.DUMMYFUNCTION("""COMPUTED_VALUE"""),19371.0)</f>
        <v>19371</v>
      </c>
      <c r="J54" s="2">
        <f>IFERROR(__xludf.DUMMYFUNCTION("""COMPUTED_VALUE"""),218.0)</f>
        <v>218</v>
      </c>
      <c r="K54" s="3">
        <f>IFERROR(__xludf.DUMMYFUNCTION("""COMPUTED_VALUE"""),84207.0)</f>
        <v>84207</v>
      </c>
      <c r="L54" s="3">
        <f>IFERROR(__xludf.DUMMYFUNCTION("""COMPUTED_VALUE"""),1226.0)</f>
        <v>1226</v>
      </c>
      <c r="M54" s="3">
        <f>IFERROR(__xludf.DUMMYFUNCTION("""COMPUTED_VALUE"""),9.0965763E7)</f>
        <v>90965763</v>
      </c>
      <c r="N54" s="3">
        <f>IFERROR(__xludf.DUMMYFUNCTION("""COMPUTED_VALUE"""),1.0027117E7)</f>
        <v>10027117</v>
      </c>
      <c r="O54" s="3">
        <f>IFERROR(__xludf.DUMMYFUNCTION("""COMPUTED_VALUE"""),9071976.0)</f>
        <v>9071976</v>
      </c>
      <c r="P54" s="2" t="str">
        <f>IFERROR(__xludf.DUMMYFUNCTION("""COMPUTED_VALUE"""),"Europe")</f>
        <v>Europe</v>
      </c>
      <c r="Q54" s="2">
        <f>IFERROR(__xludf.DUMMYFUNCTION("""COMPUTED_VALUE"""),12.0)</f>
        <v>12</v>
      </c>
      <c r="R54" s="2">
        <f>IFERROR(__xludf.DUMMYFUNCTION("""COMPUTED_VALUE"""),816.0)</f>
        <v>816</v>
      </c>
      <c r="S54" s="2">
        <f>IFERROR(__xludf.DUMMYFUNCTION("""COMPUTED_VALUE"""),0.0)</f>
        <v>0</v>
      </c>
      <c r="T54" s="2">
        <f>IFERROR(__xludf.DUMMYFUNCTION("""COMPUTED_VALUE"""),153.0)</f>
        <v>153</v>
      </c>
      <c r="U54" s="2">
        <f>IFERROR(__xludf.DUMMYFUNCTION("""COMPUTED_VALUE"""),2.0)</f>
        <v>2</v>
      </c>
      <c r="V54" s="3">
        <f>IFERROR(__xludf.DUMMYFUNCTION("""COMPUTED_VALUE"""),2135.0)</f>
        <v>2135</v>
      </c>
    </row>
    <row r="55" ht="15.75" customHeight="1">
      <c r="A55" s="2">
        <f>IFERROR(__xludf.DUMMYFUNCTION("""COMPUTED_VALUE"""),46.0)</f>
        <v>46</v>
      </c>
      <c r="B55" s="2" t="str">
        <f>IFERROR(__xludf.DUMMYFUNCTION("""COMPUTED_VALUE"""),"UAE")</f>
        <v>UAE</v>
      </c>
      <c r="C55" s="3">
        <f>IFERROR(__xludf.DUMMYFUNCTION("""COMPUTED_VALUE"""),738026.0)</f>
        <v>738026</v>
      </c>
      <c r="D55" s="2" t="str">
        <f>IFERROR(__xludf.DUMMYFUNCTION("""COMPUTED_VALUE"""),"+136")</f>
        <v>+136</v>
      </c>
      <c r="E55" s="3">
        <f>IFERROR(__xludf.DUMMYFUNCTION("""COMPUTED_VALUE"""),2115.0)</f>
        <v>2115</v>
      </c>
      <c r="F55" s="2" t="str">
        <f>IFERROR(__xludf.DUMMYFUNCTION("""COMPUTED_VALUE"""),"+1")</f>
        <v>+1</v>
      </c>
      <c r="G55" s="3">
        <f>IFERROR(__xludf.DUMMYFUNCTION("""COMPUTED_VALUE"""),731469.0)</f>
        <v>731469</v>
      </c>
      <c r="H55" s="2" t="str">
        <f>IFERROR(__xludf.DUMMYFUNCTION("""COMPUTED_VALUE"""),"+174")</f>
        <v>+174</v>
      </c>
      <c r="I55" s="3">
        <f>IFERROR(__xludf.DUMMYFUNCTION("""COMPUTED_VALUE"""),4442.0)</f>
        <v>4442</v>
      </c>
      <c r="J55" s="2"/>
      <c r="K55" s="3">
        <f>IFERROR(__xludf.DUMMYFUNCTION("""COMPUTED_VALUE"""),73488.0)</f>
        <v>73488</v>
      </c>
      <c r="L55" s="2">
        <f>IFERROR(__xludf.DUMMYFUNCTION("""COMPUTED_VALUE"""),211.0)</f>
        <v>211</v>
      </c>
      <c r="M55" s="3">
        <f>IFERROR(__xludf.DUMMYFUNCTION("""COMPUTED_VALUE"""),8.7596605E7)</f>
        <v>87596605</v>
      </c>
      <c r="N55" s="3">
        <f>IFERROR(__xludf.DUMMYFUNCTION("""COMPUTED_VALUE"""),8722356.0)</f>
        <v>8722356</v>
      </c>
      <c r="O55" s="3">
        <f>IFERROR(__xludf.DUMMYFUNCTION("""COMPUTED_VALUE"""),1.0042769E7)</f>
        <v>10042769</v>
      </c>
      <c r="P55" s="2" t="str">
        <f>IFERROR(__xludf.DUMMYFUNCTION("""COMPUTED_VALUE"""),"Asia")</f>
        <v>Asia</v>
      </c>
      <c r="Q55" s="2">
        <f>IFERROR(__xludf.DUMMYFUNCTION("""COMPUTED_VALUE"""),14.0)</f>
        <v>14</v>
      </c>
      <c r="R55" s="3">
        <f>IFERROR(__xludf.DUMMYFUNCTION("""COMPUTED_VALUE"""),4748.0)</f>
        <v>4748</v>
      </c>
      <c r="S55" s="2">
        <f>IFERROR(__xludf.DUMMYFUNCTION("""COMPUTED_VALUE"""),0.0)</f>
        <v>0</v>
      </c>
      <c r="T55" s="2">
        <f>IFERROR(__xludf.DUMMYFUNCTION("""COMPUTED_VALUE"""),14.0)</f>
        <v>14</v>
      </c>
      <c r="U55" s="2">
        <f>IFERROR(__xludf.DUMMYFUNCTION("""COMPUTED_VALUE"""),0.1)</f>
        <v>0.1</v>
      </c>
      <c r="V55" s="2">
        <f>IFERROR(__xludf.DUMMYFUNCTION("""COMPUTED_VALUE"""),442.0)</f>
        <v>442</v>
      </c>
    </row>
    <row r="56" ht="15.75" customHeight="1">
      <c r="A56" s="2">
        <f>IFERROR(__xludf.DUMMYFUNCTION("""COMPUTED_VALUE"""),47.0)</f>
        <v>47</v>
      </c>
      <c r="B56" s="2" t="str">
        <f>IFERROR(__xludf.DUMMYFUNCTION("""COMPUTED_VALUE"""),"Tunisia")</f>
        <v>Tunisia</v>
      </c>
      <c r="C56" s="3">
        <f>IFERROR(__xludf.DUMMYFUNCTION("""COMPUTED_VALUE"""),709866.0)</f>
        <v>709866</v>
      </c>
      <c r="D56" s="2"/>
      <c r="E56" s="3">
        <f>IFERROR(__xludf.DUMMYFUNCTION("""COMPUTED_VALUE"""),25039.0)</f>
        <v>25039</v>
      </c>
      <c r="F56" s="2"/>
      <c r="G56" s="3">
        <f>IFERROR(__xludf.DUMMYFUNCTION("""COMPUTED_VALUE"""),682624.0)</f>
        <v>682624</v>
      </c>
      <c r="H56" s="2"/>
      <c r="I56" s="3">
        <f>IFERROR(__xludf.DUMMYFUNCTION("""COMPUTED_VALUE"""),2203.0)</f>
        <v>2203</v>
      </c>
      <c r="J56" s="2">
        <f>IFERROR(__xludf.DUMMYFUNCTION("""COMPUTED_VALUE"""),205.0)</f>
        <v>205</v>
      </c>
      <c r="K56" s="3">
        <f>IFERROR(__xludf.DUMMYFUNCTION("""COMPUTED_VALUE"""),59272.0)</f>
        <v>59272</v>
      </c>
      <c r="L56" s="3">
        <f>IFERROR(__xludf.DUMMYFUNCTION("""COMPUTED_VALUE"""),2091.0)</f>
        <v>2091</v>
      </c>
      <c r="M56" s="3">
        <f>IFERROR(__xludf.DUMMYFUNCTION("""COMPUTED_VALUE"""),2995453.0)</f>
        <v>2995453</v>
      </c>
      <c r="N56" s="3">
        <f>IFERROR(__xludf.DUMMYFUNCTION("""COMPUTED_VALUE"""),250114.0)</f>
        <v>250114</v>
      </c>
      <c r="O56" s="3">
        <f>IFERROR(__xludf.DUMMYFUNCTION("""COMPUTED_VALUE"""),1.1976337E7)</f>
        <v>11976337</v>
      </c>
      <c r="P56" s="2" t="str">
        <f>IFERROR(__xludf.DUMMYFUNCTION("""COMPUTED_VALUE"""),"Africa")</f>
        <v>Africa</v>
      </c>
      <c r="Q56" s="2">
        <f>IFERROR(__xludf.DUMMYFUNCTION("""COMPUTED_VALUE"""),17.0)</f>
        <v>17</v>
      </c>
      <c r="R56" s="2">
        <f>IFERROR(__xludf.DUMMYFUNCTION("""COMPUTED_VALUE"""),478.0)</f>
        <v>478</v>
      </c>
      <c r="S56" s="2">
        <f>IFERROR(__xludf.DUMMYFUNCTION("""COMPUTED_VALUE"""),4.0)</f>
        <v>4</v>
      </c>
      <c r="T56" s="2"/>
      <c r="U56" s="2"/>
      <c r="V56" s="2">
        <f>IFERROR(__xludf.DUMMYFUNCTION("""COMPUTED_VALUE"""),184.0)</f>
        <v>184</v>
      </c>
    </row>
    <row r="57" ht="15.75" customHeight="1">
      <c r="A57" s="2">
        <f>IFERROR(__xludf.DUMMYFUNCTION("""COMPUTED_VALUE"""),48.0)</f>
        <v>48</v>
      </c>
      <c r="B57" s="2" t="str">
        <f>IFERROR(__xludf.DUMMYFUNCTION("""COMPUTED_VALUE"""),"Greece")</f>
        <v>Greece</v>
      </c>
      <c r="C57" s="3">
        <f>IFERROR(__xludf.DUMMYFUNCTION("""COMPUTED_VALUE"""),682394.0)</f>
        <v>682394</v>
      </c>
      <c r="D57" s="2" t="str">
        <f>IFERROR(__xludf.DUMMYFUNCTION("""COMPUTED_VALUE"""),"+3,065")</f>
        <v>+3,065</v>
      </c>
      <c r="E57" s="3">
        <f>IFERROR(__xludf.DUMMYFUNCTION("""COMPUTED_VALUE"""),15210.0)</f>
        <v>15210</v>
      </c>
      <c r="F57" s="2" t="str">
        <f>IFERROR(__xludf.DUMMYFUNCTION("""COMPUTED_VALUE"""),"+33")</f>
        <v>+33</v>
      </c>
      <c r="G57" s="3">
        <f>IFERROR(__xludf.DUMMYFUNCTION("""COMPUTED_VALUE"""),640590.0)</f>
        <v>640590</v>
      </c>
      <c r="H57" s="2" t="str">
        <f>IFERROR(__xludf.DUMMYFUNCTION("""COMPUTED_VALUE"""),"+2,190")</f>
        <v>+2,190</v>
      </c>
      <c r="I57" s="3">
        <f>IFERROR(__xludf.DUMMYFUNCTION("""COMPUTED_VALUE"""),26594.0)</f>
        <v>26594</v>
      </c>
      <c r="J57" s="2">
        <f>IFERROR(__xludf.DUMMYFUNCTION("""COMPUTED_VALUE"""),336.0)</f>
        <v>336</v>
      </c>
      <c r="K57" s="3">
        <f>IFERROR(__xludf.DUMMYFUNCTION("""COMPUTED_VALUE"""),65881.0)</f>
        <v>65881</v>
      </c>
      <c r="L57" s="3">
        <f>IFERROR(__xludf.DUMMYFUNCTION("""COMPUTED_VALUE"""),1468.0)</f>
        <v>1468</v>
      </c>
      <c r="M57" s="3">
        <f>IFERROR(__xludf.DUMMYFUNCTION("""COMPUTED_VALUE"""),2.2434404E7)</f>
        <v>22434404</v>
      </c>
      <c r="N57" s="3">
        <f>IFERROR(__xludf.DUMMYFUNCTION("""COMPUTED_VALUE"""),2165898.0)</f>
        <v>2165898</v>
      </c>
      <c r="O57" s="3">
        <f>IFERROR(__xludf.DUMMYFUNCTION("""COMPUTED_VALUE"""),1.0358015E7)</f>
        <v>10358015</v>
      </c>
      <c r="P57" s="2" t="str">
        <f>IFERROR(__xludf.DUMMYFUNCTION("""COMPUTED_VALUE"""),"Europe")</f>
        <v>Europe</v>
      </c>
      <c r="Q57" s="2">
        <f>IFERROR(__xludf.DUMMYFUNCTION("""COMPUTED_VALUE"""),15.0)</f>
        <v>15</v>
      </c>
      <c r="R57" s="2">
        <f>IFERROR(__xludf.DUMMYFUNCTION("""COMPUTED_VALUE"""),681.0)</f>
        <v>681</v>
      </c>
      <c r="S57" s="2">
        <f>IFERROR(__xludf.DUMMYFUNCTION("""COMPUTED_VALUE"""),0.0)</f>
        <v>0</v>
      </c>
      <c r="T57" s="2">
        <f>IFERROR(__xludf.DUMMYFUNCTION("""COMPUTED_VALUE"""),296.0)</f>
        <v>296</v>
      </c>
      <c r="U57" s="2">
        <f>IFERROR(__xludf.DUMMYFUNCTION("""COMPUTED_VALUE"""),3.0)</f>
        <v>3</v>
      </c>
      <c r="V57" s="3">
        <f>IFERROR(__xludf.DUMMYFUNCTION("""COMPUTED_VALUE"""),2567.0)</f>
        <v>2567</v>
      </c>
    </row>
    <row r="58" ht="15.75" customHeight="1">
      <c r="A58" s="2">
        <f>IFERROR(__xludf.DUMMYFUNCTION("""COMPUTED_VALUE"""),49.0)</f>
        <v>49</v>
      </c>
      <c r="B58" s="2" t="str">
        <f>IFERROR(__xludf.DUMMYFUNCTION("""COMPUTED_VALUE"""),"Georgia")</f>
        <v>Georgia</v>
      </c>
      <c r="C58" s="3">
        <f>IFERROR(__xludf.DUMMYFUNCTION("""COMPUTED_VALUE"""),640358.0)</f>
        <v>640358</v>
      </c>
      <c r="D58" s="2" t="str">
        <f>IFERROR(__xludf.DUMMYFUNCTION("""COMPUTED_VALUE"""),"+4,775")</f>
        <v>+4,775</v>
      </c>
      <c r="E58" s="3">
        <f>IFERROR(__xludf.DUMMYFUNCTION("""COMPUTED_VALUE"""),9306.0)</f>
        <v>9306</v>
      </c>
      <c r="F58" s="2" t="str">
        <f>IFERROR(__xludf.DUMMYFUNCTION("""COMPUTED_VALUE"""),"+37")</f>
        <v>+37</v>
      </c>
      <c r="G58" s="3">
        <f>IFERROR(__xludf.DUMMYFUNCTION("""COMPUTED_VALUE"""),603995.0)</f>
        <v>603995</v>
      </c>
      <c r="H58" s="2" t="str">
        <f>IFERROR(__xludf.DUMMYFUNCTION("""COMPUTED_VALUE"""),"+1,623")</f>
        <v>+1,623</v>
      </c>
      <c r="I58" s="3">
        <f>IFERROR(__xludf.DUMMYFUNCTION("""COMPUTED_VALUE"""),27057.0)</f>
        <v>27057</v>
      </c>
      <c r="J58" s="2"/>
      <c r="K58" s="3">
        <f>IFERROR(__xludf.DUMMYFUNCTION("""COMPUTED_VALUE"""),160919.0)</f>
        <v>160919</v>
      </c>
      <c r="L58" s="3">
        <f>IFERROR(__xludf.DUMMYFUNCTION("""COMPUTED_VALUE"""),2339.0)</f>
        <v>2339</v>
      </c>
      <c r="M58" s="3">
        <f>IFERROR(__xludf.DUMMYFUNCTION("""COMPUTED_VALUE"""),9344485.0)</f>
        <v>9344485</v>
      </c>
      <c r="N58" s="3">
        <f>IFERROR(__xludf.DUMMYFUNCTION("""COMPUTED_VALUE"""),2348222.0)</f>
        <v>2348222</v>
      </c>
      <c r="O58" s="3">
        <f>IFERROR(__xludf.DUMMYFUNCTION("""COMPUTED_VALUE"""),3979388.0)</f>
        <v>3979388</v>
      </c>
      <c r="P58" s="2" t="str">
        <f>IFERROR(__xludf.DUMMYFUNCTION("""COMPUTED_VALUE"""),"Asia")</f>
        <v>Asia</v>
      </c>
      <c r="Q58" s="2">
        <f>IFERROR(__xludf.DUMMYFUNCTION("""COMPUTED_VALUE"""),6.0)</f>
        <v>6</v>
      </c>
      <c r="R58" s="2">
        <f>IFERROR(__xludf.DUMMYFUNCTION("""COMPUTED_VALUE"""),428.0)</f>
        <v>428</v>
      </c>
      <c r="S58" s="2">
        <f>IFERROR(__xludf.DUMMYFUNCTION("""COMPUTED_VALUE"""),0.0)</f>
        <v>0</v>
      </c>
      <c r="T58" s="3">
        <f>IFERROR(__xludf.DUMMYFUNCTION("""COMPUTED_VALUE"""),1200.0)</f>
        <v>1200</v>
      </c>
      <c r="U58" s="2">
        <f>IFERROR(__xludf.DUMMYFUNCTION("""COMPUTED_VALUE"""),9.0)</f>
        <v>9</v>
      </c>
      <c r="V58" s="3">
        <f>IFERROR(__xludf.DUMMYFUNCTION("""COMPUTED_VALUE"""),6799.0)</f>
        <v>6799</v>
      </c>
    </row>
    <row r="59" ht="15.75" customHeight="1">
      <c r="A59" s="2">
        <f>IFERROR(__xludf.DUMMYFUNCTION("""COMPUTED_VALUE"""),50.0)</f>
        <v>50</v>
      </c>
      <c r="B59" s="2" t="str">
        <f>IFERROR(__xludf.DUMMYFUNCTION("""COMPUTED_VALUE"""),"Lebanon")</f>
        <v>Lebanon</v>
      </c>
      <c r="C59" s="3">
        <f>IFERROR(__xludf.DUMMYFUNCTION("""COMPUTED_VALUE"""),630382.0)</f>
        <v>630382</v>
      </c>
      <c r="D59" s="2"/>
      <c r="E59" s="3">
        <f>IFERROR(__xludf.DUMMYFUNCTION("""COMPUTED_VALUE"""),8389.0)</f>
        <v>8389</v>
      </c>
      <c r="F59" s="2"/>
      <c r="G59" s="3">
        <f>IFERROR(__xludf.DUMMYFUNCTION("""COMPUTED_VALUE"""),604324.0)</f>
        <v>604324</v>
      </c>
      <c r="H59" s="2"/>
      <c r="I59" s="3">
        <f>IFERROR(__xludf.DUMMYFUNCTION("""COMPUTED_VALUE"""),17669.0)</f>
        <v>17669</v>
      </c>
      <c r="J59" s="2">
        <f>IFERROR(__xludf.DUMMYFUNCTION("""COMPUTED_VALUE"""),200.0)</f>
        <v>200</v>
      </c>
      <c r="K59" s="3">
        <f>IFERROR(__xludf.DUMMYFUNCTION("""COMPUTED_VALUE"""),92889.0)</f>
        <v>92889</v>
      </c>
      <c r="L59" s="3">
        <f>IFERROR(__xludf.DUMMYFUNCTION("""COMPUTED_VALUE"""),1236.0)</f>
        <v>1236</v>
      </c>
      <c r="M59" s="3">
        <f>IFERROR(__xludf.DUMMYFUNCTION("""COMPUTED_VALUE"""),4780275.0)</f>
        <v>4780275</v>
      </c>
      <c r="N59" s="3">
        <f>IFERROR(__xludf.DUMMYFUNCTION("""COMPUTED_VALUE"""),704390.0)</f>
        <v>704390</v>
      </c>
      <c r="O59" s="3">
        <f>IFERROR(__xludf.DUMMYFUNCTION("""COMPUTED_VALUE"""),6786400.0)</f>
        <v>6786400</v>
      </c>
      <c r="P59" s="2" t="str">
        <f>IFERROR(__xludf.DUMMYFUNCTION("""COMPUTED_VALUE"""),"Asia")</f>
        <v>Asia</v>
      </c>
      <c r="Q59" s="2">
        <f>IFERROR(__xludf.DUMMYFUNCTION("""COMPUTED_VALUE"""),11.0)</f>
        <v>11</v>
      </c>
      <c r="R59" s="2">
        <f>IFERROR(__xludf.DUMMYFUNCTION("""COMPUTED_VALUE"""),809.0)</f>
        <v>809</v>
      </c>
      <c r="S59" s="2">
        <f>IFERROR(__xludf.DUMMYFUNCTION("""COMPUTED_VALUE"""),1.0)</f>
        <v>1</v>
      </c>
      <c r="T59" s="2"/>
      <c r="U59" s="2"/>
      <c r="V59" s="3">
        <f>IFERROR(__xludf.DUMMYFUNCTION("""COMPUTED_VALUE"""),2604.0)</f>
        <v>2604</v>
      </c>
    </row>
    <row r="60" ht="15.75" customHeight="1">
      <c r="A60" s="2">
        <f>IFERROR(__xludf.DUMMYFUNCTION("""COMPUTED_VALUE"""),51.0)</f>
        <v>51</v>
      </c>
      <c r="B60" s="2" t="str">
        <f>IFERROR(__xludf.DUMMYFUNCTION("""COMPUTED_VALUE"""),"Guatemala")</f>
        <v>Guatemala</v>
      </c>
      <c r="C60" s="3">
        <f>IFERROR(__xludf.DUMMYFUNCTION("""COMPUTED_VALUE"""),581498.0)</f>
        <v>581498</v>
      </c>
      <c r="D60" s="2" t="str">
        <f>IFERROR(__xludf.DUMMYFUNCTION("""COMPUTED_VALUE"""),"+1,724")</f>
        <v>+1,724</v>
      </c>
      <c r="E60" s="3">
        <f>IFERROR(__xludf.DUMMYFUNCTION("""COMPUTED_VALUE"""),14118.0)</f>
        <v>14118</v>
      </c>
      <c r="F60" s="2" t="str">
        <f>IFERROR(__xludf.DUMMYFUNCTION("""COMPUTED_VALUE"""),"+52")</f>
        <v>+52</v>
      </c>
      <c r="G60" s="3">
        <f>IFERROR(__xludf.DUMMYFUNCTION("""COMPUTED_VALUE"""),551431.0)</f>
        <v>551431</v>
      </c>
      <c r="H60" s="2" t="str">
        <f>IFERROR(__xludf.DUMMYFUNCTION("""COMPUTED_VALUE"""),"+3,178")</f>
        <v>+3,178</v>
      </c>
      <c r="I60" s="3">
        <f>IFERROR(__xludf.DUMMYFUNCTION("""COMPUTED_VALUE"""),15949.0)</f>
        <v>15949</v>
      </c>
      <c r="J60" s="2">
        <f>IFERROR(__xludf.DUMMYFUNCTION("""COMPUTED_VALUE"""),5.0)</f>
        <v>5</v>
      </c>
      <c r="K60" s="3">
        <f>IFERROR(__xludf.DUMMYFUNCTION("""COMPUTED_VALUE"""),31710.0)</f>
        <v>31710</v>
      </c>
      <c r="L60" s="2">
        <f>IFERROR(__xludf.DUMMYFUNCTION("""COMPUTED_VALUE"""),770.0)</f>
        <v>770</v>
      </c>
      <c r="M60" s="3">
        <f>IFERROR(__xludf.DUMMYFUNCTION("""COMPUTED_VALUE"""),2701561.0)</f>
        <v>2701561</v>
      </c>
      <c r="N60" s="3">
        <f>IFERROR(__xludf.DUMMYFUNCTION("""COMPUTED_VALUE"""),147323.0)</f>
        <v>147323</v>
      </c>
      <c r="O60" s="3">
        <f>IFERROR(__xludf.DUMMYFUNCTION("""COMPUTED_VALUE"""),1.8337715E7)</f>
        <v>18337715</v>
      </c>
      <c r="P60" s="2" t="str">
        <f>IFERROR(__xludf.DUMMYFUNCTION("""COMPUTED_VALUE"""),"North America")</f>
        <v>North America</v>
      </c>
      <c r="Q60" s="2">
        <f>IFERROR(__xludf.DUMMYFUNCTION("""COMPUTED_VALUE"""),32.0)</f>
        <v>32</v>
      </c>
      <c r="R60" s="3">
        <f>IFERROR(__xludf.DUMMYFUNCTION("""COMPUTED_VALUE"""),1299.0)</f>
        <v>1299</v>
      </c>
      <c r="S60" s="2">
        <f>IFERROR(__xludf.DUMMYFUNCTION("""COMPUTED_VALUE"""),7.0)</f>
        <v>7</v>
      </c>
      <c r="T60" s="2">
        <f>IFERROR(__xludf.DUMMYFUNCTION("""COMPUTED_VALUE"""),94.0)</f>
        <v>94</v>
      </c>
      <c r="U60" s="2">
        <f>IFERROR(__xludf.DUMMYFUNCTION("""COMPUTED_VALUE"""),3.0)</f>
        <v>3</v>
      </c>
      <c r="V60" s="3">
        <f>IFERROR(__xludf.DUMMYFUNCTION("""COMPUTED_VALUE"""),870.0)</f>
        <v>870</v>
      </c>
    </row>
    <row r="61" ht="15.75" customHeight="1">
      <c r="A61" s="2">
        <f>IFERROR(__xludf.DUMMYFUNCTION("""COMPUTED_VALUE"""),52.0)</f>
        <v>52</v>
      </c>
      <c r="B61" s="2" t="str">
        <f>IFERROR(__xludf.DUMMYFUNCTION("""COMPUTED_VALUE"""),"Belarus")</f>
        <v>Belarus</v>
      </c>
      <c r="C61" s="3">
        <f>IFERROR(__xludf.DUMMYFUNCTION("""COMPUTED_VALUE"""),561753.0)</f>
        <v>561753</v>
      </c>
      <c r="D61" s="2" t="str">
        <f>IFERROR(__xludf.DUMMYFUNCTION("""COMPUTED_VALUE"""),"+2,038")</f>
        <v>+2,038</v>
      </c>
      <c r="E61" s="3">
        <f>IFERROR(__xludf.DUMMYFUNCTION("""COMPUTED_VALUE"""),4319.0)</f>
        <v>4319</v>
      </c>
      <c r="F61" s="2" t="str">
        <f>IFERROR(__xludf.DUMMYFUNCTION("""COMPUTED_VALUE"""),"+15")</f>
        <v>+15</v>
      </c>
      <c r="G61" s="3">
        <f>IFERROR(__xludf.DUMMYFUNCTION("""COMPUTED_VALUE"""),535790.0)</f>
        <v>535790</v>
      </c>
      <c r="H61" s="2" t="str">
        <f>IFERROR(__xludf.DUMMYFUNCTION("""COMPUTED_VALUE"""),"+1,534")</f>
        <v>+1,534</v>
      </c>
      <c r="I61" s="3">
        <f>IFERROR(__xludf.DUMMYFUNCTION("""COMPUTED_VALUE"""),21644.0)</f>
        <v>21644</v>
      </c>
      <c r="J61" s="2"/>
      <c r="K61" s="3">
        <f>IFERROR(__xludf.DUMMYFUNCTION("""COMPUTED_VALUE"""),59474.0)</f>
        <v>59474</v>
      </c>
      <c r="L61" s="2">
        <f>IFERROR(__xludf.DUMMYFUNCTION("""COMPUTED_VALUE"""),457.0)</f>
        <v>457</v>
      </c>
      <c r="M61" s="3">
        <f>IFERROR(__xludf.DUMMYFUNCTION("""COMPUTED_VALUE"""),8903439.0)</f>
        <v>8903439</v>
      </c>
      <c r="N61" s="3">
        <f>IFERROR(__xludf.DUMMYFUNCTION("""COMPUTED_VALUE"""),942626.0)</f>
        <v>942626</v>
      </c>
      <c r="O61" s="3">
        <f>IFERROR(__xludf.DUMMYFUNCTION("""COMPUTED_VALUE"""),9445354.0)</f>
        <v>9445354</v>
      </c>
      <c r="P61" s="2" t="str">
        <f>IFERROR(__xludf.DUMMYFUNCTION("""COMPUTED_VALUE"""),"Europe")</f>
        <v>Europe</v>
      </c>
      <c r="Q61" s="2">
        <f>IFERROR(__xludf.DUMMYFUNCTION("""COMPUTED_VALUE"""),17.0)</f>
        <v>17</v>
      </c>
      <c r="R61" s="3">
        <f>IFERROR(__xludf.DUMMYFUNCTION("""COMPUTED_VALUE"""),2187.0)</f>
        <v>2187</v>
      </c>
      <c r="S61" s="2">
        <f>IFERROR(__xludf.DUMMYFUNCTION("""COMPUTED_VALUE"""),1.0)</f>
        <v>1</v>
      </c>
      <c r="T61" s="2">
        <f>IFERROR(__xludf.DUMMYFUNCTION("""COMPUTED_VALUE"""),216.0)</f>
        <v>216</v>
      </c>
      <c r="U61" s="2">
        <f>IFERROR(__xludf.DUMMYFUNCTION("""COMPUTED_VALUE"""),2.0)</f>
        <v>2</v>
      </c>
      <c r="V61" s="3">
        <f>IFERROR(__xludf.DUMMYFUNCTION("""COMPUTED_VALUE"""),2291.0)</f>
        <v>2291</v>
      </c>
    </row>
    <row r="62" ht="15.75" customHeight="1">
      <c r="A62" s="2">
        <f>IFERROR(__xludf.DUMMYFUNCTION("""COMPUTED_VALUE"""),53.0)</f>
        <v>53</v>
      </c>
      <c r="B62" s="2" t="str">
        <f>IFERROR(__xludf.DUMMYFUNCTION("""COMPUTED_VALUE"""),"Saudi Arabia")</f>
        <v>Saudi Arabia</v>
      </c>
      <c r="C62" s="3">
        <f>IFERROR(__xludf.DUMMYFUNCTION("""COMPUTED_VALUE"""),547704.0)</f>
        <v>547704</v>
      </c>
      <c r="D62" s="2" t="str">
        <f>IFERROR(__xludf.DUMMYFUNCTION("""COMPUTED_VALUE"""),"+55")</f>
        <v>+55</v>
      </c>
      <c r="E62" s="3">
        <f>IFERROR(__xludf.DUMMYFUNCTION("""COMPUTED_VALUE"""),8751.0)</f>
        <v>8751</v>
      </c>
      <c r="F62" s="2" t="str">
        <f>IFERROR(__xludf.DUMMYFUNCTION("""COMPUTED_VALUE"""),"+3")</f>
        <v>+3</v>
      </c>
      <c r="G62" s="3">
        <f>IFERROR(__xludf.DUMMYFUNCTION("""COMPUTED_VALUE"""),536724.0)</f>
        <v>536724</v>
      </c>
      <c r="H62" s="2" t="str">
        <f>IFERROR(__xludf.DUMMYFUNCTION("""COMPUTED_VALUE"""),"+46")</f>
        <v>+46</v>
      </c>
      <c r="I62" s="3">
        <f>IFERROR(__xludf.DUMMYFUNCTION("""COMPUTED_VALUE"""),2229.0)</f>
        <v>2229</v>
      </c>
      <c r="J62" s="2">
        <f>IFERROR(__xludf.DUMMYFUNCTION("""COMPUTED_VALUE"""),122.0)</f>
        <v>122</v>
      </c>
      <c r="K62" s="3">
        <f>IFERROR(__xludf.DUMMYFUNCTION("""COMPUTED_VALUE"""),15426.0)</f>
        <v>15426</v>
      </c>
      <c r="L62" s="2">
        <f>IFERROR(__xludf.DUMMYFUNCTION("""COMPUTED_VALUE"""),246.0)</f>
        <v>246</v>
      </c>
      <c r="M62" s="3">
        <f>IFERROR(__xludf.DUMMYFUNCTION("""COMPUTED_VALUE"""),2.9484705E7)</f>
        <v>29484705</v>
      </c>
      <c r="N62" s="3">
        <f>IFERROR(__xludf.DUMMYFUNCTION("""COMPUTED_VALUE"""),830442.0)</f>
        <v>830442</v>
      </c>
      <c r="O62" s="3">
        <f>IFERROR(__xludf.DUMMYFUNCTION("""COMPUTED_VALUE"""),3.5504815E7)</f>
        <v>35504815</v>
      </c>
      <c r="P62" s="2" t="str">
        <f>IFERROR(__xludf.DUMMYFUNCTION("""COMPUTED_VALUE"""),"Asia")</f>
        <v>Asia</v>
      </c>
      <c r="Q62" s="2">
        <f>IFERROR(__xludf.DUMMYFUNCTION("""COMPUTED_VALUE"""),65.0)</f>
        <v>65</v>
      </c>
      <c r="R62" s="3">
        <f>IFERROR(__xludf.DUMMYFUNCTION("""COMPUTED_VALUE"""),4057.0)</f>
        <v>4057</v>
      </c>
      <c r="S62" s="2">
        <f>IFERROR(__xludf.DUMMYFUNCTION("""COMPUTED_VALUE"""),1.0)</f>
        <v>1</v>
      </c>
      <c r="T62" s="2">
        <f>IFERROR(__xludf.DUMMYFUNCTION("""COMPUTED_VALUE"""),2.0)</f>
        <v>2</v>
      </c>
      <c r="U62" s="2">
        <f>IFERROR(__xludf.DUMMYFUNCTION("""COMPUTED_VALUE"""),0.08)</f>
        <v>0.08</v>
      </c>
      <c r="V62" s="2">
        <f>IFERROR(__xludf.DUMMYFUNCTION("""COMPUTED_VALUE"""),63.0)</f>
        <v>63</v>
      </c>
    </row>
    <row r="63" ht="15.75" customHeight="1">
      <c r="A63" s="2">
        <f>IFERROR(__xludf.DUMMYFUNCTION("""COMPUTED_VALUE"""),54.0)</f>
        <v>54</v>
      </c>
      <c r="B63" s="2" t="str">
        <f>IFERROR(__xludf.DUMMYFUNCTION("""COMPUTED_VALUE"""),"Costa Rica")</f>
        <v>Costa Rica</v>
      </c>
      <c r="C63" s="3">
        <f>IFERROR(__xludf.DUMMYFUNCTION("""COMPUTED_VALUE"""),546595.0)</f>
        <v>546595</v>
      </c>
      <c r="D63" s="2"/>
      <c r="E63" s="3">
        <f>IFERROR(__xludf.DUMMYFUNCTION("""COMPUTED_VALUE"""),6698.0)</f>
        <v>6698</v>
      </c>
      <c r="F63" s="2"/>
      <c r="G63" s="3">
        <f>IFERROR(__xludf.DUMMYFUNCTION("""COMPUTED_VALUE"""),461980.0)</f>
        <v>461980</v>
      </c>
      <c r="H63" s="2"/>
      <c r="I63" s="3">
        <f>IFERROR(__xludf.DUMMYFUNCTION("""COMPUTED_VALUE"""),77917.0)</f>
        <v>77917</v>
      </c>
      <c r="J63" s="2">
        <f>IFERROR(__xludf.DUMMYFUNCTION("""COMPUTED_VALUE"""),390.0)</f>
        <v>390</v>
      </c>
      <c r="K63" s="3">
        <f>IFERROR(__xludf.DUMMYFUNCTION("""COMPUTED_VALUE"""),106064.0)</f>
        <v>106064</v>
      </c>
      <c r="L63" s="3">
        <f>IFERROR(__xludf.DUMMYFUNCTION("""COMPUTED_VALUE"""),1300.0)</f>
        <v>1300</v>
      </c>
      <c r="M63" s="3">
        <f>IFERROR(__xludf.DUMMYFUNCTION("""COMPUTED_VALUE"""),2394098.0)</f>
        <v>2394098</v>
      </c>
      <c r="N63" s="3">
        <f>IFERROR(__xludf.DUMMYFUNCTION("""COMPUTED_VALUE"""),464562.0)</f>
        <v>464562</v>
      </c>
      <c r="O63" s="3">
        <f>IFERROR(__xludf.DUMMYFUNCTION("""COMPUTED_VALUE"""),5153454.0)</f>
        <v>5153454</v>
      </c>
      <c r="P63" s="2" t="str">
        <f>IFERROR(__xludf.DUMMYFUNCTION("""COMPUTED_VALUE"""),"North America")</f>
        <v>North America</v>
      </c>
      <c r="Q63" s="2">
        <f>IFERROR(__xludf.DUMMYFUNCTION("""COMPUTED_VALUE"""),9.0)</f>
        <v>9</v>
      </c>
      <c r="R63" s="2">
        <f>IFERROR(__xludf.DUMMYFUNCTION("""COMPUTED_VALUE"""),769.0)</f>
        <v>769</v>
      </c>
      <c r="S63" s="2">
        <f>IFERROR(__xludf.DUMMYFUNCTION("""COMPUTED_VALUE"""),2.0)</f>
        <v>2</v>
      </c>
      <c r="T63" s="2"/>
      <c r="U63" s="2"/>
      <c r="V63" s="3">
        <f>IFERROR(__xludf.DUMMYFUNCTION("""COMPUTED_VALUE"""),15119.0)</f>
        <v>15119</v>
      </c>
    </row>
    <row r="64" ht="15.75" customHeight="1">
      <c r="A64" s="2">
        <f>IFERROR(__xludf.DUMMYFUNCTION("""COMPUTED_VALUE"""),55.0)</f>
        <v>55</v>
      </c>
      <c r="B64" s="2" t="str">
        <f>IFERROR(__xludf.DUMMYFUNCTION("""COMPUTED_VALUE"""),"Bulgaria")</f>
        <v>Bulgaria</v>
      </c>
      <c r="C64" s="3">
        <f>IFERROR(__xludf.DUMMYFUNCTION("""COMPUTED_VALUE"""),527802.0)</f>
        <v>527802</v>
      </c>
      <c r="D64" s="2" t="str">
        <f>IFERROR(__xludf.DUMMYFUNCTION("""COMPUTED_VALUE"""),"+3,469")</f>
        <v>+3,469</v>
      </c>
      <c r="E64" s="3">
        <f>IFERROR(__xludf.DUMMYFUNCTION("""COMPUTED_VALUE"""),21906.0)</f>
        <v>21906</v>
      </c>
      <c r="F64" s="2" t="str">
        <f>IFERROR(__xludf.DUMMYFUNCTION("""COMPUTED_VALUE"""),"+93")</f>
        <v>+93</v>
      </c>
      <c r="G64" s="3">
        <f>IFERROR(__xludf.DUMMYFUNCTION("""COMPUTED_VALUE"""),451831.0)</f>
        <v>451831</v>
      </c>
      <c r="H64" s="2" t="str">
        <f>IFERROR(__xludf.DUMMYFUNCTION("""COMPUTED_VALUE"""),"+1,169")</f>
        <v>+1,169</v>
      </c>
      <c r="I64" s="3">
        <f>IFERROR(__xludf.DUMMYFUNCTION("""COMPUTED_VALUE"""),54065.0)</f>
        <v>54065</v>
      </c>
      <c r="J64" s="2">
        <f>IFERROR(__xludf.DUMMYFUNCTION("""COMPUTED_VALUE"""),485.0)</f>
        <v>485</v>
      </c>
      <c r="K64" s="3">
        <f>IFERROR(__xludf.DUMMYFUNCTION("""COMPUTED_VALUE"""),76697.0)</f>
        <v>76697</v>
      </c>
      <c r="L64" s="3">
        <f>IFERROR(__xludf.DUMMYFUNCTION("""COMPUTED_VALUE"""),3183.0)</f>
        <v>3183</v>
      </c>
      <c r="M64" s="3">
        <f>IFERROR(__xludf.DUMMYFUNCTION("""COMPUTED_VALUE"""),5008197.0)</f>
        <v>5008197</v>
      </c>
      <c r="N64" s="3">
        <f>IFERROR(__xludf.DUMMYFUNCTION("""COMPUTED_VALUE"""),727765.0)</f>
        <v>727765</v>
      </c>
      <c r="O64" s="3">
        <f>IFERROR(__xludf.DUMMYFUNCTION("""COMPUTED_VALUE"""),6881611.0)</f>
        <v>6881611</v>
      </c>
      <c r="P64" s="2" t="str">
        <f>IFERROR(__xludf.DUMMYFUNCTION("""COMPUTED_VALUE"""),"Europe")</f>
        <v>Europe</v>
      </c>
      <c r="Q64" s="2">
        <f>IFERROR(__xludf.DUMMYFUNCTION("""COMPUTED_VALUE"""),13.0)</f>
        <v>13</v>
      </c>
      <c r="R64" s="3">
        <f>IFERROR(__xludf.DUMMYFUNCTION("""COMPUTED_VALUE"""),314.0)</f>
        <v>314</v>
      </c>
      <c r="S64" s="2">
        <f>IFERROR(__xludf.DUMMYFUNCTION("""COMPUTED_VALUE"""),1.0)</f>
        <v>1</v>
      </c>
      <c r="T64" s="2">
        <f>IFERROR(__xludf.DUMMYFUNCTION("""COMPUTED_VALUE"""),504.0)</f>
        <v>504</v>
      </c>
      <c r="U64" s="2">
        <f>IFERROR(__xludf.DUMMYFUNCTION("""COMPUTED_VALUE"""),14.0)</f>
        <v>14</v>
      </c>
      <c r="V64" s="3">
        <f>IFERROR(__xludf.DUMMYFUNCTION("""COMPUTED_VALUE"""),7856.0)</f>
        <v>7856</v>
      </c>
    </row>
    <row r="65" ht="15.75" customHeight="1">
      <c r="A65" s="2">
        <f>IFERROR(__xludf.DUMMYFUNCTION("""COMPUTED_VALUE"""),56.0)</f>
        <v>56</v>
      </c>
      <c r="B65" s="2" t="str">
        <f>IFERROR(__xludf.DUMMYFUNCTION("""COMPUTED_VALUE"""),"Sri Lanka")</f>
        <v>Sri Lanka</v>
      </c>
      <c r="C65" s="3">
        <f>IFERROR(__xludf.DUMMYFUNCTION("""COMPUTED_VALUE"""),527735.0)</f>
        <v>527735</v>
      </c>
      <c r="D65" s="2" t="str">
        <f>IFERROR(__xludf.DUMMYFUNCTION("""COMPUTED_VALUE"""),"+671")</f>
        <v>+671</v>
      </c>
      <c r="E65" s="3">
        <f>IFERROR(__xludf.DUMMYFUNCTION("""COMPUTED_VALUE"""),13377.0)</f>
        <v>13377</v>
      </c>
      <c r="F65" s="2" t="str">
        <f>IFERROR(__xludf.DUMMYFUNCTION("""COMPUTED_VALUE"""),"+23")</f>
        <v>+23</v>
      </c>
      <c r="G65" s="3">
        <f>IFERROR(__xludf.DUMMYFUNCTION("""COMPUTED_VALUE"""),480499.0)</f>
        <v>480499</v>
      </c>
      <c r="H65" s="2"/>
      <c r="I65" s="3">
        <f>IFERROR(__xludf.DUMMYFUNCTION("""COMPUTED_VALUE"""),33859.0)</f>
        <v>33859</v>
      </c>
      <c r="J65" s="2"/>
      <c r="K65" s="3">
        <f>IFERROR(__xludf.DUMMYFUNCTION("""COMPUTED_VALUE"""),24514.0)</f>
        <v>24514</v>
      </c>
      <c r="L65" s="3">
        <f>IFERROR(__xludf.DUMMYFUNCTION("""COMPUTED_VALUE"""),621.0)</f>
        <v>621</v>
      </c>
      <c r="M65" s="3">
        <f>IFERROR(__xludf.DUMMYFUNCTION("""COMPUTED_VALUE"""),5348696.0)</f>
        <v>5348696</v>
      </c>
      <c r="N65" s="3">
        <f>IFERROR(__xludf.DUMMYFUNCTION("""COMPUTED_VALUE"""),248455.0)</f>
        <v>248455</v>
      </c>
      <c r="O65" s="3">
        <f>IFERROR(__xludf.DUMMYFUNCTION("""COMPUTED_VALUE"""),2.1527844E7)</f>
        <v>21527844</v>
      </c>
      <c r="P65" s="2" t="str">
        <f>IFERROR(__xludf.DUMMYFUNCTION("""COMPUTED_VALUE"""),"Asia")</f>
        <v>Asia</v>
      </c>
      <c r="Q65" s="2">
        <f>IFERROR(__xludf.DUMMYFUNCTION("""COMPUTED_VALUE"""),41.0)</f>
        <v>41</v>
      </c>
      <c r="R65" s="3">
        <f>IFERROR(__xludf.DUMMYFUNCTION("""COMPUTED_VALUE"""),1609.0)</f>
        <v>1609</v>
      </c>
      <c r="S65" s="2">
        <f>IFERROR(__xludf.DUMMYFUNCTION("""COMPUTED_VALUE"""),4.0)</f>
        <v>4</v>
      </c>
      <c r="T65" s="2">
        <f>IFERROR(__xludf.DUMMYFUNCTION("""COMPUTED_VALUE"""),31.0)</f>
        <v>31</v>
      </c>
      <c r="U65" s="2">
        <f>IFERROR(__xludf.DUMMYFUNCTION("""COMPUTED_VALUE"""),1.0)</f>
        <v>1</v>
      </c>
      <c r="V65" s="3">
        <f>IFERROR(__xludf.DUMMYFUNCTION("""COMPUTED_VALUE"""),1573.0)</f>
        <v>1573</v>
      </c>
    </row>
    <row r="66" ht="15.75" customHeight="1">
      <c r="A66" s="2">
        <f>IFERROR(__xludf.DUMMYFUNCTION("""COMPUTED_VALUE"""),57.0)</f>
        <v>57</v>
      </c>
      <c r="B66" s="2" t="str">
        <f>IFERROR(__xludf.DUMMYFUNCTION("""COMPUTED_VALUE"""),"Ecuador")</f>
        <v>Ecuador</v>
      </c>
      <c r="C66" s="3">
        <f>IFERROR(__xludf.DUMMYFUNCTION("""COMPUTED_VALUE"""),512071.0)</f>
        <v>512071</v>
      </c>
      <c r="D66" s="2"/>
      <c r="E66" s="3">
        <f>IFERROR(__xludf.DUMMYFUNCTION("""COMPUTED_VALUE"""),32848.0)</f>
        <v>32848</v>
      </c>
      <c r="F66" s="2"/>
      <c r="G66" s="3">
        <f>IFERROR(__xludf.DUMMYFUNCTION("""COMPUTED_VALUE"""),443880.0)</f>
        <v>443880</v>
      </c>
      <c r="H66" s="2"/>
      <c r="I66" s="3">
        <f>IFERROR(__xludf.DUMMYFUNCTION("""COMPUTED_VALUE"""),35343.0)</f>
        <v>35343</v>
      </c>
      <c r="J66" s="2">
        <f>IFERROR(__xludf.DUMMYFUNCTION("""COMPUTED_VALUE"""),759.0)</f>
        <v>759</v>
      </c>
      <c r="K66" s="3">
        <f>IFERROR(__xludf.DUMMYFUNCTION("""COMPUTED_VALUE"""),28473.0)</f>
        <v>28473</v>
      </c>
      <c r="L66" s="3">
        <f>IFERROR(__xludf.DUMMYFUNCTION("""COMPUTED_VALUE"""),1826.0)</f>
        <v>1826</v>
      </c>
      <c r="M66" s="3">
        <f>IFERROR(__xludf.DUMMYFUNCTION("""COMPUTED_VALUE"""),1871819.0)</f>
        <v>1871819</v>
      </c>
      <c r="N66" s="3">
        <f>IFERROR(__xludf.DUMMYFUNCTION("""COMPUTED_VALUE"""),104080.0)</f>
        <v>104080</v>
      </c>
      <c r="O66" s="3">
        <f>IFERROR(__xludf.DUMMYFUNCTION("""COMPUTED_VALUE"""),1.7984494E7)</f>
        <v>17984494</v>
      </c>
      <c r="P66" s="2" t="str">
        <f>IFERROR(__xludf.DUMMYFUNCTION("""COMPUTED_VALUE"""),"South America")</f>
        <v>South America</v>
      </c>
      <c r="Q66" s="2">
        <f>IFERROR(__xludf.DUMMYFUNCTION("""COMPUTED_VALUE"""),35.0)</f>
        <v>35</v>
      </c>
      <c r="R66" s="2">
        <f>IFERROR(__xludf.DUMMYFUNCTION("""COMPUTED_VALUE"""),548.0)</f>
        <v>548</v>
      </c>
      <c r="S66" s="2">
        <f>IFERROR(__xludf.DUMMYFUNCTION("""COMPUTED_VALUE"""),10.0)</f>
        <v>10</v>
      </c>
      <c r="T66" s="2"/>
      <c r="U66" s="2"/>
      <c r="V66" s="3">
        <f>IFERROR(__xludf.DUMMYFUNCTION("""COMPUTED_VALUE"""),1965.0)</f>
        <v>1965</v>
      </c>
    </row>
    <row r="67" ht="15.75" customHeight="1">
      <c r="A67" s="2">
        <f>IFERROR(__xludf.DUMMYFUNCTION("""COMPUTED_VALUE"""),58.0)</f>
        <v>58</v>
      </c>
      <c r="B67" s="2" t="str">
        <f>IFERROR(__xludf.DUMMYFUNCTION("""COMPUTED_VALUE"""),"Bolivia")</f>
        <v>Bolivia</v>
      </c>
      <c r="C67" s="3">
        <f>IFERROR(__xludf.DUMMYFUNCTION("""COMPUTED_VALUE"""),504121.0)</f>
        <v>504121</v>
      </c>
      <c r="D67" s="2" t="str">
        <f>IFERROR(__xludf.DUMMYFUNCTION("""COMPUTED_VALUE"""),"+199")</f>
        <v>+199</v>
      </c>
      <c r="E67" s="3">
        <f>IFERROR(__xludf.DUMMYFUNCTION("""COMPUTED_VALUE"""),18803.0)</f>
        <v>18803</v>
      </c>
      <c r="F67" s="2" t="str">
        <f>IFERROR(__xludf.DUMMYFUNCTION("""COMPUTED_VALUE"""),"+5")</f>
        <v>+5</v>
      </c>
      <c r="G67" s="3">
        <f>IFERROR(__xludf.DUMMYFUNCTION("""COMPUTED_VALUE"""),465574.0)</f>
        <v>465574</v>
      </c>
      <c r="H67" s="2" t="str">
        <f>IFERROR(__xludf.DUMMYFUNCTION("""COMPUTED_VALUE"""),"+497")</f>
        <v>+497</v>
      </c>
      <c r="I67" s="3">
        <f>IFERROR(__xludf.DUMMYFUNCTION("""COMPUTED_VALUE"""),19744.0)</f>
        <v>19744</v>
      </c>
      <c r="J67" s="2">
        <f>IFERROR(__xludf.DUMMYFUNCTION("""COMPUTED_VALUE"""),220.0)</f>
        <v>220</v>
      </c>
      <c r="K67" s="3">
        <f>IFERROR(__xludf.DUMMYFUNCTION("""COMPUTED_VALUE"""),42449.0)</f>
        <v>42449</v>
      </c>
      <c r="L67" s="3">
        <f>IFERROR(__xludf.DUMMYFUNCTION("""COMPUTED_VALUE"""),1583.0)</f>
        <v>1583</v>
      </c>
      <c r="M67" s="3">
        <f>IFERROR(__xludf.DUMMYFUNCTION("""COMPUTED_VALUE"""),2445030.0)</f>
        <v>2445030</v>
      </c>
      <c r="N67" s="3">
        <f>IFERROR(__xludf.DUMMYFUNCTION("""COMPUTED_VALUE"""),205880.0)</f>
        <v>205880</v>
      </c>
      <c r="O67" s="3">
        <f>IFERROR(__xludf.DUMMYFUNCTION("""COMPUTED_VALUE"""),1.1876001E7)</f>
        <v>11876001</v>
      </c>
      <c r="P67" s="2" t="str">
        <f>IFERROR(__xludf.DUMMYFUNCTION("""COMPUTED_VALUE"""),"South America")</f>
        <v>South America</v>
      </c>
      <c r="Q67" s="2">
        <f>IFERROR(__xludf.DUMMYFUNCTION("""COMPUTED_VALUE"""),24.0)</f>
        <v>24</v>
      </c>
      <c r="R67" s="2">
        <f>IFERROR(__xludf.DUMMYFUNCTION("""COMPUTED_VALUE"""),632.0)</f>
        <v>632</v>
      </c>
      <c r="S67" s="2">
        <f>IFERROR(__xludf.DUMMYFUNCTION("""COMPUTED_VALUE"""),5.0)</f>
        <v>5</v>
      </c>
      <c r="T67" s="2">
        <f>IFERROR(__xludf.DUMMYFUNCTION("""COMPUTED_VALUE"""),17.0)</f>
        <v>17</v>
      </c>
      <c r="U67" s="2">
        <f>IFERROR(__xludf.DUMMYFUNCTION("""COMPUTED_VALUE"""),0.4)</f>
        <v>0.4</v>
      </c>
      <c r="V67" s="3">
        <f>IFERROR(__xludf.DUMMYFUNCTION("""COMPUTED_VALUE"""),1663.0)</f>
        <v>1663</v>
      </c>
    </row>
    <row r="68" ht="15.75" customHeight="1">
      <c r="A68" s="2">
        <f>IFERROR(__xludf.DUMMYFUNCTION("""COMPUTED_VALUE"""),59.0)</f>
        <v>59</v>
      </c>
      <c r="B68" s="2" t="str">
        <f>IFERROR(__xludf.DUMMYFUNCTION("""COMPUTED_VALUE"""),"Azerbaijan")</f>
        <v>Azerbaijan</v>
      </c>
      <c r="C68" s="3">
        <f>IFERROR(__xludf.DUMMYFUNCTION("""COMPUTED_VALUE"""),494067.0)</f>
        <v>494067</v>
      </c>
      <c r="D68" s="2" t="str">
        <f>IFERROR(__xludf.DUMMYFUNCTION("""COMPUTED_VALUE"""),"+1,277")</f>
        <v>+1,277</v>
      </c>
      <c r="E68" s="3">
        <f>IFERROR(__xludf.DUMMYFUNCTION("""COMPUTED_VALUE"""),6692.0)</f>
        <v>6692</v>
      </c>
      <c r="F68" s="2" t="str">
        <f>IFERROR(__xludf.DUMMYFUNCTION("""COMPUTED_VALUE"""),"+15")</f>
        <v>+15</v>
      </c>
      <c r="G68" s="3">
        <f>IFERROR(__xludf.DUMMYFUNCTION("""COMPUTED_VALUE"""),474514.0)</f>
        <v>474514</v>
      </c>
      <c r="H68" s="2" t="str">
        <f>IFERROR(__xludf.DUMMYFUNCTION("""COMPUTED_VALUE"""),"+724")</f>
        <v>+724</v>
      </c>
      <c r="I68" s="3">
        <f>IFERROR(__xludf.DUMMYFUNCTION("""COMPUTED_VALUE"""),12861.0)</f>
        <v>12861</v>
      </c>
      <c r="J68" s="2"/>
      <c r="K68" s="3">
        <f>IFERROR(__xludf.DUMMYFUNCTION("""COMPUTED_VALUE"""),48175.0)</f>
        <v>48175</v>
      </c>
      <c r="L68" s="2">
        <f>IFERROR(__xludf.DUMMYFUNCTION("""COMPUTED_VALUE"""),653.0)</f>
        <v>653</v>
      </c>
      <c r="M68" s="3">
        <f>IFERROR(__xludf.DUMMYFUNCTION("""COMPUTED_VALUE"""),4969881.0)</f>
        <v>4969881</v>
      </c>
      <c r="N68" s="3">
        <f>IFERROR(__xludf.DUMMYFUNCTION("""COMPUTED_VALUE"""),484594.0)</f>
        <v>484594</v>
      </c>
      <c r="O68" s="3">
        <f>IFERROR(__xludf.DUMMYFUNCTION("""COMPUTED_VALUE"""),1.0255753E7)</f>
        <v>10255753</v>
      </c>
      <c r="P68" s="2" t="str">
        <f>IFERROR(__xludf.DUMMYFUNCTION("""COMPUTED_VALUE"""),"Asia")</f>
        <v>Asia</v>
      </c>
      <c r="Q68" s="2">
        <f>IFERROR(__xludf.DUMMYFUNCTION("""COMPUTED_VALUE"""),21.0)</f>
        <v>21</v>
      </c>
      <c r="R68" s="3">
        <f>IFERROR(__xludf.DUMMYFUNCTION("""COMPUTED_VALUE"""),1533.0)</f>
        <v>1533</v>
      </c>
      <c r="S68" s="2">
        <f>IFERROR(__xludf.DUMMYFUNCTION("""COMPUTED_VALUE"""),2.0)</f>
        <v>2</v>
      </c>
      <c r="T68" s="2">
        <f>IFERROR(__xludf.DUMMYFUNCTION("""COMPUTED_VALUE"""),125.0)</f>
        <v>125</v>
      </c>
      <c r="U68" s="2">
        <f>IFERROR(__xludf.DUMMYFUNCTION("""COMPUTED_VALUE"""),1.0)</f>
        <v>1</v>
      </c>
      <c r="V68" s="3">
        <f>IFERROR(__xludf.DUMMYFUNCTION("""COMPUTED_VALUE"""),1254.0)</f>
        <v>1254</v>
      </c>
    </row>
    <row r="69" ht="15.75" customHeight="1">
      <c r="A69" s="2">
        <f>IFERROR(__xludf.DUMMYFUNCTION("""COMPUTED_VALUE"""),60.0)</f>
        <v>60</v>
      </c>
      <c r="B69" s="2" t="str">
        <f>IFERROR(__xludf.DUMMYFUNCTION("""COMPUTED_VALUE"""),"Myanmar")</f>
        <v>Myanmar</v>
      </c>
      <c r="C69" s="3">
        <f>IFERROR(__xludf.DUMMYFUNCTION("""COMPUTED_VALUE"""),481230.0)</f>
        <v>481230</v>
      </c>
      <c r="D69" s="2" t="str">
        <f>IFERROR(__xludf.DUMMYFUNCTION("""COMPUTED_VALUE"""),"+1,382")</f>
        <v>+1,382</v>
      </c>
      <c r="E69" s="3">
        <f>IFERROR(__xludf.DUMMYFUNCTION("""COMPUTED_VALUE"""),18188.0)</f>
        <v>18188</v>
      </c>
      <c r="F69" s="2" t="str">
        <f>IFERROR(__xludf.DUMMYFUNCTION("""COMPUTED_VALUE"""),"+26")</f>
        <v>+26</v>
      </c>
      <c r="G69" s="3">
        <f>IFERROR(__xludf.DUMMYFUNCTION("""COMPUTED_VALUE"""),434080.0)</f>
        <v>434080</v>
      </c>
      <c r="H69" s="2" t="str">
        <f>IFERROR(__xludf.DUMMYFUNCTION("""COMPUTED_VALUE"""),"+1,623")</f>
        <v>+1,623</v>
      </c>
      <c r="I69" s="3">
        <f>IFERROR(__xludf.DUMMYFUNCTION("""COMPUTED_VALUE"""),28962.0)</f>
        <v>28962</v>
      </c>
      <c r="J69" s="2"/>
      <c r="K69" s="3">
        <f>IFERROR(__xludf.DUMMYFUNCTION("""COMPUTED_VALUE"""),8770.0)</f>
        <v>8770</v>
      </c>
      <c r="L69" s="2">
        <f>IFERROR(__xludf.DUMMYFUNCTION("""COMPUTED_VALUE"""),331.0)</f>
        <v>331</v>
      </c>
      <c r="M69" s="3">
        <f>IFERROR(__xludf.DUMMYFUNCTION("""COMPUTED_VALUE"""),4538563.0)</f>
        <v>4538563</v>
      </c>
      <c r="N69" s="3">
        <f>IFERROR(__xludf.DUMMYFUNCTION("""COMPUTED_VALUE"""),82707.0)</f>
        <v>82707</v>
      </c>
      <c r="O69" s="3">
        <f>IFERROR(__xludf.DUMMYFUNCTION("""COMPUTED_VALUE"""),5.4875217E7)</f>
        <v>54875217</v>
      </c>
      <c r="P69" s="2" t="str">
        <f>IFERROR(__xludf.DUMMYFUNCTION("""COMPUTED_VALUE"""),"Asia")</f>
        <v>Asia</v>
      </c>
      <c r="Q69" s="2">
        <f>IFERROR(__xludf.DUMMYFUNCTION("""COMPUTED_VALUE"""),114.0)</f>
        <v>114</v>
      </c>
      <c r="R69" s="3">
        <f>IFERROR(__xludf.DUMMYFUNCTION("""COMPUTED_VALUE"""),3017.0)</f>
        <v>3017</v>
      </c>
      <c r="S69" s="2">
        <f>IFERROR(__xludf.DUMMYFUNCTION("""COMPUTED_VALUE"""),12.0)</f>
        <v>12</v>
      </c>
      <c r="T69" s="2">
        <f>IFERROR(__xludf.DUMMYFUNCTION("""COMPUTED_VALUE"""),25.0)</f>
        <v>25</v>
      </c>
      <c r="U69" s="2">
        <f>IFERROR(__xludf.DUMMYFUNCTION("""COMPUTED_VALUE"""),0.5)</f>
        <v>0.5</v>
      </c>
      <c r="V69" s="2">
        <f>IFERROR(__xludf.DUMMYFUNCTION("""COMPUTED_VALUE"""),528.0)</f>
        <v>528</v>
      </c>
    </row>
    <row r="70" ht="15.75" customHeight="1">
      <c r="A70" s="2">
        <f>IFERROR(__xludf.DUMMYFUNCTION("""COMPUTED_VALUE"""),61.0)</f>
        <v>61</v>
      </c>
      <c r="B70" s="2" t="str">
        <f>IFERROR(__xludf.DUMMYFUNCTION("""COMPUTED_VALUE"""),"Panama")</f>
        <v>Panama</v>
      </c>
      <c r="C70" s="3">
        <f>IFERROR(__xludf.DUMMYFUNCTION("""COMPUTED_VALUE"""),469190.0)</f>
        <v>469190</v>
      </c>
      <c r="D70" s="2"/>
      <c r="E70" s="3">
        <f>IFERROR(__xludf.DUMMYFUNCTION("""COMPUTED_VALUE"""),7271.0)</f>
        <v>7271</v>
      </c>
      <c r="F70" s="2"/>
      <c r="G70" s="3">
        <f>IFERROR(__xludf.DUMMYFUNCTION("""COMPUTED_VALUE"""),459210.0)</f>
        <v>459210</v>
      </c>
      <c r="H70" s="2"/>
      <c r="I70" s="3">
        <f>IFERROR(__xludf.DUMMYFUNCTION("""COMPUTED_VALUE"""),2709.0)</f>
        <v>2709</v>
      </c>
      <c r="J70" s="2">
        <f>IFERROR(__xludf.DUMMYFUNCTION("""COMPUTED_VALUE"""),49.0)</f>
        <v>49</v>
      </c>
      <c r="K70" s="3">
        <f>IFERROR(__xludf.DUMMYFUNCTION("""COMPUTED_VALUE"""),106602.0)</f>
        <v>106602</v>
      </c>
      <c r="L70" s="3">
        <f>IFERROR(__xludf.DUMMYFUNCTION("""COMPUTED_VALUE"""),1652.0)</f>
        <v>1652</v>
      </c>
      <c r="M70" s="3">
        <f>IFERROR(__xludf.DUMMYFUNCTION("""COMPUTED_VALUE"""),3946061.0)</f>
        <v>3946061</v>
      </c>
      <c r="N70" s="3">
        <f>IFERROR(__xludf.DUMMYFUNCTION("""COMPUTED_VALUE"""),896562.0)</f>
        <v>896562</v>
      </c>
      <c r="O70" s="3">
        <f>IFERROR(__xludf.DUMMYFUNCTION("""COMPUTED_VALUE"""),4401324.0)</f>
        <v>4401324</v>
      </c>
      <c r="P70" s="2" t="str">
        <f>IFERROR(__xludf.DUMMYFUNCTION("""COMPUTED_VALUE"""),"North America")</f>
        <v>North America</v>
      </c>
      <c r="Q70" s="2">
        <f>IFERROR(__xludf.DUMMYFUNCTION("""COMPUTED_VALUE"""),9.0)</f>
        <v>9</v>
      </c>
      <c r="R70" s="2">
        <f>IFERROR(__xludf.DUMMYFUNCTION("""COMPUTED_VALUE"""),605.0)</f>
        <v>605</v>
      </c>
      <c r="S70" s="2">
        <f>IFERROR(__xludf.DUMMYFUNCTION("""COMPUTED_VALUE"""),1.0)</f>
        <v>1</v>
      </c>
      <c r="T70" s="2"/>
      <c r="U70" s="2"/>
      <c r="V70" s="2">
        <f>IFERROR(__xludf.DUMMYFUNCTION("""COMPUTED_VALUE"""),615.0)</f>
        <v>615</v>
      </c>
    </row>
    <row r="71" ht="15.75" customHeight="1">
      <c r="A71" s="2">
        <f>IFERROR(__xludf.DUMMYFUNCTION("""COMPUTED_VALUE"""),62.0)</f>
        <v>62</v>
      </c>
      <c r="B71" s="2" t="str">
        <f>IFERROR(__xludf.DUMMYFUNCTION("""COMPUTED_VALUE"""),"Paraguay")</f>
        <v>Paraguay</v>
      </c>
      <c r="C71" s="3">
        <f>IFERROR(__xludf.DUMMYFUNCTION("""COMPUTED_VALUE"""),460218.0)</f>
        <v>460218</v>
      </c>
      <c r="D71" s="2"/>
      <c r="E71" s="3">
        <f>IFERROR(__xludf.DUMMYFUNCTION("""COMPUTED_VALUE"""),16207.0)</f>
        <v>16207</v>
      </c>
      <c r="F71" s="2"/>
      <c r="G71" s="3">
        <f>IFERROR(__xludf.DUMMYFUNCTION("""COMPUTED_VALUE"""),443817.0)</f>
        <v>443817</v>
      </c>
      <c r="H71" s="2"/>
      <c r="I71" s="2">
        <f>IFERROR(__xludf.DUMMYFUNCTION("""COMPUTED_VALUE"""),194.0)</f>
        <v>194</v>
      </c>
      <c r="J71" s="2">
        <f>IFERROR(__xludf.DUMMYFUNCTION("""COMPUTED_VALUE"""),11.0)</f>
        <v>11</v>
      </c>
      <c r="K71" s="3">
        <f>IFERROR(__xludf.DUMMYFUNCTION("""COMPUTED_VALUE"""),63529.0)</f>
        <v>63529</v>
      </c>
      <c r="L71" s="3">
        <f>IFERROR(__xludf.DUMMYFUNCTION("""COMPUTED_VALUE"""),2237.0)</f>
        <v>2237</v>
      </c>
      <c r="M71" s="3">
        <f>IFERROR(__xludf.DUMMYFUNCTION("""COMPUTED_VALUE"""),1858923.0)</f>
        <v>1858923</v>
      </c>
      <c r="N71" s="3">
        <f>IFERROR(__xludf.DUMMYFUNCTION("""COMPUTED_VALUE"""),256607.0)</f>
        <v>256607</v>
      </c>
      <c r="O71" s="3">
        <f>IFERROR(__xludf.DUMMYFUNCTION("""COMPUTED_VALUE"""),7244247.0)</f>
        <v>7244247</v>
      </c>
      <c r="P71" s="2" t="str">
        <f>IFERROR(__xludf.DUMMYFUNCTION("""COMPUTED_VALUE"""),"South America")</f>
        <v>South America</v>
      </c>
      <c r="Q71" s="2">
        <f>IFERROR(__xludf.DUMMYFUNCTION("""COMPUTED_VALUE"""),16.0)</f>
        <v>16</v>
      </c>
      <c r="R71" s="2">
        <f>IFERROR(__xludf.DUMMYFUNCTION("""COMPUTED_VALUE"""),447.0)</f>
        <v>447</v>
      </c>
      <c r="S71" s="2">
        <f>IFERROR(__xludf.DUMMYFUNCTION("""COMPUTED_VALUE"""),4.0)</f>
        <v>4</v>
      </c>
      <c r="T71" s="2"/>
      <c r="U71" s="2"/>
      <c r="V71" s="2">
        <f>IFERROR(__xludf.DUMMYFUNCTION("""COMPUTED_VALUE"""),27.0)</f>
        <v>27</v>
      </c>
    </row>
    <row r="72" ht="15.75" customHeight="1">
      <c r="A72" s="2">
        <f>IFERROR(__xludf.DUMMYFUNCTION("""COMPUTED_VALUE"""),63.0)</f>
        <v>63</v>
      </c>
      <c r="B72" s="2" t="str">
        <f>IFERROR(__xludf.DUMMYFUNCTION("""COMPUTED_VALUE"""),"Slovakia")</f>
        <v>Slovakia</v>
      </c>
      <c r="C72" s="3">
        <f>IFERROR(__xludf.DUMMYFUNCTION("""COMPUTED_VALUE"""),427480.0)</f>
        <v>427480</v>
      </c>
      <c r="D72" s="2" t="str">
        <f>IFERROR(__xludf.DUMMYFUNCTION("""COMPUTED_VALUE"""),"+1,509")</f>
        <v>+1,509</v>
      </c>
      <c r="E72" s="3">
        <f>IFERROR(__xludf.DUMMYFUNCTION("""COMPUTED_VALUE"""),12752.0)</f>
        <v>12752</v>
      </c>
      <c r="F72" s="2" t="str">
        <f>IFERROR(__xludf.DUMMYFUNCTION("""COMPUTED_VALUE"""),"+17")</f>
        <v>+17</v>
      </c>
      <c r="G72" s="3">
        <f>IFERROR(__xludf.DUMMYFUNCTION("""COMPUTED_VALUE"""),396886.0)</f>
        <v>396886</v>
      </c>
      <c r="H72" s="2" t="str">
        <f>IFERROR(__xludf.DUMMYFUNCTION("""COMPUTED_VALUE"""),"+1,008")</f>
        <v>+1,008</v>
      </c>
      <c r="I72" s="3">
        <f>IFERROR(__xludf.DUMMYFUNCTION("""COMPUTED_VALUE"""),17842.0)</f>
        <v>17842</v>
      </c>
      <c r="J72" s="2">
        <f>IFERROR(__xludf.DUMMYFUNCTION("""COMPUTED_VALUE"""),166.0)</f>
        <v>166</v>
      </c>
      <c r="K72" s="3">
        <f>IFERROR(__xludf.DUMMYFUNCTION("""COMPUTED_VALUE"""),78250.0)</f>
        <v>78250</v>
      </c>
      <c r="L72" s="3">
        <f>IFERROR(__xludf.DUMMYFUNCTION("""COMPUTED_VALUE"""),2334.0)</f>
        <v>2334</v>
      </c>
      <c r="M72" s="3">
        <f>IFERROR(__xludf.DUMMYFUNCTION("""COMPUTED_VALUE"""),3708301.0)</f>
        <v>3708301</v>
      </c>
      <c r="N72" s="3">
        <f>IFERROR(__xludf.DUMMYFUNCTION("""COMPUTED_VALUE"""),678801.0)</f>
        <v>678801</v>
      </c>
      <c r="O72" s="3">
        <f>IFERROR(__xludf.DUMMYFUNCTION("""COMPUTED_VALUE"""),5463019.0)</f>
        <v>5463019</v>
      </c>
      <c r="P72" s="2" t="str">
        <f>IFERROR(__xludf.DUMMYFUNCTION("""COMPUTED_VALUE"""),"Europe")</f>
        <v>Europe</v>
      </c>
      <c r="Q72" s="2">
        <f>IFERROR(__xludf.DUMMYFUNCTION("""COMPUTED_VALUE"""),13.0)</f>
        <v>13</v>
      </c>
      <c r="R72" s="2">
        <f>IFERROR(__xludf.DUMMYFUNCTION("""COMPUTED_VALUE"""),428.0)</f>
        <v>428</v>
      </c>
      <c r="S72" s="2">
        <f>IFERROR(__xludf.DUMMYFUNCTION("""COMPUTED_VALUE"""),1.0)</f>
        <v>1</v>
      </c>
      <c r="T72" s="2">
        <f>IFERROR(__xludf.DUMMYFUNCTION("""COMPUTED_VALUE"""),276.0)</f>
        <v>276</v>
      </c>
      <c r="U72" s="2">
        <f>IFERROR(__xludf.DUMMYFUNCTION("""COMPUTED_VALUE"""),3.0)</f>
        <v>3</v>
      </c>
      <c r="V72" s="3">
        <f>IFERROR(__xludf.DUMMYFUNCTION("""COMPUTED_VALUE"""),3266.0)</f>
        <v>3266</v>
      </c>
    </row>
    <row r="73" ht="15.75" customHeight="1">
      <c r="A73" s="2">
        <f>IFERROR(__xludf.DUMMYFUNCTION("""COMPUTED_VALUE"""),64.0)</f>
        <v>64</v>
      </c>
      <c r="B73" s="2" t="str">
        <f>IFERROR(__xludf.DUMMYFUNCTION("""COMPUTED_VALUE"""),"Croatia")</f>
        <v>Croatia</v>
      </c>
      <c r="C73" s="3">
        <f>IFERROR(__xludf.DUMMYFUNCTION("""COMPUTED_VALUE"""),419035.0)</f>
        <v>419035</v>
      </c>
      <c r="D73" s="2" t="str">
        <f>IFERROR(__xludf.DUMMYFUNCTION("""COMPUTED_VALUE"""),"+1,007")</f>
        <v>+1,007</v>
      </c>
      <c r="E73" s="3">
        <f>IFERROR(__xludf.DUMMYFUNCTION("""COMPUTED_VALUE"""),8802.0)</f>
        <v>8802</v>
      </c>
      <c r="F73" s="2" t="str">
        <f>IFERROR(__xludf.DUMMYFUNCTION("""COMPUTED_VALUE"""),"+24")</f>
        <v>+24</v>
      </c>
      <c r="G73" s="3">
        <f>IFERROR(__xludf.DUMMYFUNCTION("""COMPUTED_VALUE"""),402165.0)</f>
        <v>402165</v>
      </c>
      <c r="H73" s="2" t="str">
        <f>IFERROR(__xludf.DUMMYFUNCTION("""COMPUTED_VALUE"""),"+1,200")</f>
        <v>+1,200</v>
      </c>
      <c r="I73" s="3">
        <f>IFERROR(__xludf.DUMMYFUNCTION("""COMPUTED_VALUE"""),8068.0)</f>
        <v>8068</v>
      </c>
      <c r="J73" s="2">
        <f>IFERROR(__xludf.DUMMYFUNCTION("""COMPUTED_VALUE"""),140.0)</f>
        <v>140</v>
      </c>
      <c r="K73" s="3">
        <f>IFERROR(__xludf.DUMMYFUNCTION("""COMPUTED_VALUE"""),102883.0)</f>
        <v>102883</v>
      </c>
      <c r="L73" s="3">
        <f>IFERROR(__xludf.DUMMYFUNCTION("""COMPUTED_VALUE"""),2161.0)</f>
        <v>2161</v>
      </c>
      <c r="M73" s="3">
        <f>IFERROR(__xludf.DUMMYFUNCTION("""COMPUTED_VALUE"""),2924958.0)</f>
        <v>2924958</v>
      </c>
      <c r="N73" s="3">
        <f>IFERROR(__xludf.DUMMYFUNCTION("""COMPUTED_VALUE"""),718147.0)</f>
        <v>718147</v>
      </c>
      <c r="O73" s="3">
        <f>IFERROR(__xludf.DUMMYFUNCTION("""COMPUTED_VALUE"""),4072923.0)</f>
        <v>4072923</v>
      </c>
      <c r="P73" s="2" t="str">
        <f>IFERROR(__xludf.DUMMYFUNCTION("""COMPUTED_VALUE"""),"Europe")</f>
        <v>Europe</v>
      </c>
      <c r="Q73" s="2">
        <f>IFERROR(__xludf.DUMMYFUNCTION("""COMPUTED_VALUE"""),10.0)</f>
        <v>10</v>
      </c>
      <c r="R73" s="2">
        <f>IFERROR(__xludf.DUMMYFUNCTION("""COMPUTED_VALUE"""),463.0)</f>
        <v>463</v>
      </c>
      <c r="S73" s="2">
        <f>IFERROR(__xludf.DUMMYFUNCTION("""COMPUTED_VALUE"""),1.0)</f>
        <v>1</v>
      </c>
      <c r="T73" s="2">
        <f>IFERROR(__xludf.DUMMYFUNCTION("""COMPUTED_VALUE"""),247.0)</f>
        <v>247</v>
      </c>
      <c r="U73" s="2">
        <f>IFERROR(__xludf.DUMMYFUNCTION("""COMPUTED_VALUE"""),6.0)</f>
        <v>6</v>
      </c>
      <c r="V73" s="3">
        <f>IFERROR(__xludf.DUMMYFUNCTION("""COMPUTED_VALUE"""),1981.0)</f>
        <v>1981</v>
      </c>
    </row>
    <row r="74" ht="15.75" customHeight="1">
      <c r="A74" s="2">
        <f>IFERROR(__xludf.DUMMYFUNCTION("""COMPUTED_VALUE"""),65.0)</f>
        <v>65</v>
      </c>
      <c r="B74" s="2" t="str">
        <f>IFERROR(__xludf.DUMMYFUNCTION("""COMPUTED_VALUE"""),"Palestine")</f>
        <v>Palestine</v>
      </c>
      <c r="C74" s="3">
        <f>IFERROR(__xludf.DUMMYFUNCTION("""COMPUTED_VALUE"""),415182.0)</f>
        <v>415182</v>
      </c>
      <c r="D74" s="2" t="str">
        <f>IFERROR(__xludf.DUMMYFUNCTION("""COMPUTED_VALUE"""),"+809")</f>
        <v>+809</v>
      </c>
      <c r="E74" s="3">
        <f>IFERROR(__xludf.DUMMYFUNCTION("""COMPUTED_VALUE"""),4264.0)</f>
        <v>4264</v>
      </c>
      <c r="F74" s="2" t="str">
        <f>IFERROR(__xludf.DUMMYFUNCTION("""COMPUTED_VALUE"""),"+11")</f>
        <v>+11</v>
      </c>
      <c r="G74" s="3">
        <f>IFERROR(__xludf.DUMMYFUNCTION("""COMPUTED_VALUE"""),395221.0)</f>
        <v>395221</v>
      </c>
      <c r="H74" s="2" t="str">
        <f>IFERROR(__xludf.DUMMYFUNCTION("""COMPUTED_VALUE"""),"+1,683")</f>
        <v>+1,683</v>
      </c>
      <c r="I74" s="3">
        <f>IFERROR(__xludf.DUMMYFUNCTION("""COMPUTED_VALUE"""),15697.0)</f>
        <v>15697</v>
      </c>
      <c r="J74" s="2">
        <f>IFERROR(__xludf.DUMMYFUNCTION("""COMPUTED_VALUE"""),71.0)</f>
        <v>71</v>
      </c>
      <c r="K74" s="3">
        <f>IFERROR(__xludf.DUMMYFUNCTION("""COMPUTED_VALUE"""),79047.0)</f>
        <v>79047</v>
      </c>
      <c r="L74" s="2">
        <f>IFERROR(__xludf.DUMMYFUNCTION("""COMPUTED_VALUE"""),812.0)</f>
        <v>812</v>
      </c>
      <c r="M74" s="3">
        <f>IFERROR(__xludf.DUMMYFUNCTION("""COMPUTED_VALUE"""),2551938.0)</f>
        <v>2551938</v>
      </c>
      <c r="N74" s="3">
        <f>IFERROR(__xludf.DUMMYFUNCTION("""COMPUTED_VALUE"""),485865.0)</f>
        <v>485865</v>
      </c>
      <c r="O74" s="3">
        <f>IFERROR(__xludf.DUMMYFUNCTION("""COMPUTED_VALUE"""),5252357.0)</f>
        <v>5252357</v>
      </c>
      <c r="P74" s="2" t="str">
        <f>IFERROR(__xludf.DUMMYFUNCTION("""COMPUTED_VALUE"""),"Asia")</f>
        <v>Asia</v>
      </c>
      <c r="Q74" s="2">
        <f>IFERROR(__xludf.DUMMYFUNCTION("""COMPUTED_VALUE"""),13.0)</f>
        <v>13</v>
      </c>
      <c r="R74" s="3">
        <f>IFERROR(__xludf.DUMMYFUNCTION("""COMPUTED_VALUE"""),1232.0)</f>
        <v>1232</v>
      </c>
      <c r="S74" s="2">
        <f>IFERROR(__xludf.DUMMYFUNCTION("""COMPUTED_VALUE"""),2.0)</f>
        <v>2</v>
      </c>
      <c r="T74" s="2">
        <f>IFERROR(__xludf.DUMMYFUNCTION("""COMPUTED_VALUE"""),154.0)</f>
        <v>154</v>
      </c>
      <c r="U74" s="2">
        <f>IFERROR(__xludf.DUMMYFUNCTION("""COMPUTED_VALUE"""),2.0)</f>
        <v>2</v>
      </c>
      <c r="V74" s="3">
        <f>IFERROR(__xludf.DUMMYFUNCTION("""COMPUTED_VALUE"""),2989.0)</f>
        <v>2989</v>
      </c>
    </row>
    <row r="75" ht="15.75" customHeight="1">
      <c r="A75" s="2">
        <f>IFERROR(__xludf.DUMMYFUNCTION("""COMPUTED_VALUE"""),66.0)</f>
        <v>66</v>
      </c>
      <c r="B75" s="2" t="str">
        <f>IFERROR(__xludf.DUMMYFUNCTION("""COMPUTED_VALUE"""),"Kuwait")</f>
        <v>Kuwait</v>
      </c>
      <c r="C75" s="3">
        <f>IFERROR(__xludf.DUMMYFUNCTION("""COMPUTED_VALUE"""),412121.0)</f>
        <v>412121</v>
      </c>
      <c r="D75" s="2"/>
      <c r="E75" s="3">
        <f>IFERROR(__xludf.DUMMYFUNCTION("""COMPUTED_VALUE"""),2455.0)</f>
        <v>2455</v>
      </c>
      <c r="F75" s="2"/>
      <c r="G75" s="3">
        <f>IFERROR(__xludf.DUMMYFUNCTION("""COMPUTED_VALUE"""),409046.0)</f>
        <v>409046</v>
      </c>
      <c r="H75" s="2"/>
      <c r="I75" s="2">
        <f>IFERROR(__xludf.DUMMYFUNCTION("""COMPUTED_VALUE"""),620.0)</f>
        <v>620</v>
      </c>
      <c r="J75" s="2">
        <f>IFERROR(__xludf.DUMMYFUNCTION("""COMPUTED_VALUE"""),9.0)</f>
        <v>9</v>
      </c>
      <c r="K75" s="3">
        <f>IFERROR(__xludf.DUMMYFUNCTION("""COMPUTED_VALUE"""),94717.0)</f>
        <v>94717</v>
      </c>
      <c r="L75" s="2">
        <f>IFERROR(__xludf.DUMMYFUNCTION("""COMPUTED_VALUE"""),564.0)</f>
        <v>564</v>
      </c>
      <c r="M75" s="3">
        <f>IFERROR(__xludf.DUMMYFUNCTION("""COMPUTED_VALUE"""),4482390.0)</f>
        <v>4482390</v>
      </c>
      <c r="N75" s="3">
        <f>IFERROR(__xludf.DUMMYFUNCTION("""COMPUTED_VALUE"""),1030182.0)</f>
        <v>1030182</v>
      </c>
      <c r="O75" s="3">
        <f>IFERROR(__xludf.DUMMYFUNCTION("""COMPUTED_VALUE"""),4351068.0)</f>
        <v>4351068</v>
      </c>
      <c r="P75" s="2" t="str">
        <f>IFERROR(__xludf.DUMMYFUNCTION("""COMPUTED_VALUE"""),"Asia")</f>
        <v>Asia</v>
      </c>
      <c r="Q75" s="2">
        <f>IFERROR(__xludf.DUMMYFUNCTION("""COMPUTED_VALUE"""),11.0)</f>
        <v>11</v>
      </c>
      <c r="R75" s="3">
        <f>IFERROR(__xludf.DUMMYFUNCTION("""COMPUTED_VALUE"""),1772.0)</f>
        <v>1772</v>
      </c>
      <c r="S75" s="2">
        <f>IFERROR(__xludf.DUMMYFUNCTION("""COMPUTED_VALUE"""),1.0)</f>
        <v>1</v>
      </c>
      <c r="T75" s="2"/>
      <c r="U75" s="2"/>
      <c r="V75" s="2">
        <f>IFERROR(__xludf.DUMMYFUNCTION("""COMPUTED_VALUE"""),142.0)</f>
        <v>142</v>
      </c>
    </row>
    <row r="76" ht="15.75" customHeight="1">
      <c r="A76" s="2">
        <f>IFERROR(__xludf.DUMMYFUNCTION("""COMPUTED_VALUE"""),67.0)</f>
        <v>67</v>
      </c>
      <c r="B76" s="2" t="str">
        <f>IFERROR(__xludf.DUMMYFUNCTION("""COMPUTED_VALUE"""),"Ireland")</f>
        <v>Ireland</v>
      </c>
      <c r="C76" s="3">
        <f>IFERROR(__xludf.DUMMYFUNCTION("""COMPUTED_VALUE"""),405970.0)</f>
        <v>405970</v>
      </c>
      <c r="D76" s="2" t="str">
        <f>IFERROR(__xludf.DUMMYFUNCTION("""COMPUTED_VALUE"""),"+1,456")</f>
        <v>+1,456</v>
      </c>
      <c r="E76" s="3">
        <f>IFERROR(__xludf.DUMMYFUNCTION("""COMPUTED_VALUE"""),5280.0)</f>
        <v>5280</v>
      </c>
      <c r="F76" s="2"/>
      <c r="G76" s="3">
        <f>IFERROR(__xludf.DUMMYFUNCTION("""COMPUTED_VALUE"""),361379.0)</f>
        <v>361379</v>
      </c>
      <c r="H76" s="2" t="str">
        <f>IFERROR(__xludf.DUMMYFUNCTION("""COMPUTED_VALUE"""),"+1,346")</f>
        <v>+1,346</v>
      </c>
      <c r="I76" s="3">
        <f>IFERROR(__xludf.DUMMYFUNCTION("""COMPUTED_VALUE"""),39311.0)</f>
        <v>39311</v>
      </c>
      <c r="J76" s="2">
        <f>IFERROR(__xludf.DUMMYFUNCTION("""COMPUTED_VALUE"""),73.0)</f>
        <v>73</v>
      </c>
      <c r="K76" s="3">
        <f>IFERROR(__xludf.DUMMYFUNCTION("""COMPUTED_VALUE"""),81062.0)</f>
        <v>81062</v>
      </c>
      <c r="L76" s="3">
        <f>IFERROR(__xludf.DUMMYFUNCTION("""COMPUTED_VALUE"""),1054.0)</f>
        <v>1054</v>
      </c>
      <c r="M76" s="3">
        <f>IFERROR(__xludf.DUMMYFUNCTION("""COMPUTED_VALUE"""),7686398.0)</f>
        <v>7686398</v>
      </c>
      <c r="N76" s="3">
        <f>IFERROR(__xludf.DUMMYFUNCTION("""COMPUTED_VALUE"""),1534786.0)</f>
        <v>1534786</v>
      </c>
      <c r="O76" s="3">
        <f>IFERROR(__xludf.DUMMYFUNCTION("""COMPUTED_VALUE"""),5008123.0)</f>
        <v>5008123</v>
      </c>
      <c r="P76" s="2" t="str">
        <f>IFERROR(__xludf.DUMMYFUNCTION("""COMPUTED_VALUE"""),"Europe")</f>
        <v>Europe</v>
      </c>
      <c r="Q76" s="2">
        <f>IFERROR(__xludf.DUMMYFUNCTION("""COMPUTED_VALUE"""),12.0)</f>
        <v>12</v>
      </c>
      <c r="R76" s="2">
        <f>IFERROR(__xludf.DUMMYFUNCTION("""COMPUTED_VALUE"""),949.0)</f>
        <v>949</v>
      </c>
      <c r="S76" s="2">
        <f>IFERROR(__xludf.DUMMYFUNCTION("""COMPUTED_VALUE"""),1.0)</f>
        <v>1</v>
      </c>
      <c r="T76" s="2">
        <f>IFERROR(__xludf.DUMMYFUNCTION("""COMPUTED_VALUE"""),291.0)</f>
        <v>291</v>
      </c>
      <c r="U76" s="2"/>
      <c r="V76" s="3">
        <f>IFERROR(__xludf.DUMMYFUNCTION("""COMPUTED_VALUE"""),7849.0)</f>
        <v>7849</v>
      </c>
    </row>
    <row r="77" ht="15.75" customHeight="1">
      <c r="A77" s="2">
        <f>IFERROR(__xludf.DUMMYFUNCTION("""COMPUTED_VALUE"""),68.0)</f>
        <v>68</v>
      </c>
      <c r="B77" s="2" t="str">
        <f>IFERROR(__xludf.DUMMYFUNCTION("""COMPUTED_VALUE"""),"Uruguay")</f>
        <v>Uruguay</v>
      </c>
      <c r="C77" s="3">
        <f>IFERROR(__xludf.DUMMYFUNCTION("""COMPUTED_VALUE"""),390115.0)</f>
        <v>390115</v>
      </c>
      <c r="D77" s="2"/>
      <c r="E77" s="3">
        <f>IFERROR(__xludf.DUMMYFUNCTION("""COMPUTED_VALUE"""),6064.0)</f>
        <v>6064</v>
      </c>
      <c r="F77" s="2"/>
      <c r="G77" s="3">
        <f>IFERROR(__xludf.DUMMYFUNCTION("""COMPUTED_VALUE"""),382736.0)</f>
        <v>382736</v>
      </c>
      <c r="H77" s="2"/>
      <c r="I77" s="3">
        <f>IFERROR(__xludf.DUMMYFUNCTION("""COMPUTED_VALUE"""),1315.0)</f>
        <v>1315</v>
      </c>
      <c r="J77" s="2">
        <f>IFERROR(__xludf.DUMMYFUNCTION("""COMPUTED_VALUE"""),11.0)</f>
        <v>11</v>
      </c>
      <c r="K77" s="3">
        <f>IFERROR(__xludf.DUMMYFUNCTION("""COMPUTED_VALUE"""),111810.0)</f>
        <v>111810</v>
      </c>
      <c r="L77" s="3">
        <f>IFERROR(__xludf.DUMMYFUNCTION("""COMPUTED_VALUE"""),1738.0)</f>
        <v>1738</v>
      </c>
      <c r="M77" s="3">
        <f>IFERROR(__xludf.DUMMYFUNCTION("""COMPUTED_VALUE"""),3659251.0)</f>
        <v>3659251</v>
      </c>
      <c r="N77" s="3">
        <f>IFERROR(__xludf.DUMMYFUNCTION("""COMPUTED_VALUE"""),1048767.0)</f>
        <v>1048767</v>
      </c>
      <c r="O77" s="3">
        <f>IFERROR(__xludf.DUMMYFUNCTION("""COMPUTED_VALUE"""),3489097.0)</f>
        <v>3489097</v>
      </c>
      <c r="P77" s="2" t="str">
        <f>IFERROR(__xludf.DUMMYFUNCTION("""COMPUTED_VALUE"""),"South America")</f>
        <v>South America</v>
      </c>
      <c r="Q77" s="2">
        <f>IFERROR(__xludf.DUMMYFUNCTION("""COMPUTED_VALUE"""),9.0)</f>
        <v>9</v>
      </c>
      <c r="R77" s="2">
        <f>IFERROR(__xludf.DUMMYFUNCTION("""COMPUTED_VALUE"""),575.0)</f>
        <v>575</v>
      </c>
      <c r="S77" s="2">
        <f>IFERROR(__xludf.DUMMYFUNCTION("""COMPUTED_VALUE"""),1.0)</f>
        <v>1</v>
      </c>
      <c r="T77" s="2"/>
      <c r="U77" s="2"/>
      <c r="V77" s="2">
        <f>IFERROR(__xludf.DUMMYFUNCTION("""COMPUTED_VALUE"""),377.0)</f>
        <v>377</v>
      </c>
    </row>
    <row r="78" ht="15.75" customHeight="1">
      <c r="A78" s="2">
        <f>IFERROR(__xludf.DUMMYFUNCTION("""COMPUTED_VALUE"""),69.0)</f>
        <v>69</v>
      </c>
      <c r="B78" s="2" t="str">
        <f>IFERROR(__xludf.DUMMYFUNCTION("""COMPUTED_VALUE"""),"Venezuela")</f>
        <v>Venezuela</v>
      </c>
      <c r="C78" s="3">
        <f>IFERROR(__xludf.DUMMYFUNCTION("""COMPUTED_VALUE"""),384668.0)</f>
        <v>384668</v>
      </c>
      <c r="D78" s="2"/>
      <c r="E78" s="3">
        <f>IFERROR(__xludf.DUMMYFUNCTION("""COMPUTED_VALUE"""),4634.0)</f>
        <v>4634</v>
      </c>
      <c r="F78" s="2"/>
      <c r="G78" s="3">
        <f>IFERROR(__xludf.DUMMYFUNCTION("""COMPUTED_VALUE"""),364455.0)</f>
        <v>364455</v>
      </c>
      <c r="H78" s="2"/>
      <c r="I78" s="3">
        <f>IFERROR(__xludf.DUMMYFUNCTION("""COMPUTED_VALUE"""),15579.0)</f>
        <v>15579</v>
      </c>
      <c r="J78" s="2">
        <f>IFERROR(__xludf.DUMMYFUNCTION("""COMPUTED_VALUE"""),681.0)</f>
        <v>681</v>
      </c>
      <c r="K78" s="3">
        <f>IFERROR(__xludf.DUMMYFUNCTION("""COMPUTED_VALUE"""),13577.0)</f>
        <v>13577</v>
      </c>
      <c r="L78" s="2">
        <f>IFERROR(__xludf.DUMMYFUNCTION("""COMPUTED_VALUE"""),164.0)</f>
        <v>164</v>
      </c>
      <c r="M78" s="3">
        <f>IFERROR(__xludf.DUMMYFUNCTION("""COMPUTED_VALUE"""),3359014.0)</f>
        <v>3359014</v>
      </c>
      <c r="N78" s="3">
        <f>IFERROR(__xludf.DUMMYFUNCTION("""COMPUTED_VALUE"""),118555.0)</f>
        <v>118555</v>
      </c>
      <c r="O78" s="3">
        <f>IFERROR(__xludf.DUMMYFUNCTION("""COMPUTED_VALUE"""),2.8333033E7)</f>
        <v>28333033</v>
      </c>
      <c r="P78" s="2" t="str">
        <f>IFERROR(__xludf.DUMMYFUNCTION("""COMPUTED_VALUE"""),"South America")</f>
        <v>South America</v>
      </c>
      <c r="Q78" s="2">
        <f>IFERROR(__xludf.DUMMYFUNCTION("""COMPUTED_VALUE"""),74.0)</f>
        <v>74</v>
      </c>
      <c r="R78" s="3">
        <f>IFERROR(__xludf.DUMMYFUNCTION("""COMPUTED_VALUE"""),6114.0)</f>
        <v>6114</v>
      </c>
      <c r="S78" s="2">
        <f>IFERROR(__xludf.DUMMYFUNCTION("""COMPUTED_VALUE"""),8.0)</f>
        <v>8</v>
      </c>
      <c r="T78" s="2"/>
      <c r="U78" s="2"/>
      <c r="V78" s="2">
        <f>IFERROR(__xludf.DUMMYFUNCTION("""COMPUTED_VALUE"""),550.0)</f>
        <v>550</v>
      </c>
    </row>
    <row r="79" ht="15.75" customHeight="1">
      <c r="A79" s="2">
        <f>IFERROR(__xludf.DUMMYFUNCTION("""COMPUTED_VALUE"""),70.0)</f>
        <v>70</v>
      </c>
      <c r="B79" s="2" t="str">
        <f>IFERROR(__xludf.DUMMYFUNCTION("""COMPUTED_VALUE"""),"Honduras")</f>
        <v>Honduras</v>
      </c>
      <c r="C79" s="3">
        <f>IFERROR(__xludf.DUMMYFUNCTION("""COMPUTED_VALUE"""),370262.0)</f>
        <v>370262</v>
      </c>
      <c r="D79" s="2" t="str">
        <f>IFERROR(__xludf.DUMMYFUNCTION("""COMPUTED_VALUE"""),"+516")</f>
        <v>+516</v>
      </c>
      <c r="E79" s="3">
        <f>IFERROR(__xludf.DUMMYFUNCTION("""COMPUTED_VALUE"""),10010.0)</f>
        <v>10010</v>
      </c>
      <c r="F79" s="2" t="str">
        <f>IFERROR(__xludf.DUMMYFUNCTION("""COMPUTED_VALUE"""),"+22")</f>
        <v>+22</v>
      </c>
      <c r="G79" s="3">
        <f>IFERROR(__xludf.DUMMYFUNCTION("""COMPUTED_VALUE"""),112295.0)</f>
        <v>112295</v>
      </c>
      <c r="H79" s="2" t="str">
        <f>IFERROR(__xludf.DUMMYFUNCTION("""COMPUTED_VALUE"""),"+365")</f>
        <v>+365</v>
      </c>
      <c r="I79" s="3">
        <f>IFERROR(__xludf.DUMMYFUNCTION("""COMPUTED_VALUE"""),247957.0)</f>
        <v>247957</v>
      </c>
      <c r="J79" s="2">
        <f>IFERROR(__xludf.DUMMYFUNCTION("""COMPUTED_VALUE"""),350.0)</f>
        <v>350</v>
      </c>
      <c r="K79" s="3">
        <f>IFERROR(__xludf.DUMMYFUNCTION("""COMPUTED_VALUE"""),36640.0)</f>
        <v>36640</v>
      </c>
      <c r="L79" s="2">
        <f>IFERROR(__xludf.DUMMYFUNCTION("""COMPUTED_VALUE"""),991.0)</f>
        <v>991</v>
      </c>
      <c r="M79" s="3">
        <f>IFERROR(__xludf.DUMMYFUNCTION("""COMPUTED_VALUE"""),1060480.0)</f>
        <v>1060480</v>
      </c>
      <c r="N79" s="3">
        <f>IFERROR(__xludf.DUMMYFUNCTION("""COMPUTED_VALUE"""),104942.0)</f>
        <v>104942</v>
      </c>
      <c r="O79" s="3">
        <f>IFERROR(__xludf.DUMMYFUNCTION("""COMPUTED_VALUE"""),1.0105351E7)</f>
        <v>10105351</v>
      </c>
      <c r="P79" s="2" t="str">
        <f>IFERROR(__xludf.DUMMYFUNCTION("""COMPUTED_VALUE"""),"North America")</f>
        <v>North America</v>
      </c>
      <c r="Q79" s="2">
        <f>IFERROR(__xludf.DUMMYFUNCTION("""COMPUTED_VALUE"""),27.0)</f>
        <v>27</v>
      </c>
      <c r="R79" s="3">
        <f>IFERROR(__xludf.DUMMYFUNCTION("""COMPUTED_VALUE"""),1010.0)</f>
        <v>1010</v>
      </c>
      <c r="S79" s="2">
        <f>IFERROR(__xludf.DUMMYFUNCTION("""COMPUTED_VALUE"""),10.0)</f>
        <v>10</v>
      </c>
      <c r="T79" s="2">
        <f>IFERROR(__xludf.DUMMYFUNCTION("""COMPUTED_VALUE"""),51.0)</f>
        <v>51</v>
      </c>
      <c r="U79" s="2">
        <f>IFERROR(__xludf.DUMMYFUNCTION("""COMPUTED_VALUE"""),2.0)</f>
        <v>2</v>
      </c>
      <c r="V79" s="3">
        <f>IFERROR(__xludf.DUMMYFUNCTION("""COMPUTED_VALUE"""),24537.0)</f>
        <v>24537</v>
      </c>
    </row>
    <row r="80" ht="15.75" customHeight="1">
      <c r="A80" s="2">
        <f>IFERROR(__xludf.DUMMYFUNCTION("""COMPUTED_VALUE"""),71.0)</f>
        <v>71</v>
      </c>
      <c r="B80" s="2" t="str">
        <f>IFERROR(__xludf.DUMMYFUNCTION("""COMPUTED_VALUE"""),"Dominican Republic")</f>
        <v>Dominican Republic</v>
      </c>
      <c r="C80" s="3">
        <f>IFERROR(__xludf.DUMMYFUNCTION("""COMPUTED_VALUE"""),366711.0)</f>
        <v>366711</v>
      </c>
      <c r="D80" s="2" t="str">
        <f>IFERROR(__xludf.DUMMYFUNCTION("""COMPUTED_VALUE"""),"+520")</f>
        <v>+520</v>
      </c>
      <c r="E80" s="3">
        <f>IFERROR(__xludf.DUMMYFUNCTION("""COMPUTED_VALUE"""),4072.0)</f>
        <v>4072</v>
      </c>
      <c r="F80" s="2" t="str">
        <f>IFERROR(__xludf.DUMMYFUNCTION("""COMPUTED_VALUE"""),"+5")</f>
        <v>+5</v>
      </c>
      <c r="G80" s="3">
        <f>IFERROR(__xludf.DUMMYFUNCTION("""COMPUTED_VALUE"""),355023.0)</f>
        <v>355023</v>
      </c>
      <c r="H80" s="2" t="str">
        <f>IFERROR(__xludf.DUMMYFUNCTION("""COMPUTED_VALUE"""),"+691")</f>
        <v>+691</v>
      </c>
      <c r="I80" s="3">
        <f>IFERROR(__xludf.DUMMYFUNCTION("""COMPUTED_VALUE"""),7616.0)</f>
        <v>7616</v>
      </c>
      <c r="J80" s="2">
        <f>IFERROR(__xludf.DUMMYFUNCTION("""COMPUTED_VALUE"""),207.0)</f>
        <v>207</v>
      </c>
      <c r="K80" s="3">
        <f>IFERROR(__xludf.DUMMYFUNCTION("""COMPUTED_VALUE"""),33378.0)</f>
        <v>33378</v>
      </c>
      <c r="L80" s="2">
        <f>IFERROR(__xludf.DUMMYFUNCTION("""COMPUTED_VALUE"""),371.0)</f>
        <v>371</v>
      </c>
      <c r="M80" s="3">
        <f>IFERROR(__xludf.DUMMYFUNCTION("""COMPUTED_VALUE"""),2115185.0)</f>
        <v>2115185</v>
      </c>
      <c r="N80" s="3">
        <f>IFERROR(__xludf.DUMMYFUNCTION("""COMPUTED_VALUE"""),192523.0)</f>
        <v>192523</v>
      </c>
      <c r="O80" s="3">
        <f>IFERROR(__xludf.DUMMYFUNCTION("""COMPUTED_VALUE"""),1.0986655E7)</f>
        <v>10986655</v>
      </c>
      <c r="P80" s="2" t="str">
        <f>IFERROR(__xludf.DUMMYFUNCTION("""COMPUTED_VALUE"""),"North America")</f>
        <v>North America</v>
      </c>
      <c r="Q80" s="2">
        <f>IFERROR(__xludf.DUMMYFUNCTION("""COMPUTED_VALUE"""),30.0)</f>
        <v>30</v>
      </c>
      <c r="R80" s="3">
        <f>IFERROR(__xludf.DUMMYFUNCTION("""COMPUTED_VALUE"""),2698.0)</f>
        <v>2698</v>
      </c>
      <c r="S80" s="2">
        <f>IFERROR(__xludf.DUMMYFUNCTION("""COMPUTED_VALUE"""),5.0)</f>
        <v>5</v>
      </c>
      <c r="T80" s="2">
        <f>IFERROR(__xludf.DUMMYFUNCTION("""COMPUTED_VALUE"""),47.0)</f>
        <v>47</v>
      </c>
      <c r="U80" s="2">
        <f>IFERROR(__xludf.DUMMYFUNCTION("""COMPUTED_VALUE"""),0.5)</f>
        <v>0.5</v>
      </c>
      <c r="V80" s="2">
        <f>IFERROR(__xludf.DUMMYFUNCTION("""COMPUTED_VALUE"""),693.0)</f>
        <v>693</v>
      </c>
    </row>
    <row r="81" ht="15.75" customHeight="1">
      <c r="A81" s="2">
        <f>IFERROR(__xludf.DUMMYFUNCTION("""COMPUTED_VALUE"""),72.0)</f>
        <v>72</v>
      </c>
      <c r="B81" s="2" t="str">
        <f>IFERROR(__xludf.DUMMYFUNCTION("""COMPUTED_VALUE"""),"Denmark")</f>
        <v>Denmark</v>
      </c>
      <c r="C81" s="3">
        <f>IFERROR(__xludf.DUMMYFUNCTION("""COMPUTED_VALUE"""),365051.0)</f>
        <v>365051</v>
      </c>
      <c r="D81" s="2" t="str">
        <f>IFERROR(__xludf.DUMMYFUNCTION("""COMPUTED_VALUE"""),"+587")</f>
        <v>+587</v>
      </c>
      <c r="E81" s="3">
        <f>IFERROR(__xludf.DUMMYFUNCTION("""COMPUTED_VALUE"""),2674.0)</f>
        <v>2674</v>
      </c>
      <c r="F81" s="2" t="str">
        <f>IFERROR(__xludf.DUMMYFUNCTION("""COMPUTED_VALUE"""),"+3")</f>
        <v>+3</v>
      </c>
      <c r="G81" s="3">
        <f>IFERROR(__xludf.DUMMYFUNCTION("""COMPUTED_VALUE"""),355181.0)</f>
        <v>355181</v>
      </c>
      <c r="H81" s="2" t="str">
        <f>IFERROR(__xludf.DUMMYFUNCTION("""COMPUTED_VALUE"""),"+485")</f>
        <v>+485</v>
      </c>
      <c r="I81" s="3">
        <f>IFERROR(__xludf.DUMMYFUNCTION("""COMPUTED_VALUE"""),7196.0)</f>
        <v>7196</v>
      </c>
      <c r="J81" s="2">
        <f>IFERROR(__xludf.DUMMYFUNCTION("""COMPUTED_VALUE"""),17.0)</f>
        <v>17</v>
      </c>
      <c r="K81" s="3">
        <f>IFERROR(__xludf.DUMMYFUNCTION("""COMPUTED_VALUE"""),62743.0)</f>
        <v>62743</v>
      </c>
      <c r="L81" s="2">
        <f>IFERROR(__xludf.DUMMYFUNCTION("""COMPUTED_VALUE"""),460.0)</f>
        <v>460</v>
      </c>
      <c r="M81" s="3">
        <f>IFERROR(__xludf.DUMMYFUNCTION("""COMPUTED_VALUE"""),8.4399258E7)</f>
        <v>84399258</v>
      </c>
      <c r="N81" s="3">
        <f>IFERROR(__xludf.DUMMYFUNCTION("""COMPUTED_VALUE"""),1.4505982E7)</f>
        <v>14505982</v>
      </c>
      <c r="O81" s="3">
        <f>IFERROR(__xludf.DUMMYFUNCTION("""COMPUTED_VALUE"""),5818238.0)</f>
        <v>5818238</v>
      </c>
      <c r="P81" s="2" t="str">
        <f>IFERROR(__xludf.DUMMYFUNCTION("""COMPUTED_VALUE"""),"Europe")</f>
        <v>Europe</v>
      </c>
      <c r="Q81" s="2">
        <f>IFERROR(__xludf.DUMMYFUNCTION("""COMPUTED_VALUE"""),16.0)</f>
        <v>16</v>
      </c>
      <c r="R81" s="3">
        <f>IFERROR(__xludf.DUMMYFUNCTION("""COMPUTED_VALUE"""),2176.0)</f>
        <v>2176</v>
      </c>
      <c r="S81" s="2">
        <f>IFERROR(__xludf.DUMMYFUNCTION("""COMPUTED_VALUE"""),0.0)</f>
        <v>0</v>
      </c>
      <c r="T81" s="2">
        <f>IFERROR(__xludf.DUMMYFUNCTION("""COMPUTED_VALUE"""),101.0)</f>
        <v>101</v>
      </c>
      <c r="U81" s="2">
        <f>IFERROR(__xludf.DUMMYFUNCTION("""COMPUTED_VALUE"""),0.5)</f>
        <v>0.5</v>
      </c>
      <c r="V81" s="3">
        <f>IFERROR(__xludf.DUMMYFUNCTION("""COMPUTED_VALUE"""),1237.0)</f>
        <v>1237</v>
      </c>
    </row>
    <row r="82" ht="15.75" customHeight="1">
      <c r="A82" s="2">
        <f>IFERROR(__xludf.DUMMYFUNCTION("""COMPUTED_VALUE"""),73.0)</f>
        <v>73</v>
      </c>
      <c r="B82" s="2" t="str">
        <f>IFERROR(__xludf.DUMMYFUNCTION("""COMPUTED_VALUE"""),"Ethiopia")</f>
        <v>Ethiopia</v>
      </c>
      <c r="C82" s="3">
        <f>IFERROR(__xludf.DUMMYFUNCTION("""COMPUTED_VALUE"""),355843.0)</f>
        <v>355843</v>
      </c>
      <c r="D82" s="2" t="str">
        <f>IFERROR(__xludf.DUMMYFUNCTION("""COMPUTED_VALUE"""),"+842")</f>
        <v>+842</v>
      </c>
      <c r="E82" s="3">
        <f>IFERROR(__xludf.DUMMYFUNCTION("""COMPUTED_VALUE"""),6066.0)</f>
        <v>6066</v>
      </c>
      <c r="F82" s="2" t="str">
        <f>IFERROR(__xludf.DUMMYFUNCTION("""COMPUTED_VALUE"""),"+40")</f>
        <v>+40</v>
      </c>
      <c r="G82" s="3">
        <f>IFERROR(__xludf.DUMMYFUNCTION("""COMPUTED_VALUE"""),324988.0)</f>
        <v>324988</v>
      </c>
      <c r="H82" s="2" t="str">
        <f>IFERROR(__xludf.DUMMYFUNCTION("""COMPUTED_VALUE"""),"+538")</f>
        <v>+538</v>
      </c>
      <c r="I82" s="3">
        <f>IFERROR(__xludf.DUMMYFUNCTION("""COMPUTED_VALUE"""),24789.0)</f>
        <v>24789</v>
      </c>
      <c r="J82" s="2">
        <f>IFERROR(__xludf.DUMMYFUNCTION("""COMPUTED_VALUE"""),715.0)</f>
        <v>715</v>
      </c>
      <c r="K82" s="3">
        <f>IFERROR(__xludf.DUMMYFUNCTION("""COMPUTED_VALUE"""),3001.0)</f>
        <v>3001</v>
      </c>
      <c r="L82" s="2">
        <f>IFERROR(__xludf.DUMMYFUNCTION("""COMPUTED_VALUE"""),51.0)</f>
        <v>51</v>
      </c>
      <c r="M82" s="3">
        <f>IFERROR(__xludf.DUMMYFUNCTION("""COMPUTED_VALUE"""),3564836.0)</f>
        <v>3564836</v>
      </c>
      <c r="N82" s="3">
        <f>IFERROR(__xludf.DUMMYFUNCTION("""COMPUTED_VALUE"""),30061.0)</f>
        <v>30061</v>
      </c>
      <c r="O82" s="3">
        <f>IFERROR(__xludf.DUMMYFUNCTION("""COMPUTED_VALUE"""),1.18587254E8)</f>
        <v>118587254</v>
      </c>
      <c r="P82" s="2" t="str">
        <f>IFERROR(__xludf.DUMMYFUNCTION("""COMPUTED_VALUE"""),"Africa")</f>
        <v>Africa</v>
      </c>
      <c r="Q82" s="2">
        <f>IFERROR(__xludf.DUMMYFUNCTION("""COMPUTED_VALUE"""),333.0)</f>
        <v>333</v>
      </c>
      <c r="R82" s="3">
        <f>IFERROR(__xludf.DUMMYFUNCTION("""COMPUTED_VALUE"""),19549.0)</f>
        <v>19549</v>
      </c>
      <c r="S82" s="2">
        <f>IFERROR(__xludf.DUMMYFUNCTION("""COMPUTED_VALUE"""),33.0)</f>
        <v>33</v>
      </c>
      <c r="T82" s="2">
        <f>IFERROR(__xludf.DUMMYFUNCTION("""COMPUTED_VALUE"""),7.0)</f>
        <v>7</v>
      </c>
      <c r="U82" s="2">
        <f>IFERROR(__xludf.DUMMYFUNCTION("""COMPUTED_VALUE"""),0.3)</f>
        <v>0.3</v>
      </c>
      <c r="V82" s="2">
        <f>IFERROR(__xludf.DUMMYFUNCTION("""COMPUTED_VALUE"""),209.0)</f>
        <v>209</v>
      </c>
    </row>
    <row r="83" ht="15.75" customHeight="1">
      <c r="A83" s="2">
        <f>IFERROR(__xludf.DUMMYFUNCTION("""COMPUTED_VALUE"""),74.0)</f>
        <v>74</v>
      </c>
      <c r="B83" s="2" t="str">
        <f>IFERROR(__xludf.DUMMYFUNCTION("""COMPUTED_VALUE"""),"Lithuania")</f>
        <v>Lithuania</v>
      </c>
      <c r="C83" s="3">
        <f>IFERROR(__xludf.DUMMYFUNCTION("""COMPUTED_VALUE"""),355061.0)</f>
        <v>355061</v>
      </c>
      <c r="D83" s="2" t="str">
        <f>IFERROR(__xludf.DUMMYFUNCTION("""COMPUTED_VALUE"""),"+1,238")</f>
        <v>+1,238</v>
      </c>
      <c r="E83" s="3">
        <f>IFERROR(__xludf.DUMMYFUNCTION("""COMPUTED_VALUE"""),5282.0)</f>
        <v>5282</v>
      </c>
      <c r="F83" s="2" t="str">
        <f>IFERROR(__xludf.DUMMYFUNCTION("""COMPUTED_VALUE"""),"+14")</f>
        <v>+14</v>
      </c>
      <c r="G83" s="3">
        <f>IFERROR(__xludf.DUMMYFUNCTION("""COMPUTED_VALUE"""),320066.0)</f>
        <v>320066</v>
      </c>
      <c r="H83" s="2" t="str">
        <f>IFERROR(__xludf.DUMMYFUNCTION("""COMPUTED_VALUE"""),"+3,212")</f>
        <v>+3,212</v>
      </c>
      <c r="I83" s="3">
        <f>IFERROR(__xludf.DUMMYFUNCTION("""COMPUTED_VALUE"""),29713.0)</f>
        <v>29713</v>
      </c>
      <c r="J83" s="2">
        <f>IFERROR(__xludf.DUMMYFUNCTION("""COMPUTED_VALUE"""),229.0)</f>
        <v>229</v>
      </c>
      <c r="K83" s="3">
        <f>IFERROR(__xludf.DUMMYFUNCTION("""COMPUTED_VALUE"""),132796.0)</f>
        <v>132796</v>
      </c>
      <c r="L83" s="3">
        <f>IFERROR(__xludf.DUMMYFUNCTION("""COMPUTED_VALUE"""),1976.0)</f>
        <v>1976</v>
      </c>
      <c r="M83" s="3">
        <f>IFERROR(__xludf.DUMMYFUNCTION("""COMPUTED_VALUE"""),5187322.0)</f>
        <v>5187322</v>
      </c>
      <c r="N83" s="3">
        <f>IFERROR(__xludf.DUMMYFUNCTION("""COMPUTED_VALUE"""),1940106.0)</f>
        <v>1940106</v>
      </c>
      <c r="O83" s="3">
        <f>IFERROR(__xludf.DUMMYFUNCTION("""COMPUTED_VALUE"""),2673731.0)</f>
        <v>2673731</v>
      </c>
      <c r="P83" s="2" t="str">
        <f>IFERROR(__xludf.DUMMYFUNCTION("""COMPUTED_VALUE"""),"Europe")</f>
        <v>Europe</v>
      </c>
      <c r="Q83" s="2">
        <f>IFERROR(__xludf.DUMMYFUNCTION("""COMPUTED_VALUE"""),8.0)</f>
        <v>8</v>
      </c>
      <c r="R83" s="2">
        <f>IFERROR(__xludf.DUMMYFUNCTION("""COMPUTED_VALUE"""),506.0)</f>
        <v>506</v>
      </c>
      <c r="S83" s="2">
        <f>IFERROR(__xludf.DUMMYFUNCTION("""COMPUTED_VALUE"""),1.0)</f>
        <v>1</v>
      </c>
      <c r="T83" s="2">
        <f>IFERROR(__xludf.DUMMYFUNCTION("""COMPUTED_VALUE"""),463.0)</f>
        <v>463</v>
      </c>
      <c r="U83" s="2">
        <f>IFERROR(__xludf.DUMMYFUNCTION("""COMPUTED_VALUE"""),5.0)</f>
        <v>5</v>
      </c>
      <c r="V83" s="3">
        <f>IFERROR(__xludf.DUMMYFUNCTION("""COMPUTED_VALUE"""),11113.0)</f>
        <v>11113</v>
      </c>
    </row>
    <row r="84" ht="15.75" customHeight="1">
      <c r="A84" s="2">
        <f>IFERROR(__xludf.DUMMYFUNCTION("""COMPUTED_VALUE"""),75.0)</f>
        <v>75</v>
      </c>
      <c r="B84" s="2" t="str">
        <f>IFERROR(__xludf.DUMMYFUNCTION("""COMPUTED_VALUE"""),"Libya")</f>
        <v>Libya</v>
      </c>
      <c r="C84" s="3">
        <f>IFERROR(__xludf.DUMMYFUNCTION("""COMPUTED_VALUE"""),347364.0)</f>
        <v>347364</v>
      </c>
      <c r="D84" s="2" t="str">
        <f>IFERROR(__xludf.DUMMYFUNCTION("""COMPUTED_VALUE"""),"+551")</f>
        <v>+551</v>
      </c>
      <c r="E84" s="3">
        <f>IFERROR(__xludf.DUMMYFUNCTION("""COMPUTED_VALUE"""),4808.0)</f>
        <v>4808</v>
      </c>
      <c r="F84" s="2" t="str">
        <f>IFERROR(__xludf.DUMMYFUNCTION("""COMPUTED_VALUE"""),"+16")</f>
        <v>+16</v>
      </c>
      <c r="G84" s="3">
        <f>IFERROR(__xludf.DUMMYFUNCTION("""COMPUTED_VALUE"""),272917.0)</f>
        <v>272917</v>
      </c>
      <c r="H84" s="2" t="str">
        <f>IFERROR(__xludf.DUMMYFUNCTION("""COMPUTED_VALUE"""),"+1,467")</f>
        <v>+1,467</v>
      </c>
      <c r="I84" s="3">
        <f>IFERROR(__xludf.DUMMYFUNCTION("""COMPUTED_VALUE"""),69639.0)</f>
        <v>69639</v>
      </c>
      <c r="J84" s="2"/>
      <c r="K84" s="3">
        <f>IFERROR(__xludf.DUMMYFUNCTION("""COMPUTED_VALUE"""),49692.0)</f>
        <v>49692</v>
      </c>
      <c r="L84" s="2">
        <f>IFERROR(__xludf.DUMMYFUNCTION("""COMPUTED_VALUE"""),688.0)</f>
        <v>688</v>
      </c>
      <c r="M84" s="3">
        <f>IFERROR(__xludf.DUMMYFUNCTION("""COMPUTED_VALUE"""),1719728.0)</f>
        <v>1719728</v>
      </c>
      <c r="N84" s="3">
        <f>IFERROR(__xludf.DUMMYFUNCTION("""COMPUTED_VALUE"""),246013.0)</f>
        <v>246013</v>
      </c>
      <c r="O84" s="3">
        <f>IFERROR(__xludf.DUMMYFUNCTION("""COMPUTED_VALUE"""),6990403.0)</f>
        <v>6990403</v>
      </c>
      <c r="P84" s="2" t="str">
        <f>IFERROR(__xludf.DUMMYFUNCTION("""COMPUTED_VALUE"""),"Africa")</f>
        <v>Africa</v>
      </c>
      <c r="Q84" s="2">
        <f>IFERROR(__xludf.DUMMYFUNCTION("""COMPUTED_VALUE"""),20.0)</f>
        <v>20</v>
      </c>
      <c r="R84" s="3">
        <f>IFERROR(__xludf.DUMMYFUNCTION("""COMPUTED_VALUE"""),1454.0)</f>
        <v>1454</v>
      </c>
      <c r="S84" s="2">
        <f>IFERROR(__xludf.DUMMYFUNCTION("""COMPUTED_VALUE"""),4.0)</f>
        <v>4</v>
      </c>
      <c r="T84" s="2">
        <f>IFERROR(__xludf.DUMMYFUNCTION("""COMPUTED_VALUE"""),79.0)</f>
        <v>79</v>
      </c>
      <c r="U84" s="2">
        <f>IFERROR(__xludf.DUMMYFUNCTION("""COMPUTED_VALUE"""),2.0)</f>
        <v>2</v>
      </c>
      <c r="V84" s="3">
        <f>IFERROR(__xludf.DUMMYFUNCTION("""COMPUTED_VALUE"""),9962.0)</f>
        <v>9962</v>
      </c>
    </row>
    <row r="85" ht="15.75" customHeight="1">
      <c r="A85" s="2">
        <f>IFERROR(__xludf.DUMMYFUNCTION("""COMPUTED_VALUE"""),76.0)</f>
        <v>76</v>
      </c>
      <c r="B85" s="2" t="str">
        <f>IFERROR(__xludf.DUMMYFUNCTION("""COMPUTED_VALUE"""),"S. Korea")</f>
        <v>S. Korea</v>
      </c>
      <c r="C85" s="3">
        <f>IFERROR(__xludf.DUMMYFUNCTION("""COMPUTED_VALUE"""),334163.0)</f>
        <v>334163</v>
      </c>
      <c r="D85" s="2" t="str">
        <f>IFERROR(__xludf.DUMMYFUNCTION("""COMPUTED_VALUE"""),"+1,347")</f>
        <v>+1,347</v>
      </c>
      <c r="E85" s="3">
        <f>IFERROR(__xludf.DUMMYFUNCTION("""COMPUTED_VALUE"""),2594.0)</f>
        <v>2594</v>
      </c>
      <c r="F85" s="2" t="str">
        <f>IFERROR(__xludf.DUMMYFUNCTION("""COMPUTED_VALUE"""),"+11")</f>
        <v>+11</v>
      </c>
      <c r="G85" s="3">
        <f>IFERROR(__xludf.DUMMYFUNCTION("""COMPUTED_VALUE"""),299260.0)</f>
        <v>299260</v>
      </c>
      <c r="H85" s="2" t="str">
        <f>IFERROR(__xludf.DUMMYFUNCTION("""COMPUTED_VALUE"""),"+1,238")</f>
        <v>+1,238</v>
      </c>
      <c r="I85" s="3">
        <f>IFERROR(__xludf.DUMMYFUNCTION("""COMPUTED_VALUE"""),32309.0)</f>
        <v>32309</v>
      </c>
      <c r="J85" s="2">
        <f>IFERROR(__xludf.DUMMYFUNCTION("""COMPUTED_VALUE"""),364.0)</f>
        <v>364</v>
      </c>
      <c r="K85" s="3">
        <f>IFERROR(__xludf.DUMMYFUNCTION("""COMPUTED_VALUE"""),6511.0)</f>
        <v>6511</v>
      </c>
      <c r="L85" s="2">
        <f>IFERROR(__xludf.DUMMYFUNCTION("""COMPUTED_VALUE"""),51.0)</f>
        <v>51</v>
      </c>
      <c r="M85" s="3">
        <f>IFERROR(__xludf.DUMMYFUNCTION("""COMPUTED_VALUE"""),1.5007584E7)</f>
        <v>15007584</v>
      </c>
      <c r="N85" s="3">
        <f>IFERROR(__xludf.DUMMYFUNCTION("""COMPUTED_VALUE"""),292400.0)</f>
        <v>292400</v>
      </c>
      <c r="O85" s="3">
        <f>IFERROR(__xludf.DUMMYFUNCTION("""COMPUTED_VALUE"""),5.1325521E7)</f>
        <v>51325521</v>
      </c>
      <c r="P85" s="2" t="str">
        <f>IFERROR(__xludf.DUMMYFUNCTION("""COMPUTED_VALUE"""),"Asia")</f>
        <v>Asia</v>
      </c>
      <c r="Q85" s="2">
        <f>IFERROR(__xludf.DUMMYFUNCTION("""COMPUTED_VALUE"""),154.0)</f>
        <v>154</v>
      </c>
      <c r="R85" s="3">
        <f>IFERROR(__xludf.DUMMYFUNCTION("""COMPUTED_VALUE"""),19786.0)</f>
        <v>19786</v>
      </c>
      <c r="S85" s="2">
        <f>IFERROR(__xludf.DUMMYFUNCTION("""COMPUTED_VALUE"""),3.0)</f>
        <v>3</v>
      </c>
      <c r="T85" s="2">
        <f>IFERROR(__xludf.DUMMYFUNCTION("""COMPUTED_VALUE"""),26.0)</f>
        <v>26</v>
      </c>
      <c r="U85" s="2">
        <f>IFERROR(__xludf.DUMMYFUNCTION("""COMPUTED_VALUE"""),0.2)</f>
        <v>0.2</v>
      </c>
      <c r="V85" s="2">
        <f>IFERROR(__xludf.DUMMYFUNCTION("""COMPUTED_VALUE"""),629.0)</f>
        <v>629</v>
      </c>
    </row>
    <row r="86" ht="15.75" customHeight="1">
      <c r="A86" s="2">
        <f>IFERROR(__xludf.DUMMYFUNCTION("""COMPUTED_VALUE"""),77.0)</f>
        <v>77</v>
      </c>
      <c r="B86" s="2" t="str">
        <f>IFERROR(__xludf.DUMMYFUNCTION("""COMPUTED_VALUE"""),"Mongolia")</f>
        <v>Mongolia</v>
      </c>
      <c r="C86" s="3">
        <f>IFERROR(__xludf.DUMMYFUNCTION("""COMPUTED_VALUE"""),328304.0)</f>
        <v>328304</v>
      </c>
      <c r="D86" s="2" t="str">
        <f>IFERROR(__xludf.DUMMYFUNCTION("""COMPUTED_VALUE"""),"+1,566")</f>
        <v>+1,566</v>
      </c>
      <c r="E86" s="3">
        <f>IFERROR(__xludf.DUMMYFUNCTION("""COMPUTED_VALUE"""),1465.0)</f>
        <v>1465</v>
      </c>
      <c r="F86" s="2" t="str">
        <f>IFERROR(__xludf.DUMMYFUNCTION("""COMPUTED_VALUE"""),"+15")</f>
        <v>+15</v>
      </c>
      <c r="G86" s="3">
        <f>IFERROR(__xludf.DUMMYFUNCTION("""COMPUTED_VALUE"""),300074.0)</f>
        <v>300074</v>
      </c>
      <c r="H86" s="2"/>
      <c r="I86" s="3">
        <f>IFERROR(__xludf.DUMMYFUNCTION("""COMPUTED_VALUE"""),26765.0)</f>
        <v>26765</v>
      </c>
      <c r="J86" s="2">
        <f>IFERROR(__xludf.DUMMYFUNCTION("""COMPUTED_VALUE"""),192.0)</f>
        <v>192</v>
      </c>
      <c r="K86" s="3">
        <f>IFERROR(__xludf.DUMMYFUNCTION("""COMPUTED_VALUE"""),98131.0)</f>
        <v>98131</v>
      </c>
      <c r="L86" s="2">
        <f>IFERROR(__xludf.DUMMYFUNCTION("""COMPUTED_VALUE"""),438.0)</f>
        <v>438</v>
      </c>
      <c r="M86" s="3">
        <f>IFERROR(__xludf.DUMMYFUNCTION("""COMPUTED_VALUE"""),4022930.0)</f>
        <v>4022930</v>
      </c>
      <c r="N86" s="3">
        <f>IFERROR(__xludf.DUMMYFUNCTION("""COMPUTED_VALUE"""),1202467.0)</f>
        <v>1202467</v>
      </c>
      <c r="O86" s="3">
        <f>IFERROR(__xludf.DUMMYFUNCTION("""COMPUTED_VALUE"""),3345563.0)</f>
        <v>3345563</v>
      </c>
      <c r="P86" s="2" t="str">
        <f>IFERROR(__xludf.DUMMYFUNCTION("""COMPUTED_VALUE"""),"Asia")</f>
        <v>Asia</v>
      </c>
      <c r="Q86" s="2">
        <f>IFERROR(__xludf.DUMMYFUNCTION("""COMPUTED_VALUE"""),10.0)</f>
        <v>10</v>
      </c>
      <c r="R86" s="3">
        <f>IFERROR(__xludf.DUMMYFUNCTION("""COMPUTED_VALUE"""),2284.0)</f>
        <v>2284</v>
      </c>
      <c r="S86" s="2">
        <f>IFERROR(__xludf.DUMMYFUNCTION("""COMPUTED_VALUE"""),1.0)</f>
        <v>1</v>
      </c>
      <c r="T86" s="2">
        <f>IFERROR(__xludf.DUMMYFUNCTION("""COMPUTED_VALUE"""),468.0)</f>
        <v>468</v>
      </c>
      <c r="U86" s="2">
        <f>IFERROR(__xludf.DUMMYFUNCTION("""COMPUTED_VALUE"""),4.0)</f>
        <v>4</v>
      </c>
      <c r="V86" s="3">
        <f>IFERROR(__xludf.DUMMYFUNCTION("""COMPUTED_VALUE"""),8000.0)</f>
        <v>8000</v>
      </c>
    </row>
    <row r="87" ht="15.75" customHeight="1">
      <c r="A87" s="2">
        <f>IFERROR(__xludf.DUMMYFUNCTION("""COMPUTED_VALUE"""),78.0)</f>
        <v>78</v>
      </c>
      <c r="B87" s="2" t="str">
        <f>IFERROR(__xludf.DUMMYFUNCTION("""COMPUTED_VALUE"""),"Egypt")</f>
        <v>Egypt</v>
      </c>
      <c r="C87" s="3">
        <f>IFERROR(__xludf.DUMMYFUNCTION("""COMPUTED_VALUE"""),313259.0)</f>
        <v>313259</v>
      </c>
      <c r="D87" s="2"/>
      <c r="E87" s="3">
        <f>IFERROR(__xludf.DUMMYFUNCTION("""COMPUTED_VALUE"""),17726.0)</f>
        <v>17726</v>
      </c>
      <c r="F87" s="2"/>
      <c r="G87" s="3">
        <f>IFERROR(__xludf.DUMMYFUNCTION("""COMPUTED_VALUE"""),264345.0)</f>
        <v>264345</v>
      </c>
      <c r="H87" s="2"/>
      <c r="I87" s="3">
        <f>IFERROR(__xludf.DUMMYFUNCTION("""COMPUTED_VALUE"""),31188.0)</f>
        <v>31188</v>
      </c>
      <c r="J87" s="2">
        <f>IFERROR(__xludf.DUMMYFUNCTION("""COMPUTED_VALUE"""),90.0)</f>
        <v>90</v>
      </c>
      <c r="K87" s="3">
        <f>IFERROR(__xludf.DUMMYFUNCTION("""COMPUTED_VALUE"""),2989.0)</f>
        <v>2989</v>
      </c>
      <c r="L87" s="2">
        <f>IFERROR(__xludf.DUMMYFUNCTION("""COMPUTED_VALUE"""),169.0)</f>
        <v>169</v>
      </c>
      <c r="M87" s="3">
        <f>IFERROR(__xludf.DUMMYFUNCTION("""COMPUTED_VALUE"""),3693367.0)</f>
        <v>3693367</v>
      </c>
      <c r="N87" s="3">
        <f>IFERROR(__xludf.DUMMYFUNCTION("""COMPUTED_VALUE"""),35244.0)</f>
        <v>35244</v>
      </c>
      <c r="O87" s="3">
        <f>IFERROR(__xludf.DUMMYFUNCTION("""COMPUTED_VALUE"""),1.0479286E8)</f>
        <v>104792860</v>
      </c>
      <c r="P87" s="2" t="str">
        <f>IFERROR(__xludf.DUMMYFUNCTION("""COMPUTED_VALUE"""),"Africa")</f>
        <v>Africa</v>
      </c>
      <c r="Q87" s="2">
        <f>IFERROR(__xludf.DUMMYFUNCTION("""COMPUTED_VALUE"""),335.0)</f>
        <v>335</v>
      </c>
      <c r="R87" s="3">
        <f>IFERROR(__xludf.DUMMYFUNCTION("""COMPUTED_VALUE"""),5912.0)</f>
        <v>5912</v>
      </c>
      <c r="S87" s="2">
        <f>IFERROR(__xludf.DUMMYFUNCTION("""COMPUTED_VALUE"""),28.0)</f>
        <v>28</v>
      </c>
      <c r="T87" s="2"/>
      <c r="U87" s="2"/>
      <c r="V87" s="2">
        <f>IFERROR(__xludf.DUMMYFUNCTION("""COMPUTED_VALUE"""),298.0)</f>
        <v>298</v>
      </c>
    </row>
    <row r="88" ht="15.75" customHeight="1">
      <c r="A88" s="2">
        <f>IFERROR(__xludf.DUMMYFUNCTION("""COMPUTED_VALUE"""),79.0)</f>
        <v>79</v>
      </c>
      <c r="B88" s="2" t="str">
        <f>IFERROR(__xludf.DUMMYFUNCTION("""COMPUTED_VALUE"""),"Moldova")</f>
        <v>Moldova</v>
      </c>
      <c r="C88" s="3">
        <f>IFERROR(__xludf.DUMMYFUNCTION("""COMPUTED_VALUE"""),308724.0)</f>
        <v>308724</v>
      </c>
      <c r="D88" s="2" t="str">
        <f>IFERROR(__xludf.DUMMYFUNCTION("""COMPUTED_VALUE"""),"+1,542")</f>
        <v>+1,542</v>
      </c>
      <c r="E88" s="3">
        <f>IFERROR(__xludf.DUMMYFUNCTION("""COMPUTED_VALUE"""),7076.0)</f>
        <v>7076</v>
      </c>
      <c r="F88" s="2" t="str">
        <f>IFERROR(__xludf.DUMMYFUNCTION("""COMPUTED_VALUE"""),"+28")</f>
        <v>+28</v>
      </c>
      <c r="G88" s="3">
        <f>IFERROR(__xludf.DUMMYFUNCTION("""COMPUTED_VALUE"""),288915.0)</f>
        <v>288915</v>
      </c>
      <c r="H88" s="2"/>
      <c r="I88" s="3">
        <f>IFERROR(__xludf.DUMMYFUNCTION("""COMPUTED_VALUE"""),12733.0)</f>
        <v>12733</v>
      </c>
      <c r="J88" s="2">
        <f>IFERROR(__xludf.DUMMYFUNCTION("""COMPUTED_VALUE"""),162.0)</f>
        <v>162</v>
      </c>
      <c r="K88" s="3">
        <f>IFERROR(__xludf.DUMMYFUNCTION("""COMPUTED_VALUE"""),76759.0)</f>
        <v>76759</v>
      </c>
      <c r="L88" s="3">
        <f>IFERROR(__xludf.DUMMYFUNCTION("""COMPUTED_VALUE"""),1759.0)</f>
        <v>1759</v>
      </c>
      <c r="M88" s="3">
        <f>IFERROR(__xludf.DUMMYFUNCTION("""COMPUTED_VALUE"""),1863784.0)</f>
        <v>1863784</v>
      </c>
      <c r="N88" s="3">
        <f>IFERROR(__xludf.DUMMYFUNCTION("""COMPUTED_VALUE"""),463399.0)</f>
        <v>463399</v>
      </c>
      <c r="O88" s="3">
        <f>IFERROR(__xludf.DUMMYFUNCTION("""COMPUTED_VALUE"""),4021989.0)</f>
        <v>4021989</v>
      </c>
      <c r="P88" s="2" t="str">
        <f>IFERROR(__xludf.DUMMYFUNCTION("""COMPUTED_VALUE"""),"Europe")</f>
        <v>Europe</v>
      </c>
      <c r="Q88" s="2">
        <f>IFERROR(__xludf.DUMMYFUNCTION("""COMPUTED_VALUE"""),13.0)</f>
        <v>13</v>
      </c>
      <c r="R88" s="2">
        <f>IFERROR(__xludf.DUMMYFUNCTION("""COMPUTED_VALUE"""),568.0)</f>
        <v>568</v>
      </c>
      <c r="S88" s="2">
        <f>IFERROR(__xludf.DUMMYFUNCTION("""COMPUTED_VALUE"""),2.0)</f>
        <v>2</v>
      </c>
      <c r="T88" s="2">
        <f>IFERROR(__xludf.DUMMYFUNCTION("""COMPUTED_VALUE"""),383.0)</f>
        <v>383</v>
      </c>
      <c r="U88" s="2">
        <f>IFERROR(__xludf.DUMMYFUNCTION("""COMPUTED_VALUE"""),7.0)</f>
        <v>7</v>
      </c>
      <c r="V88" s="3">
        <f>IFERROR(__xludf.DUMMYFUNCTION("""COMPUTED_VALUE"""),3166.0)</f>
        <v>3166</v>
      </c>
    </row>
    <row r="89" ht="15.75" customHeight="1">
      <c r="A89" s="2">
        <f>IFERROR(__xludf.DUMMYFUNCTION("""COMPUTED_VALUE"""),80.0)</f>
        <v>80</v>
      </c>
      <c r="B89" s="2" t="str">
        <f>IFERROR(__xludf.DUMMYFUNCTION("""COMPUTED_VALUE"""),"Oman")</f>
        <v>Oman</v>
      </c>
      <c r="C89" s="3">
        <f>IFERROR(__xludf.DUMMYFUNCTION("""COMPUTED_VALUE"""),303999.0)</f>
        <v>303999</v>
      </c>
      <c r="D89" s="2" t="str">
        <f>IFERROR(__xludf.DUMMYFUNCTION("""COMPUTED_VALUE"""),"+21")</f>
        <v>+21</v>
      </c>
      <c r="E89" s="3">
        <f>IFERROR(__xludf.DUMMYFUNCTION("""COMPUTED_VALUE"""),4103.0)</f>
        <v>4103</v>
      </c>
      <c r="F89" s="2" t="str">
        <f>IFERROR(__xludf.DUMMYFUNCTION("""COMPUTED_VALUE"""),"+1")</f>
        <v>+1</v>
      </c>
      <c r="G89" s="3">
        <f>IFERROR(__xludf.DUMMYFUNCTION("""COMPUTED_VALUE"""),299334.0)</f>
        <v>299334</v>
      </c>
      <c r="H89" s="2" t="str">
        <f>IFERROR(__xludf.DUMMYFUNCTION("""COMPUTED_VALUE"""),"+25")</f>
        <v>+25</v>
      </c>
      <c r="I89" s="2">
        <f>IFERROR(__xludf.DUMMYFUNCTION("""COMPUTED_VALUE"""),562.0)</f>
        <v>562</v>
      </c>
      <c r="J89" s="2">
        <f>IFERROR(__xludf.DUMMYFUNCTION("""COMPUTED_VALUE"""),6.0)</f>
        <v>6</v>
      </c>
      <c r="K89" s="3">
        <f>IFERROR(__xludf.DUMMYFUNCTION("""COMPUTED_VALUE"""),57664.0)</f>
        <v>57664</v>
      </c>
      <c r="L89" s="2">
        <f>IFERROR(__xludf.DUMMYFUNCTION("""COMPUTED_VALUE"""),778.0)</f>
        <v>778</v>
      </c>
      <c r="M89" s="3">
        <f>IFERROR(__xludf.DUMMYFUNCTION("""COMPUTED_VALUE"""),2.5E7)</f>
        <v>25000000</v>
      </c>
      <c r="N89" s="3">
        <f>IFERROR(__xludf.DUMMYFUNCTION("""COMPUTED_VALUE"""),4742147.0)</f>
        <v>4742147</v>
      </c>
      <c r="O89" s="3">
        <f>IFERROR(__xludf.DUMMYFUNCTION("""COMPUTED_VALUE"""),5271874.0)</f>
        <v>5271874</v>
      </c>
      <c r="P89" s="2" t="str">
        <f>IFERROR(__xludf.DUMMYFUNCTION("""COMPUTED_VALUE"""),"Asia")</f>
        <v>Asia</v>
      </c>
      <c r="Q89" s="2">
        <f>IFERROR(__xludf.DUMMYFUNCTION("""COMPUTED_VALUE"""),17.0)</f>
        <v>17</v>
      </c>
      <c r="R89" s="3">
        <f>IFERROR(__xludf.DUMMYFUNCTION("""COMPUTED_VALUE"""),1285.0)</f>
        <v>1285</v>
      </c>
      <c r="S89" s="2">
        <f>IFERROR(__xludf.DUMMYFUNCTION("""COMPUTED_VALUE"""),0.0)</f>
        <v>0</v>
      </c>
      <c r="T89" s="2">
        <f>IFERROR(__xludf.DUMMYFUNCTION("""COMPUTED_VALUE"""),4.0)</f>
        <v>4</v>
      </c>
      <c r="U89" s="2">
        <f>IFERROR(__xludf.DUMMYFUNCTION("""COMPUTED_VALUE"""),0.2)</f>
        <v>0.2</v>
      </c>
      <c r="V89" s="2">
        <f>IFERROR(__xludf.DUMMYFUNCTION("""COMPUTED_VALUE"""),107.0)</f>
        <v>107</v>
      </c>
    </row>
    <row r="90" ht="15.75" customHeight="1">
      <c r="A90" s="2">
        <f>IFERROR(__xludf.DUMMYFUNCTION("""COMPUTED_VALUE"""),81.0)</f>
        <v>81</v>
      </c>
      <c r="B90" s="2" t="str">
        <f>IFERROR(__xludf.DUMMYFUNCTION("""COMPUTED_VALUE"""),"Slovenia")</f>
        <v>Slovenia</v>
      </c>
      <c r="C90" s="3">
        <f>IFERROR(__xludf.DUMMYFUNCTION("""COMPUTED_VALUE"""),302654.0)</f>
        <v>302654</v>
      </c>
      <c r="D90" s="2" t="str">
        <f>IFERROR(__xludf.DUMMYFUNCTION("""COMPUTED_VALUE"""),"+1,005")</f>
        <v>+1,005</v>
      </c>
      <c r="E90" s="3">
        <f>IFERROR(__xludf.DUMMYFUNCTION("""COMPUTED_VALUE"""),4618.0)</f>
        <v>4618</v>
      </c>
      <c r="F90" s="2" t="str">
        <f>IFERROR(__xludf.DUMMYFUNCTION("""COMPUTED_VALUE"""),"+1")</f>
        <v>+1</v>
      </c>
      <c r="G90" s="3">
        <f>IFERROR(__xludf.DUMMYFUNCTION("""COMPUTED_VALUE"""),286382.0)</f>
        <v>286382</v>
      </c>
      <c r="H90" s="2" t="str">
        <f>IFERROR(__xludf.DUMMYFUNCTION("""COMPUTED_VALUE"""),"+1,037")</f>
        <v>+1,037</v>
      </c>
      <c r="I90" s="3">
        <f>IFERROR(__xludf.DUMMYFUNCTION("""COMPUTED_VALUE"""),11654.0)</f>
        <v>11654</v>
      </c>
      <c r="J90" s="2">
        <f>IFERROR(__xludf.DUMMYFUNCTION("""COMPUTED_VALUE"""),78.0)</f>
        <v>78</v>
      </c>
      <c r="K90" s="3">
        <f>IFERROR(__xludf.DUMMYFUNCTION("""COMPUTED_VALUE"""),145556.0)</f>
        <v>145556</v>
      </c>
      <c r="L90" s="3">
        <f>IFERROR(__xludf.DUMMYFUNCTION("""COMPUTED_VALUE"""),2221.0)</f>
        <v>2221</v>
      </c>
      <c r="M90" s="3">
        <f>IFERROR(__xludf.DUMMYFUNCTION("""COMPUTED_VALUE"""),1626242.0)</f>
        <v>1626242</v>
      </c>
      <c r="N90" s="3">
        <f>IFERROR(__xludf.DUMMYFUNCTION("""COMPUTED_VALUE"""),782109.0)</f>
        <v>782109</v>
      </c>
      <c r="O90" s="3">
        <f>IFERROR(__xludf.DUMMYFUNCTION("""COMPUTED_VALUE"""),2079303.0)</f>
        <v>2079303</v>
      </c>
      <c r="P90" s="2" t="str">
        <f>IFERROR(__xludf.DUMMYFUNCTION("""COMPUTED_VALUE"""),"Europe")</f>
        <v>Europe</v>
      </c>
      <c r="Q90" s="2">
        <f>IFERROR(__xludf.DUMMYFUNCTION("""COMPUTED_VALUE"""),7.0)</f>
        <v>7</v>
      </c>
      <c r="R90" s="2">
        <f>IFERROR(__xludf.DUMMYFUNCTION("""COMPUTED_VALUE"""),450.0)</f>
        <v>450</v>
      </c>
      <c r="S90" s="2">
        <f>IFERROR(__xludf.DUMMYFUNCTION("""COMPUTED_VALUE"""),1.0)</f>
        <v>1</v>
      </c>
      <c r="T90" s="2">
        <f>IFERROR(__xludf.DUMMYFUNCTION("""COMPUTED_VALUE"""),483.0)</f>
        <v>483</v>
      </c>
      <c r="U90" s="2">
        <f>IFERROR(__xludf.DUMMYFUNCTION("""COMPUTED_VALUE"""),0.5)</f>
        <v>0.5</v>
      </c>
      <c r="V90" s="3">
        <f>IFERROR(__xludf.DUMMYFUNCTION("""COMPUTED_VALUE"""),5605.0)</f>
        <v>5605</v>
      </c>
    </row>
    <row r="91" ht="15.75" customHeight="1">
      <c r="A91" s="2">
        <f>IFERROR(__xludf.DUMMYFUNCTION("""COMPUTED_VALUE"""),82.0)</f>
        <v>82</v>
      </c>
      <c r="B91" s="2" t="str">
        <f>IFERROR(__xludf.DUMMYFUNCTION("""COMPUTED_VALUE"""),"Bahrain")</f>
        <v>Bahrain</v>
      </c>
      <c r="C91" s="3">
        <f>IFERROR(__xludf.DUMMYFUNCTION("""COMPUTED_VALUE"""),275803.0)</f>
        <v>275803</v>
      </c>
      <c r="D91" s="2" t="str">
        <f>IFERROR(__xludf.DUMMYFUNCTION("""COMPUTED_VALUE"""),"+69")</f>
        <v>+69</v>
      </c>
      <c r="E91" s="3">
        <f>IFERROR(__xludf.DUMMYFUNCTION("""COMPUTED_VALUE"""),1390.0)</f>
        <v>1390</v>
      </c>
      <c r="F91" s="2"/>
      <c r="G91" s="3">
        <f>IFERROR(__xludf.DUMMYFUNCTION("""COMPUTED_VALUE"""),273787.0)</f>
        <v>273787</v>
      </c>
      <c r="H91" s="2" t="str">
        <f>IFERROR(__xludf.DUMMYFUNCTION("""COMPUTED_VALUE"""),"+39")</f>
        <v>+39</v>
      </c>
      <c r="I91" s="2">
        <f>IFERROR(__xludf.DUMMYFUNCTION("""COMPUTED_VALUE"""),626.0)</f>
        <v>626</v>
      </c>
      <c r="J91" s="2">
        <f>IFERROR(__xludf.DUMMYFUNCTION("""COMPUTED_VALUE"""),3.0)</f>
        <v>3</v>
      </c>
      <c r="K91" s="3">
        <f>IFERROR(__xludf.DUMMYFUNCTION("""COMPUTED_VALUE"""),155232.0)</f>
        <v>155232</v>
      </c>
      <c r="L91" s="2">
        <f>IFERROR(__xludf.DUMMYFUNCTION("""COMPUTED_VALUE"""),782.0)</f>
        <v>782</v>
      </c>
      <c r="M91" s="3">
        <f>IFERROR(__xludf.DUMMYFUNCTION("""COMPUTED_VALUE"""),6625936.0)</f>
        <v>6625936</v>
      </c>
      <c r="N91" s="3">
        <f>IFERROR(__xludf.DUMMYFUNCTION("""COMPUTED_VALUE"""),3729316.0)</f>
        <v>3729316</v>
      </c>
      <c r="O91" s="3">
        <f>IFERROR(__xludf.DUMMYFUNCTION("""COMPUTED_VALUE"""),1776716.0)</f>
        <v>1776716</v>
      </c>
      <c r="P91" s="2" t="str">
        <f>IFERROR(__xludf.DUMMYFUNCTION("""COMPUTED_VALUE"""),"Asia")</f>
        <v>Asia</v>
      </c>
      <c r="Q91" s="2">
        <f>IFERROR(__xludf.DUMMYFUNCTION("""COMPUTED_VALUE"""),6.0)</f>
        <v>6</v>
      </c>
      <c r="R91" s="3">
        <f>IFERROR(__xludf.DUMMYFUNCTION("""COMPUTED_VALUE"""),1278.0)</f>
        <v>1278</v>
      </c>
      <c r="S91" s="2">
        <f>IFERROR(__xludf.DUMMYFUNCTION("""COMPUTED_VALUE"""),0.0)</f>
        <v>0</v>
      </c>
      <c r="T91" s="2">
        <f>IFERROR(__xludf.DUMMYFUNCTION("""COMPUTED_VALUE"""),39.0)</f>
        <v>39</v>
      </c>
      <c r="U91" s="2"/>
      <c r="V91" s="2">
        <f>IFERROR(__xludf.DUMMYFUNCTION("""COMPUTED_VALUE"""),352.0)</f>
        <v>352</v>
      </c>
    </row>
    <row r="92" ht="15.75" customHeight="1">
      <c r="A92" s="2">
        <f>IFERROR(__xludf.DUMMYFUNCTION("""COMPUTED_VALUE"""),83.0)</f>
        <v>83</v>
      </c>
      <c r="B92" s="2" t="str">
        <f>IFERROR(__xludf.DUMMYFUNCTION("""COMPUTED_VALUE"""),"Armenia")</f>
        <v>Armenia</v>
      </c>
      <c r="C92" s="3">
        <f>IFERROR(__xludf.DUMMYFUNCTION("""COMPUTED_VALUE"""),273860.0)</f>
        <v>273860</v>
      </c>
      <c r="D92" s="2" t="str">
        <f>IFERROR(__xludf.DUMMYFUNCTION("""COMPUTED_VALUE"""),"+903")</f>
        <v>+903</v>
      </c>
      <c r="E92" s="3">
        <f>IFERROR(__xludf.DUMMYFUNCTION("""COMPUTED_VALUE"""),5618.0)</f>
        <v>5618</v>
      </c>
      <c r="F92" s="2" t="str">
        <f>IFERROR(__xludf.DUMMYFUNCTION("""COMPUTED_VALUE"""),"+43")</f>
        <v>+43</v>
      </c>
      <c r="G92" s="3">
        <f>IFERROR(__xludf.DUMMYFUNCTION("""COMPUTED_VALUE"""),250055.0)</f>
        <v>250055</v>
      </c>
      <c r="H92" s="2" t="str">
        <f>IFERROR(__xludf.DUMMYFUNCTION("""COMPUTED_VALUE"""),"+897")</f>
        <v>+897</v>
      </c>
      <c r="I92" s="3">
        <f>IFERROR(__xludf.DUMMYFUNCTION("""COMPUTED_VALUE"""),18187.0)</f>
        <v>18187</v>
      </c>
      <c r="J92" s="2"/>
      <c r="K92" s="3">
        <f>IFERROR(__xludf.DUMMYFUNCTION("""COMPUTED_VALUE"""),92199.0)</f>
        <v>92199</v>
      </c>
      <c r="L92" s="3">
        <f>IFERROR(__xludf.DUMMYFUNCTION("""COMPUTED_VALUE"""),1891.0)</f>
        <v>1891</v>
      </c>
      <c r="M92" s="3">
        <f>IFERROR(__xludf.DUMMYFUNCTION("""COMPUTED_VALUE"""),1818603.0)</f>
        <v>1818603</v>
      </c>
      <c r="N92" s="3">
        <f>IFERROR(__xludf.DUMMYFUNCTION("""COMPUTED_VALUE"""),612260.0)</f>
        <v>612260</v>
      </c>
      <c r="O92" s="3">
        <f>IFERROR(__xludf.DUMMYFUNCTION("""COMPUTED_VALUE"""),2970314.0)</f>
        <v>2970314</v>
      </c>
      <c r="P92" s="2" t="str">
        <f>IFERROR(__xludf.DUMMYFUNCTION("""COMPUTED_VALUE"""),"Asia")</f>
        <v>Asia</v>
      </c>
      <c r="Q92" s="2">
        <f>IFERROR(__xludf.DUMMYFUNCTION("""COMPUTED_VALUE"""),11.0)</f>
        <v>11</v>
      </c>
      <c r="R92" s="2">
        <f>IFERROR(__xludf.DUMMYFUNCTION("""COMPUTED_VALUE"""),529.0)</f>
        <v>529</v>
      </c>
      <c r="S92" s="2">
        <f>IFERROR(__xludf.DUMMYFUNCTION("""COMPUTED_VALUE"""),2.0)</f>
        <v>2</v>
      </c>
      <c r="T92" s="2">
        <f>IFERROR(__xludf.DUMMYFUNCTION("""COMPUTED_VALUE"""),304.0)</f>
        <v>304</v>
      </c>
      <c r="U92" s="2">
        <f>IFERROR(__xludf.DUMMYFUNCTION("""COMPUTED_VALUE"""),14.0)</f>
        <v>14</v>
      </c>
      <c r="V92" s="3">
        <f>IFERROR(__xludf.DUMMYFUNCTION("""COMPUTED_VALUE"""),6123.0)</f>
        <v>6123</v>
      </c>
    </row>
    <row r="93" ht="15.75" customHeight="1">
      <c r="A93" s="2">
        <f>IFERROR(__xludf.DUMMYFUNCTION("""COMPUTED_VALUE"""),84.0)</f>
        <v>84</v>
      </c>
      <c r="B93" s="2" t="str">
        <f>IFERROR(__xludf.DUMMYFUNCTION("""COMPUTED_VALUE"""),"Kenya")</f>
        <v>Kenya</v>
      </c>
      <c r="C93" s="3">
        <f>IFERROR(__xludf.DUMMYFUNCTION("""COMPUTED_VALUE"""),251313.0)</f>
        <v>251313</v>
      </c>
      <c r="D93" s="2" t="str">
        <f>IFERROR(__xludf.DUMMYFUNCTION("""COMPUTED_VALUE"""),"+65")</f>
        <v>+65</v>
      </c>
      <c r="E93" s="3">
        <f>IFERROR(__xludf.DUMMYFUNCTION("""COMPUTED_VALUE"""),5195.0)</f>
        <v>5195</v>
      </c>
      <c r="F93" s="2" t="str">
        <f>IFERROR(__xludf.DUMMYFUNCTION("""COMPUTED_VALUE"""),"+5")</f>
        <v>+5</v>
      </c>
      <c r="G93" s="3">
        <f>IFERROR(__xludf.DUMMYFUNCTION("""COMPUTED_VALUE"""),244533.0)</f>
        <v>244533</v>
      </c>
      <c r="H93" s="2" t="str">
        <f>IFERROR(__xludf.DUMMYFUNCTION("""COMPUTED_VALUE"""),"+296")</f>
        <v>+296</v>
      </c>
      <c r="I93" s="3">
        <f>IFERROR(__xludf.DUMMYFUNCTION("""COMPUTED_VALUE"""),1585.0)</f>
        <v>1585</v>
      </c>
      <c r="J93" s="2">
        <f>IFERROR(__xludf.DUMMYFUNCTION("""COMPUTED_VALUE"""),46.0)</f>
        <v>46</v>
      </c>
      <c r="K93" s="3">
        <f>IFERROR(__xludf.DUMMYFUNCTION("""COMPUTED_VALUE"""),4546.0)</f>
        <v>4546</v>
      </c>
      <c r="L93" s="2">
        <f>IFERROR(__xludf.DUMMYFUNCTION("""COMPUTED_VALUE"""),94.0)</f>
        <v>94</v>
      </c>
      <c r="M93" s="3">
        <f>IFERROR(__xludf.DUMMYFUNCTION("""COMPUTED_VALUE"""),2613052.0)</f>
        <v>2613052</v>
      </c>
      <c r="N93" s="3">
        <f>IFERROR(__xludf.DUMMYFUNCTION("""COMPUTED_VALUE"""),47270.0)</f>
        <v>47270</v>
      </c>
      <c r="O93" s="3">
        <f>IFERROR(__xludf.DUMMYFUNCTION("""COMPUTED_VALUE"""),5.527917E7)</f>
        <v>55279170</v>
      </c>
      <c r="P93" s="2" t="str">
        <f>IFERROR(__xludf.DUMMYFUNCTION("""COMPUTED_VALUE"""),"Africa")</f>
        <v>Africa</v>
      </c>
      <c r="Q93" s="2">
        <f>IFERROR(__xludf.DUMMYFUNCTION("""COMPUTED_VALUE"""),220.0)</f>
        <v>220</v>
      </c>
      <c r="R93" s="3">
        <f>IFERROR(__xludf.DUMMYFUNCTION("""COMPUTED_VALUE"""),10641.0)</f>
        <v>10641</v>
      </c>
      <c r="S93" s="2">
        <f>IFERROR(__xludf.DUMMYFUNCTION("""COMPUTED_VALUE"""),21.0)</f>
        <v>21</v>
      </c>
      <c r="T93" s="2">
        <f>IFERROR(__xludf.DUMMYFUNCTION("""COMPUTED_VALUE"""),1.0)</f>
        <v>1</v>
      </c>
      <c r="U93" s="2">
        <f>IFERROR(__xludf.DUMMYFUNCTION("""COMPUTED_VALUE"""),0.09)</f>
        <v>0.09</v>
      </c>
      <c r="V93" s="2">
        <f>IFERROR(__xludf.DUMMYFUNCTION("""COMPUTED_VALUE"""),29.0)</f>
        <v>29</v>
      </c>
    </row>
    <row r="94" ht="15.75" customHeight="1">
      <c r="A94" s="2">
        <f>IFERROR(__xludf.DUMMYFUNCTION("""COMPUTED_VALUE"""),85.0)</f>
        <v>85</v>
      </c>
      <c r="B94" s="2" t="str">
        <f>IFERROR(__xludf.DUMMYFUNCTION("""COMPUTED_VALUE"""),"Bosnia and Herzegovina")</f>
        <v>Bosnia and Herzegovina</v>
      </c>
      <c r="C94" s="3">
        <f>IFERROR(__xludf.DUMMYFUNCTION("""COMPUTED_VALUE"""),241946.0)</f>
        <v>241946</v>
      </c>
      <c r="D94" s="2" t="str">
        <f>IFERROR(__xludf.DUMMYFUNCTION("""COMPUTED_VALUE"""),"+719")</f>
        <v>+719</v>
      </c>
      <c r="E94" s="3">
        <f>IFERROR(__xludf.DUMMYFUNCTION("""COMPUTED_VALUE"""),11009.0)</f>
        <v>11009</v>
      </c>
      <c r="F94" s="2" t="str">
        <f>IFERROR(__xludf.DUMMYFUNCTION("""COMPUTED_VALUE"""),"+44")</f>
        <v>+44</v>
      </c>
      <c r="G94" s="3">
        <f>IFERROR(__xludf.DUMMYFUNCTION("""COMPUTED_VALUE"""),192218.0)</f>
        <v>192218</v>
      </c>
      <c r="H94" s="2"/>
      <c r="I94" s="3">
        <f>IFERROR(__xludf.DUMMYFUNCTION("""COMPUTED_VALUE"""),38719.0)</f>
        <v>38719</v>
      </c>
      <c r="J94" s="2"/>
      <c r="K94" s="3">
        <f>IFERROR(__xludf.DUMMYFUNCTION("""COMPUTED_VALUE"""),74336.0)</f>
        <v>74336</v>
      </c>
      <c r="L94" s="3">
        <f>IFERROR(__xludf.DUMMYFUNCTION("""COMPUTED_VALUE"""),3382.0)</f>
        <v>3382</v>
      </c>
      <c r="M94" s="3">
        <f>IFERROR(__xludf.DUMMYFUNCTION("""COMPUTED_VALUE"""),1256450.0)</f>
        <v>1256450</v>
      </c>
      <c r="N94" s="3">
        <f>IFERROR(__xludf.DUMMYFUNCTION("""COMPUTED_VALUE"""),386036.0)</f>
        <v>386036</v>
      </c>
      <c r="O94" s="3">
        <f>IFERROR(__xludf.DUMMYFUNCTION("""COMPUTED_VALUE"""),3254747.0)</f>
        <v>3254747</v>
      </c>
      <c r="P94" s="2" t="str">
        <f>IFERROR(__xludf.DUMMYFUNCTION("""COMPUTED_VALUE"""),"Europe")</f>
        <v>Europe</v>
      </c>
      <c r="Q94" s="2">
        <f>IFERROR(__xludf.DUMMYFUNCTION("""COMPUTED_VALUE"""),13.0)</f>
        <v>13</v>
      </c>
      <c r="R94" s="2">
        <f>IFERROR(__xludf.DUMMYFUNCTION("""COMPUTED_VALUE"""),296.0)</f>
        <v>296</v>
      </c>
      <c r="S94" s="2">
        <f>IFERROR(__xludf.DUMMYFUNCTION("""COMPUTED_VALUE"""),3.0)</f>
        <v>3</v>
      </c>
      <c r="T94" s="2">
        <f>IFERROR(__xludf.DUMMYFUNCTION("""COMPUTED_VALUE"""),221.0)</f>
        <v>221</v>
      </c>
      <c r="U94" s="2">
        <f>IFERROR(__xludf.DUMMYFUNCTION("""COMPUTED_VALUE"""),14.0)</f>
        <v>14</v>
      </c>
      <c r="V94" s="3">
        <f>IFERROR(__xludf.DUMMYFUNCTION("""COMPUTED_VALUE"""),11896.0)</f>
        <v>11896</v>
      </c>
    </row>
    <row r="95" ht="15.75" customHeight="1">
      <c r="A95" s="2">
        <f>IFERROR(__xludf.DUMMYFUNCTION("""COMPUTED_VALUE"""),86.0)</f>
        <v>86</v>
      </c>
      <c r="B95" s="2" t="str">
        <f>IFERROR(__xludf.DUMMYFUNCTION("""COMPUTED_VALUE"""),"Qatar")</f>
        <v>Qatar</v>
      </c>
      <c r="C95" s="3">
        <f>IFERROR(__xludf.DUMMYFUNCTION("""COMPUTED_VALUE"""),237579.0)</f>
        <v>237579</v>
      </c>
      <c r="D95" s="2" t="str">
        <f>IFERROR(__xludf.DUMMYFUNCTION("""COMPUTED_VALUE"""),"+96")</f>
        <v>+96</v>
      </c>
      <c r="E95" s="2">
        <f>IFERROR(__xludf.DUMMYFUNCTION("""COMPUTED_VALUE"""),607.0)</f>
        <v>607</v>
      </c>
      <c r="F95" s="2"/>
      <c r="G95" s="3">
        <f>IFERROR(__xludf.DUMMYFUNCTION("""COMPUTED_VALUE"""),236006.0)</f>
        <v>236006</v>
      </c>
      <c r="H95" s="2" t="str">
        <f>IFERROR(__xludf.DUMMYFUNCTION("""COMPUTED_VALUE"""),"+81")</f>
        <v>+81</v>
      </c>
      <c r="I95" s="2">
        <f>IFERROR(__xludf.DUMMYFUNCTION("""COMPUTED_VALUE"""),966.0)</f>
        <v>966</v>
      </c>
      <c r="J95" s="2">
        <f>IFERROR(__xludf.DUMMYFUNCTION("""COMPUTED_VALUE"""),10.0)</f>
        <v>10</v>
      </c>
      <c r="K95" s="3">
        <f>IFERROR(__xludf.DUMMYFUNCTION("""COMPUTED_VALUE"""),84614.0)</f>
        <v>84614</v>
      </c>
      <c r="L95" s="2">
        <f>IFERROR(__xludf.DUMMYFUNCTION("""COMPUTED_VALUE"""),216.0)</f>
        <v>216</v>
      </c>
      <c r="M95" s="3">
        <f>IFERROR(__xludf.DUMMYFUNCTION("""COMPUTED_VALUE"""),2729471.0)</f>
        <v>2729471</v>
      </c>
      <c r="N95" s="3">
        <f>IFERROR(__xludf.DUMMYFUNCTION("""COMPUTED_VALUE"""),972101.0)</f>
        <v>972101</v>
      </c>
      <c r="O95" s="3">
        <f>IFERROR(__xludf.DUMMYFUNCTION("""COMPUTED_VALUE"""),2807805.0)</f>
        <v>2807805</v>
      </c>
      <c r="P95" s="2" t="str">
        <f>IFERROR(__xludf.DUMMYFUNCTION("""COMPUTED_VALUE"""),"Asia")</f>
        <v>Asia</v>
      </c>
      <c r="Q95" s="2">
        <f>IFERROR(__xludf.DUMMYFUNCTION("""COMPUTED_VALUE"""),12.0)</f>
        <v>12</v>
      </c>
      <c r="R95" s="3">
        <f>IFERROR(__xludf.DUMMYFUNCTION("""COMPUTED_VALUE"""),4626.0)</f>
        <v>4626</v>
      </c>
      <c r="S95" s="2">
        <f>IFERROR(__xludf.DUMMYFUNCTION("""COMPUTED_VALUE"""),1.0)</f>
        <v>1</v>
      </c>
      <c r="T95" s="2">
        <f>IFERROR(__xludf.DUMMYFUNCTION("""COMPUTED_VALUE"""),34.0)</f>
        <v>34</v>
      </c>
      <c r="U95" s="2"/>
      <c r="V95" s="2">
        <f>IFERROR(__xludf.DUMMYFUNCTION("""COMPUTED_VALUE"""),344.0)</f>
        <v>344</v>
      </c>
    </row>
    <row r="96" ht="15.75" customHeight="1">
      <c r="A96" s="2">
        <f>IFERROR(__xludf.DUMMYFUNCTION("""COMPUTED_VALUE"""),87.0)</f>
        <v>87</v>
      </c>
      <c r="B96" s="2" t="str">
        <f>IFERROR(__xludf.DUMMYFUNCTION("""COMPUTED_VALUE"""),"Zambia")</f>
        <v>Zambia</v>
      </c>
      <c r="C96" s="3">
        <f>IFERROR(__xludf.DUMMYFUNCTION("""COMPUTED_VALUE"""),209396.0)</f>
        <v>209396</v>
      </c>
      <c r="D96" s="2" t="str">
        <f>IFERROR(__xludf.DUMMYFUNCTION("""COMPUTED_VALUE"""),"+43")</f>
        <v>+43</v>
      </c>
      <c r="E96" s="3">
        <f>IFERROR(__xludf.DUMMYFUNCTION("""COMPUTED_VALUE"""),3654.0)</f>
        <v>3654</v>
      </c>
      <c r="F96" s="2"/>
      <c r="G96" s="3">
        <f>IFERROR(__xludf.DUMMYFUNCTION("""COMPUTED_VALUE"""),205521.0)</f>
        <v>205521</v>
      </c>
      <c r="H96" s="2" t="str">
        <f>IFERROR(__xludf.DUMMYFUNCTION("""COMPUTED_VALUE"""),"+13")</f>
        <v>+13</v>
      </c>
      <c r="I96" s="2">
        <f>IFERROR(__xludf.DUMMYFUNCTION("""COMPUTED_VALUE"""),221.0)</f>
        <v>221</v>
      </c>
      <c r="J96" s="2">
        <f>IFERROR(__xludf.DUMMYFUNCTION("""COMPUTED_VALUE"""),22.0)</f>
        <v>22</v>
      </c>
      <c r="K96" s="3">
        <f>IFERROR(__xludf.DUMMYFUNCTION("""COMPUTED_VALUE"""),10998.0)</f>
        <v>10998</v>
      </c>
      <c r="L96" s="2">
        <f>IFERROR(__xludf.DUMMYFUNCTION("""COMPUTED_VALUE"""),192.0)</f>
        <v>192</v>
      </c>
      <c r="M96" s="3">
        <f>IFERROR(__xludf.DUMMYFUNCTION("""COMPUTED_VALUE"""),2515493.0)</f>
        <v>2515493</v>
      </c>
      <c r="N96" s="3">
        <f>IFERROR(__xludf.DUMMYFUNCTION("""COMPUTED_VALUE"""),132125.0)</f>
        <v>132125</v>
      </c>
      <c r="O96" s="3">
        <f>IFERROR(__xludf.DUMMYFUNCTION("""COMPUTED_VALUE"""),1.9038767E7)</f>
        <v>19038767</v>
      </c>
      <c r="P96" s="2" t="str">
        <f>IFERROR(__xludf.DUMMYFUNCTION("""COMPUTED_VALUE"""),"Africa")</f>
        <v>Africa</v>
      </c>
      <c r="Q96" s="2">
        <f>IFERROR(__xludf.DUMMYFUNCTION("""COMPUTED_VALUE"""),91.0)</f>
        <v>91</v>
      </c>
      <c r="R96" s="3">
        <f>IFERROR(__xludf.DUMMYFUNCTION("""COMPUTED_VALUE"""),5210.0)</f>
        <v>5210</v>
      </c>
      <c r="S96" s="2">
        <f>IFERROR(__xludf.DUMMYFUNCTION("""COMPUTED_VALUE"""),8.0)</f>
        <v>8</v>
      </c>
      <c r="T96" s="2">
        <f>IFERROR(__xludf.DUMMYFUNCTION("""COMPUTED_VALUE"""),2.0)</f>
        <v>2</v>
      </c>
      <c r="U96" s="2"/>
      <c r="V96" s="2">
        <f>IFERROR(__xludf.DUMMYFUNCTION("""COMPUTED_VALUE"""),12.0)</f>
        <v>12</v>
      </c>
    </row>
    <row r="97" ht="15.75" customHeight="1">
      <c r="A97" s="2">
        <f>IFERROR(__xludf.DUMMYFUNCTION("""COMPUTED_VALUE"""),88.0)</f>
        <v>88</v>
      </c>
      <c r="B97" s="2" t="str">
        <f>IFERROR(__xludf.DUMMYFUNCTION("""COMPUTED_VALUE"""),"Nigeria")</f>
        <v>Nigeria</v>
      </c>
      <c r="C97" s="3">
        <f>IFERROR(__xludf.DUMMYFUNCTION("""COMPUTED_VALUE"""),207978.0)</f>
        <v>207978</v>
      </c>
      <c r="D97" s="2"/>
      <c r="E97" s="3">
        <f>IFERROR(__xludf.DUMMYFUNCTION("""COMPUTED_VALUE"""),2756.0)</f>
        <v>2756</v>
      </c>
      <c r="F97" s="2"/>
      <c r="G97" s="3">
        <f>IFERROR(__xludf.DUMMYFUNCTION("""COMPUTED_VALUE"""),195626.0)</f>
        <v>195626</v>
      </c>
      <c r="H97" s="2"/>
      <c r="I97" s="3">
        <f>IFERROR(__xludf.DUMMYFUNCTION("""COMPUTED_VALUE"""),9596.0)</f>
        <v>9596</v>
      </c>
      <c r="J97" s="2">
        <f>IFERROR(__xludf.DUMMYFUNCTION("""COMPUTED_VALUE"""),11.0)</f>
        <v>11</v>
      </c>
      <c r="K97" s="2">
        <f>IFERROR(__xludf.DUMMYFUNCTION("""COMPUTED_VALUE"""),978.0)</f>
        <v>978</v>
      </c>
      <c r="L97" s="2">
        <f>IFERROR(__xludf.DUMMYFUNCTION("""COMPUTED_VALUE"""),13.0)</f>
        <v>13</v>
      </c>
      <c r="M97" s="3">
        <f>IFERROR(__xludf.DUMMYFUNCTION("""COMPUTED_VALUE"""),3090114.0)</f>
        <v>3090114</v>
      </c>
      <c r="N97" s="3">
        <f>IFERROR(__xludf.DUMMYFUNCTION("""COMPUTED_VALUE"""),14532.0)</f>
        <v>14532</v>
      </c>
      <c r="O97" s="3">
        <f>IFERROR(__xludf.DUMMYFUNCTION("""COMPUTED_VALUE"""),2.1264105E8)</f>
        <v>212641050</v>
      </c>
      <c r="P97" s="2" t="str">
        <f>IFERROR(__xludf.DUMMYFUNCTION("""COMPUTED_VALUE"""),"Africa")</f>
        <v>Africa</v>
      </c>
      <c r="Q97" s="3">
        <f>IFERROR(__xludf.DUMMYFUNCTION("""COMPUTED_VALUE"""),1022.0)</f>
        <v>1022</v>
      </c>
      <c r="R97" s="3">
        <f>IFERROR(__xludf.DUMMYFUNCTION("""COMPUTED_VALUE"""),77156.0)</f>
        <v>77156</v>
      </c>
      <c r="S97" s="2">
        <f>IFERROR(__xludf.DUMMYFUNCTION("""COMPUTED_VALUE"""),69.0)</f>
        <v>69</v>
      </c>
      <c r="T97" s="2"/>
      <c r="U97" s="2"/>
      <c r="V97" s="2">
        <f>IFERROR(__xludf.DUMMYFUNCTION("""COMPUTED_VALUE"""),45.0)</f>
        <v>45</v>
      </c>
    </row>
    <row r="98" ht="15.75" customHeight="1">
      <c r="A98" s="2">
        <f>IFERROR(__xludf.DUMMYFUNCTION("""COMPUTED_VALUE"""),89.0)</f>
        <v>89</v>
      </c>
      <c r="B98" s="2" t="str">
        <f>IFERROR(__xludf.DUMMYFUNCTION("""COMPUTED_VALUE"""),"Algeria")</f>
        <v>Algeria</v>
      </c>
      <c r="C98" s="3">
        <f>IFERROR(__xludf.DUMMYFUNCTION("""COMPUTED_VALUE"""),204790.0)</f>
        <v>204790</v>
      </c>
      <c r="D98" s="2" t="str">
        <f>IFERROR(__xludf.DUMMYFUNCTION("""COMPUTED_VALUE"""),"+95")</f>
        <v>+95</v>
      </c>
      <c r="E98" s="3">
        <f>IFERROR(__xludf.DUMMYFUNCTION("""COMPUTED_VALUE"""),5859.0)</f>
        <v>5859</v>
      </c>
      <c r="F98" s="2" t="str">
        <f>IFERROR(__xludf.DUMMYFUNCTION("""COMPUTED_VALUE"""),"+4")</f>
        <v>+4</v>
      </c>
      <c r="G98" s="3">
        <f>IFERROR(__xludf.DUMMYFUNCTION("""COMPUTED_VALUE"""),140392.0)</f>
        <v>140392</v>
      </c>
      <c r="H98" s="2" t="str">
        <f>IFERROR(__xludf.DUMMYFUNCTION("""COMPUTED_VALUE"""),"+73")</f>
        <v>+73</v>
      </c>
      <c r="I98" s="3">
        <f>IFERROR(__xludf.DUMMYFUNCTION("""COMPUTED_VALUE"""),58539.0)</f>
        <v>58539</v>
      </c>
      <c r="J98" s="2">
        <f>IFERROR(__xludf.DUMMYFUNCTION("""COMPUTED_VALUE"""),13.0)</f>
        <v>13</v>
      </c>
      <c r="K98" s="3">
        <f>IFERROR(__xludf.DUMMYFUNCTION("""COMPUTED_VALUE"""),4565.0)</f>
        <v>4565</v>
      </c>
      <c r="L98" s="2">
        <f>IFERROR(__xludf.DUMMYFUNCTION("""COMPUTED_VALUE"""),131.0)</f>
        <v>131</v>
      </c>
      <c r="M98" s="3">
        <f>IFERROR(__xludf.DUMMYFUNCTION("""COMPUTED_VALUE"""),230861.0)</f>
        <v>230861</v>
      </c>
      <c r="N98" s="3">
        <f>IFERROR(__xludf.DUMMYFUNCTION("""COMPUTED_VALUE"""),5146.0)</f>
        <v>5146</v>
      </c>
      <c r="O98" s="3">
        <f>IFERROR(__xludf.DUMMYFUNCTION("""COMPUTED_VALUE"""),4.485976E7)</f>
        <v>44859760</v>
      </c>
      <c r="P98" s="2" t="str">
        <f>IFERROR(__xludf.DUMMYFUNCTION("""COMPUTED_VALUE"""),"Africa")</f>
        <v>Africa</v>
      </c>
      <c r="Q98" s="2">
        <f>IFERROR(__xludf.DUMMYFUNCTION("""COMPUTED_VALUE"""),219.0)</f>
        <v>219</v>
      </c>
      <c r="R98" s="3">
        <f>IFERROR(__xludf.DUMMYFUNCTION("""COMPUTED_VALUE"""),7657.0)</f>
        <v>7657</v>
      </c>
      <c r="S98" s="2">
        <f>IFERROR(__xludf.DUMMYFUNCTION("""COMPUTED_VALUE"""),194.0)</f>
        <v>194</v>
      </c>
      <c r="T98" s="2">
        <f>IFERROR(__xludf.DUMMYFUNCTION("""COMPUTED_VALUE"""),2.0)</f>
        <v>2</v>
      </c>
      <c r="U98" s="2">
        <f>IFERROR(__xludf.DUMMYFUNCTION("""COMPUTED_VALUE"""),0.09)</f>
        <v>0.09</v>
      </c>
      <c r="V98" s="3">
        <f>IFERROR(__xludf.DUMMYFUNCTION("""COMPUTED_VALUE"""),1305.0)</f>
        <v>1305</v>
      </c>
    </row>
    <row r="99" ht="15.75" customHeight="1">
      <c r="A99" s="2">
        <f>IFERROR(__xludf.DUMMYFUNCTION("""COMPUTED_VALUE"""),90.0)</f>
        <v>90</v>
      </c>
      <c r="B99" s="2" t="str">
        <f>IFERROR(__xludf.DUMMYFUNCTION("""COMPUTED_VALUE"""),"North Macedonia")</f>
        <v>North Macedonia</v>
      </c>
      <c r="C99" s="3">
        <f>IFERROR(__xludf.DUMMYFUNCTION("""COMPUTED_VALUE"""),195132.0)</f>
        <v>195132</v>
      </c>
      <c r="D99" s="2" t="str">
        <f>IFERROR(__xludf.DUMMYFUNCTION("""COMPUTED_VALUE"""),"+130")</f>
        <v>+130</v>
      </c>
      <c r="E99" s="3">
        <f>IFERROR(__xludf.DUMMYFUNCTION("""COMPUTED_VALUE"""),6855.0)</f>
        <v>6855</v>
      </c>
      <c r="F99" s="2" t="str">
        <f>IFERROR(__xludf.DUMMYFUNCTION("""COMPUTED_VALUE"""),"+6")</f>
        <v>+6</v>
      </c>
      <c r="G99" s="3">
        <f>IFERROR(__xludf.DUMMYFUNCTION("""COMPUTED_VALUE"""),181619.0)</f>
        <v>181619</v>
      </c>
      <c r="H99" s="2" t="str">
        <f>IFERROR(__xludf.DUMMYFUNCTION("""COMPUTED_VALUE"""),"+423")</f>
        <v>+423</v>
      </c>
      <c r="I99" s="3">
        <f>IFERROR(__xludf.DUMMYFUNCTION("""COMPUTED_VALUE"""),6658.0)</f>
        <v>6658</v>
      </c>
      <c r="J99" s="2"/>
      <c r="K99" s="3">
        <f>IFERROR(__xludf.DUMMYFUNCTION("""COMPUTED_VALUE"""),93666.0)</f>
        <v>93666</v>
      </c>
      <c r="L99" s="3">
        <f>IFERROR(__xludf.DUMMYFUNCTION("""COMPUTED_VALUE"""),3291.0)</f>
        <v>3291</v>
      </c>
      <c r="M99" s="3">
        <f>IFERROR(__xludf.DUMMYFUNCTION("""COMPUTED_VALUE"""),1326737.0)</f>
        <v>1326737</v>
      </c>
      <c r="N99" s="3">
        <f>IFERROR(__xludf.DUMMYFUNCTION("""COMPUTED_VALUE"""),636855.0)</f>
        <v>636855</v>
      </c>
      <c r="O99" s="3">
        <f>IFERROR(__xludf.DUMMYFUNCTION("""COMPUTED_VALUE"""),2083265.0)</f>
        <v>2083265</v>
      </c>
      <c r="P99" s="2" t="str">
        <f>IFERROR(__xludf.DUMMYFUNCTION("""COMPUTED_VALUE"""),"Europe")</f>
        <v>Europe</v>
      </c>
      <c r="Q99" s="2">
        <f>IFERROR(__xludf.DUMMYFUNCTION("""COMPUTED_VALUE"""),11.0)</f>
        <v>11</v>
      </c>
      <c r="R99" s="2">
        <f>IFERROR(__xludf.DUMMYFUNCTION("""COMPUTED_VALUE"""),304.0)</f>
        <v>304</v>
      </c>
      <c r="S99" s="2">
        <f>IFERROR(__xludf.DUMMYFUNCTION("""COMPUTED_VALUE"""),2.0)</f>
        <v>2</v>
      </c>
      <c r="T99" s="2">
        <f>IFERROR(__xludf.DUMMYFUNCTION("""COMPUTED_VALUE"""),62.0)</f>
        <v>62</v>
      </c>
      <c r="U99" s="2">
        <f>IFERROR(__xludf.DUMMYFUNCTION("""COMPUTED_VALUE"""),3.0)</f>
        <v>3</v>
      </c>
      <c r="V99" s="3">
        <f>IFERROR(__xludf.DUMMYFUNCTION("""COMPUTED_VALUE"""),3196.0)</f>
        <v>3196</v>
      </c>
    </row>
    <row r="100" ht="15.75" customHeight="1">
      <c r="A100" s="2">
        <f>IFERROR(__xludf.DUMMYFUNCTION("""COMPUTED_VALUE"""),91.0)</f>
        <v>91</v>
      </c>
      <c r="B100" s="2" t="str">
        <f>IFERROR(__xludf.DUMMYFUNCTION("""COMPUTED_VALUE"""),"Norway")</f>
        <v>Norway</v>
      </c>
      <c r="C100" s="3">
        <f>IFERROR(__xludf.DUMMYFUNCTION("""COMPUTED_VALUE"""),194275.0)</f>
        <v>194275</v>
      </c>
      <c r="D100" s="2" t="str">
        <f>IFERROR(__xludf.DUMMYFUNCTION("""COMPUTED_VALUE"""),"+235")</f>
        <v>+235</v>
      </c>
      <c r="E100" s="2">
        <f>IFERROR(__xludf.DUMMYFUNCTION("""COMPUTED_VALUE"""),871.0)</f>
        <v>871</v>
      </c>
      <c r="F100" s="2"/>
      <c r="G100" s="3">
        <f>IFERROR(__xludf.DUMMYFUNCTION("""COMPUTED_VALUE"""),88952.0)</f>
        <v>88952</v>
      </c>
      <c r="H100" s="2"/>
      <c r="I100" s="3">
        <f>IFERROR(__xludf.DUMMYFUNCTION("""COMPUTED_VALUE"""),104452.0)</f>
        <v>104452</v>
      </c>
      <c r="J100" s="2">
        <f>IFERROR(__xludf.DUMMYFUNCTION("""COMPUTED_VALUE"""),13.0)</f>
        <v>13</v>
      </c>
      <c r="K100" s="3">
        <f>IFERROR(__xludf.DUMMYFUNCTION("""COMPUTED_VALUE"""),35482.0)</f>
        <v>35482</v>
      </c>
      <c r="L100" s="2">
        <f>IFERROR(__xludf.DUMMYFUNCTION("""COMPUTED_VALUE"""),159.0)</f>
        <v>159</v>
      </c>
      <c r="M100" s="3">
        <f>IFERROR(__xludf.DUMMYFUNCTION("""COMPUTED_VALUE"""),7977659.0)</f>
        <v>7977659</v>
      </c>
      <c r="N100" s="3">
        <f>IFERROR(__xludf.DUMMYFUNCTION("""COMPUTED_VALUE"""),1457021.0)</f>
        <v>1457021</v>
      </c>
      <c r="O100" s="3">
        <f>IFERROR(__xludf.DUMMYFUNCTION("""COMPUTED_VALUE"""),5475323.0)</f>
        <v>5475323</v>
      </c>
      <c r="P100" s="2" t="str">
        <f>IFERROR(__xludf.DUMMYFUNCTION("""COMPUTED_VALUE"""),"Europe")</f>
        <v>Europe</v>
      </c>
      <c r="Q100" s="2">
        <f>IFERROR(__xludf.DUMMYFUNCTION("""COMPUTED_VALUE"""),28.0)</f>
        <v>28</v>
      </c>
      <c r="R100" s="3">
        <f>IFERROR(__xludf.DUMMYFUNCTION("""COMPUTED_VALUE"""),6286.0)</f>
        <v>6286</v>
      </c>
      <c r="S100" s="2">
        <f>IFERROR(__xludf.DUMMYFUNCTION("""COMPUTED_VALUE"""),1.0)</f>
        <v>1</v>
      </c>
      <c r="T100" s="2">
        <f>IFERROR(__xludf.DUMMYFUNCTION("""COMPUTED_VALUE"""),43.0)</f>
        <v>43</v>
      </c>
      <c r="U100" s="2"/>
      <c r="V100" s="3">
        <f>IFERROR(__xludf.DUMMYFUNCTION("""COMPUTED_VALUE"""),19077.0)</f>
        <v>19077</v>
      </c>
    </row>
    <row r="101" ht="15.75" customHeight="1">
      <c r="A101" s="2">
        <f>IFERROR(__xludf.DUMMYFUNCTION("""COMPUTED_VALUE"""),92.0)</f>
        <v>92</v>
      </c>
      <c r="B101" s="2" t="str">
        <f>IFERROR(__xludf.DUMMYFUNCTION("""COMPUTED_VALUE"""),"Botswana")</f>
        <v>Botswana</v>
      </c>
      <c r="C101" s="3">
        <f>IFERROR(__xludf.DUMMYFUNCTION("""COMPUTED_VALUE"""),181251.0)</f>
        <v>181251</v>
      </c>
      <c r="D101" s="2"/>
      <c r="E101" s="3">
        <f>IFERROR(__xludf.DUMMYFUNCTION("""COMPUTED_VALUE"""),2381.0)</f>
        <v>2381</v>
      </c>
      <c r="F101" s="2"/>
      <c r="G101" s="3">
        <f>IFERROR(__xludf.DUMMYFUNCTION("""COMPUTED_VALUE"""),177526.0)</f>
        <v>177526</v>
      </c>
      <c r="H101" s="2"/>
      <c r="I101" s="3">
        <f>IFERROR(__xludf.DUMMYFUNCTION("""COMPUTED_VALUE"""),1344.0)</f>
        <v>1344</v>
      </c>
      <c r="J101" s="2">
        <f>IFERROR(__xludf.DUMMYFUNCTION("""COMPUTED_VALUE"""),1.0)</f>
        <v>1</v>
      </c>
      <c r="K101" s="3">
        <f>IFERROR(__xludf.DUMMYFUNCTION("""COMPUTED_VALUE"""),75143.0)</f>
        <v>75143</v>
      </c>
      <c r="L101" s="2">
        <f>IFERROR(__xludf.DUMMYFUNCTION("""COMPUTED_VALUE"""),987.0)</f>
        <v>987</v>
      </c>
      <c r="M101" s="3">
        <f>IFERROR(__xludf.DUMMYFUNCTION("""COMPUTED_VALUE"""),1777500.0)</f>
        <v>1777500</v>
      </c>
      <c r="N101" s="3">
        <f>IFERROR(__xludf.DUMMYFUNCTION("""COMPUTED_VALUE"""),736912.0)</f>
        <v>736912</v>
      </c>
      <c r="O101" s="3">
        <f>IFERROR(__xludf.DUMMYFUNCTION("""COMPUTED_VALUE"""),2412093.0)</f>
        <v>2412093</v>
      </c>
      <c r="P101" s="2" t="str">
        <f>IFERROR(__xludf.DUMMYFUNCTION("""COMPUTED_VALUE"""),"Africa")</f>
        <v>Africa</v>
      </c>
      <c r="Q101" s="2">
        <f>IFERROR(__xludf.DUMMYFUNCTION("""COMPUTED_VALUE"""),13.0)</f>
        <v>13</v>
      </c>
      <c r="R101" s="3">
        <f>IFERROR(__xludf.DUMMYFUNCTION("""COMPUTED_VALUE"""),1013.0)</f>
        <v>1013</v>
      </c>
      <c r="S101" s="2">
        <f>IFERROR(__xludf.DUMMYFUNCTION("""COMPUTED_VALUE"""),1.0)</f>
        <v>1</v>
      </c>
      <c r="T101" s="2"/>
      <c r="U101" s="2"/>
      <c r="V101" s="2">
        <f>IFERROR(__xludf.DUMMYFUNCTION("""COMPUTED_VALUE"""),557.0)</f>
        <v>557</v>
      </c>
    </row>
    <row r="102" ht="15.75" customHeight="1">
      <c r="A102" s="2">
        <f>IFERROR(__xludf.DUMMYFUNCTION("""COMPUTED_VALUE"""),93.0)</f>
        <v>93</v>
      </c>
      <c r="B102" s="2" t="str">
        <f>IFERROR(__xludf.DUMMYFUNCTION("""COMPUTED_VALUE"""),"Kyrgyzstan")</f>
        <v>Kyrgyzstan</v>
      </c>
      <c r="C102" s="3">
        <f>IFERROR(__xludf.DUMMYFUNCTION("""COMPUTED_VALUE"""),179429.0)</f>
        <v>179429</v>
      </c>
      <c r="D102" s="2" t="str">
        <f>IFERROR(__xludf.DUMMYFUNCTION("""COMPUTED_VALUE"""),"+91")</f>
        <v>+91</v>
      </c>
      <c r="E102" s="3">
        <f>IFERROR(__xludf.DUMMYFUNCTION("""COMPUTED_VALUE"""),2622.0)</f>
        <v>2622</v>
      </c>
      <c r="F102" s="2" t="str">
        <f>IFERROR(__xludf.DUMMYFUNCTION("""COMPUTED_VALUE"""),"+2")</f>
        <v>+2</v>
      </c>
      <c r="G102" s="3">
        <f>IFERROR(__xludf.DUMMYFUNCTION("""COMPUTED_VALUE"""),174198.0)</f>
        <v>174198</v>
      </c>
      <c r="H102" s="2" t="str">
        <f>IFERROR(__xludf.DUMMYFUNCTION("""COMPUTED_VALUE"""),"+112")</f>
        <v>+112</v>
      </c>
      <c r="I102" s="3">
        <f>IFERROR(__xludf.DUMMYFUNCTION("""COMPUTED_VALUE"""),2609.0)</f>
        <v>2609</v>
      </c>
      <c r="J102" s="2">
        <f>IFERROR(__xludf.DUMMYFUNCTION("""COMPUTED_VALUE"""),131.0)</f>
        <v>131</v>
      </c>
      <c r="K102" s="3">
        <f>IFERROR(__xludf.DUMMYFUNCTION("""COMPUTED_VALUE"""),26936.0)</f>
        <v>26936</v>
      </c>
      <c r="L102" s="2">
        <f>IFERROR(__xludf.DUMMYFUNCTION("""COMPUTED_VALUE"""),394.0)</f>
        <v>394</v>
      </c>
      <c r="M102" s="3">
        <f>IFERROR(__xludf.DUMMYFUNCTION("""COMPUTED_VALUE"""),1742574.0)</f>
        <v>1742574</v>
      </c>
      <c r="N102" s="3">
        <f>IFERROR(__xludf.DUMMYFUNCTION("""COMPUTED_VALUE"""),261595.0)</f>
        <v>261595</v>
      </c>
      <c r="O102" s="3">
        <f>IFERROR(__xludf.DUMMYFUNCTION("""COMPUTED_VALUE"""),6661349.0)</f>
        <v>6661349</v>
      </c>
      <c r="P102" s="2" t="str">
        <f>IFERROR(__xludf.DUMMYFUNCTION("""COMPUTED_VALUE"""),"Asia")</f>
        <v>Asia</v>
      </c>
      <c r="Q102" s="2">
        <f>IFERROR(__xludf.DUMMYFUNCTION("""COMPUTED_VALUE"""),37.0)</f>
        <v>37</v>
      </c>
      <c r="R102" s="3">
        <f>IFERROR(__xludf.DUMMYFUNCTION("""COMPUTED_VALUE"""),2541.0)</f>
        <v>2541</v>
      </c>
      <c r="S102" s="2">
        <f>IFERROR(__xludf.DUMMYFUNCTION("""COMPUTED_VALUE"""),4.0)</f>
        <v>4</v>
      </c>
      <c r="T102" s="2">
        <f>IFERROR(__xludf.DUMMYFUNCTION("""COMPUTED_VALUE"""),14.0)</f>
        <v>14</v>
      </c>
      <c r="U102" s="2">
        <f>IFERROR(__xludf.DUMMYFUNCTION("""COMPUTED_VALUE"""),0.3)</f>
        <v>0.3</v>
      </c>
      <c r="V102" s="2">
        <f>IFERROR(__xludf.DUMMYFUNCTION("""COMPUTED_VALUE"""),392.0)</f>
        <v>392</v>
      </c>
    </row>
    <row r="103" ht="15.75" customHeight="1">
      <c r="A103" s="2">
        <f>IFERROR(__xludf.DUMMYFUNCTION("""COMPUTED_VALUE"""),94.0)</f>
        <v>94</v>
      </c>
      <c r="B103" s="2" t="str">
        <f>IFERROR(__xludf.DUMMYFUNCTION("""COMPUTED_VALUE"""),"Uzbekistan")</f>
        <v>Uzbekistan</v>
      </c>
      <c r="C103" s="3">
        <f>IFERROR(__xludf.DUMMYFUNCTION("""COMPUTED_VALUE"""),178986.0)</f>
        <v>178986</v>
      </c>
      <c r="D103" s="2" t="str">
        <f>IFERROR(__xludf.DUMMYFUNCTION("""COMPUTED_VALUE"""),"+349")</f>
        <v>+349</v>
      </c>
      <c r="E103" s="3">
        <f>IFERROR(__xludf.DUMMYFUNCTION("""COMPUTED_VALUE"""),1273.0)</f>
        <v>1273</v>
      </c>
      <c r="F103" s="2" t="str">
        <f>IFERROR(__xludf.DUMMYFUNCTION("""COMPUTED_VALUE"""),"+2")</f>
        <v>+2</v>
      </c>
      <c r="G103" s="3">
        <f>IFERROR(__xludf.DUMMYFUNCTION("""COMPUTED_VALUE"""),174642.0)</f>
        <v>174642</v>
      </c>
      <c r="H103" s="2" t="str">
        <f>IFERROR(__xludf.DUMMYFUNCTION("""COMPUTED_VALUE"""),"+429")</f>
        <v>+429</v>
      </c>
      <c r="I103" s="3">
        <f>IFERROR(__xludf.DUMMYFUNCTION("""COMPUTED_VALUE"""),3071.0)</f>
        <v>3071</v>
      </c>
      <c r="J103" s="2">
        <f>IFERROR(__xludf.DUMMYFUNCTION("""COMPUTED_VALUE"""),23.0)</f>
        <v>23</v>
      </c>
      <c r="K103" s="3">
        <f>IFERROR(__xludf.DUMMYFUNCTION("""COMPUTED_VALUE"""),5251.0)</f>
        <v>5251</v>
      </c>
      <c r="L103" s="2">
        <f>IFERROR(__xludf.DUMMYFUNCTION("""COMPUTED_VALUE"""),37.0)</f>
        <v>37</v>
      </c>
      <c r="M103" s="3">
        <f>IFERROR(__xludf.DUMMYFUNCTION("""COMPUTED_VALUE"""),1377915.0)</f>
        <v>1377915</v>
      </c>
      <c r="N103" s="3">
        <f>IFERROR(__xludf.DUMMYFUNCTION("""COMPUTED_VALUE"""),40423.0)</f>
        <v>40423</v>
      </c>
      <c r="O103" s="3">
        <f>IFERROR(__xludf.DUMMYFUNCTION("""COMPUTED_VALUE"""),3.4087461E7)</f>
        <v>34087461</v>
      </c>
      <c r="P103" s="2" t="str">
        <f>IFERROR(__xludf.DUMMYFUNCTION("""COMPUTED_VALUE"""),"Asia")</f>
        <v>Asia</v>
      </c>
      <c r="Q103" s="2">
        <f>IFERROR(__xludf.DUMMYFUNCTION("""COMPUTED_VALUE"""),190.0)</f>
        <v>190</v>
      </c>
      <c r="R103" s="3">
        <f>IFERROR(__xludf.DUMMYFUNCTION("""COMPUTED_VALUE"""),26777.0)</f>
        <v>26777</v>
      </c>
      <c r="S103" s="2">
        <f>IFERROR(__xludf.DUMMYFUNCTION("""COMPUTED_VALUE"""),25.0)</f>
        <v>25</v>
      </c>
      <c r="T103" s="2">
        <f>IFERROR(__xludf.DUMMYFUNCTION("""COMPUTED_VALUE"""),10.0)</f>
        <v>10</v>
      </c>
      <c r="U103" s="2">
        <f>IFERROR(__xludf.DUMMYFUNCTION("""COMPUTED_VALUE"""),0.06)</f>
        <v>0.06</v>
      </c>
      <c r="V103" s="2">
        <f>IFERROR(__xludf.DUMMYFUNCTION("""COMPUTED_VALUE"""),90.0)</f>
        <v>90</v>
      </c>
    </row>
    <row r="104" ht="15.75" customHeight="1">
      <c r="A104" s="2">
        <f>IFERROR(__xludf.DUMMYFUNCTION("""COMPUTED_VALUE"""),95.0)</f>
        <v>95</v>
      </c>
      <c r="B104" s="2" t="str">
        <f>IFERROR(__xludf.DUMMYFUNCTION("""COMPUTED_VALUE"""),"Albania")</f>
        <v>Albania</v>
      </c>
      <c r="C104" s="3">
        <f>IFERROR(__xludf.DUMMYFUNCTION("""COMPUTED_VALUE"""),175163.0)</f>
        <v>175163</v>
      </c>
      <c r="D104" s="2"/>
      <c r="E104" s="3">
        <f>IFERROR(__xludf.DUMMYFUNCTION("""COMPUTED_VALUE"""),2777.0)</f>
        <v>2777</v>
      </c>
      <c r="F104" s="2"/>
      <c r="G104" s="3">
        <f>IFERROR(__xludf.DUMMYFUNCTION("""COMPUTED_VALUE"""),165434.0)</f>
        <v>165434</v>
      </c>
      <c r="H104" s="2"/>
      <c r="I104" s="3">
        <f>IFERROR(__xludf.DUMMYFUNCTION("""COMPUTED_VALUE"""),6952.0)</f>
        <v>6952</v>
      </c>
      <c r="J104" s="2">
        <f>IFERROR(__xludf.DUMMYFUNCTION("""COMPUTED_VALUE"""),3.0)</f>
        <v>3</v>
      </c>
      <c r="K104" s="3">
        <f>IFERROR(__xludf.DUMMYFUNCTION("""COMPUTED_VALUE"""),60952.0)</f>
        <v>60952</v>
      </c>
      <c r="L104" s="2">
        <f>IFERROR(__xludf.DUMMYFUNCTION("""COMPUTED_VALUE"""),966.0)</f>
        <v>966</v>
      </c>
      <c r="M104" s="3">
        <f>IFERROR(__xludf.DUMMYFUNCTION("""COMPUTED_VALUE"""),1240204.0)</f>
        <v>1240204</v>
      </c>
      <c r="N104" s="3">
        <f>IFERROR(__xludf.DUMMYFUNCTION("""COMPUTED_VALUE"""),431558.0)</f>
        <v>431558</v>
      </c>
      <c r="O104" s="3">
        <f>IFERROR(__xludf.DUMMYFUNCTION("""COMPUTED_VALUE"""),2873784.0)</f>
        <v>2873784</v>
      </c>
      <c r="P104" s="2" t="str">
        <f>IFERROR(__xludf.DUMMYFUNCTION("""COMPUTED_VALUE"""),"Europe")</f>
        <v>Europe</v>
      </c>
      <c r="Q104" s="2">
        <f>IFERROR(__xludf.DUMMYFUNCTION("""COMPUTED_VALUE"""),16.0)</f>
        <v>16</v>
      </c>
      <c r="R104" s="3">
        <f>IFERROR(__xludf.DUMMYFUNCTION("""COMPUTED_VALUE"""),1035.0)</f>
        <v>1035</v>
      </c>
      <c r="S104" s="2">
        <f>IFERROR(__xludf.DUMMYFUNCTION("""COMPUTED_VALUE"""),2.0)</f>
        <v>2</v>
      </c>
      <c r="T104" s="2"/>
      <c r="U104" s="2"/>
      <c r="V104" s="3">
        <f>IFERROR(__xludf.DUMMYFUNCTION("""COMPUTED_VALUE"""),2419.0)</f>
        <v>2419</v>
      </c>
    </row>
    <row r="105" ht="15.75" customHeight="1">
      <c r="A105" s="2">
        <f>IFERROR(__xludf.DUMMYFUNCTION("""COMPUTED_VALUE"""),96.0)</f>
        <v>96</v>
      </c>
      <c r="B105" s="2" t="str">
        <f>IFERROR(__xludf.DUMMYFUNCTION("""COMPUTED_VALUE"""),"Latvia")</f>
        <v>Latvia</v>
      </c>
      <c r="C105" s="3">
        <f>IFERROR(__xludf.DUMMYFUNCTION("""COMPUTED_VALUE"""),173654.0)</f>
        <v>173654</v>
      </c>
      <c r="D105" s="2" t="str">
        <f>IFERROR(__xludf.DUMMYFUNCTION("""COMPUTED_VALUE"""),"+1,376")</f>
        <v>+1,376</v>
      </c>
      <c r="E105" s="3">
        <f>IFERROR(__xludf.DUMMYFUNCTION("""COMPUTED_VALUE"""),2819.0)</f>
        <v>2819</v>
      </c>
      <c r="F105" s="2" t="str">
        <f>IFERROR(__xludf.DUMMYFUNCTION("""COMPUTED_VALUE"""),"+13")</f>
        <v>+13</v>
      </c>
      <c r="G105" s="3">
        <f>IFERROR(__xludf.DUMMYFUNCTION("""COMPUTED_VALUE"""),152387.0)</f>
        <v>152387</v>
      </c>
      <c r="H105" s="2" t="str">
        <f>IFERROR(__xludf.DUMMYFUNCTION("""COMPUTED_VALUE"""),"+285")</f>
        <v>+285</v>
      </c>
      <c r="I105" s="3">
        <f>IFERROR(__xludf.DUMMYFUNCTION("""COMPUTED_VALUE"""),18448.0)</f>
        <v>18448</v>
      </c>
      <c r="J105" s="2">
        <f>IFERROR(__xludf.DUMMYFUNCTION("""COMPUTED_VALUE"""),99.0)</f>
        <v>99</v>
      </c>
      <c r="K105" s="3">
        <f>IFERROR(__xludf.DUMMYFUNCTION("""COMPUTED_VALUE"""),93385.0)</f>
        <v>93385</v>
      </c>
      <c r="L105" s="3">
        <f>IFERROR(__xludf.DUMMYFUNCTION("""COMPUTED_VALUE"""),1516.0)</f>
        <v>1516</v>
      </c>
      <c r="M105" s="3">
        <f>IFERROR(__xludf.DUMMYFUNCTION("""COMPUTED_VALUE"""),4575239.0)</f>
        <v>4575239</v>
      </c>
      <c r="N105" s="3">
        <f>IFERROR(__xludf.DUMMYFUNCTION("""COMPUTED_VALUE"""),2460408.0)</f>
        <v>2460408</v>
      </c>
      <c r="O105" s="3">
        <f>IFERROR(__xludf.DUMMYFUNCTION("""COMPUTED_VALUE"""),1859545.0)</f>
        <v>1859545</v>
      </c>
      <c r="P105" s="2" t="str">
        <f>IFERROR(__xludf.DUMMYFUNCTION("""COMPUTED_VALUE"""),"Europe")</f>
        <v>Europe</v>
      </c>
      <c r="Q105" s="2">
        <f>IFERROR(__xludf.DUMMYFUNCTION("""COMPUTED_VALUE"""),11.0)</f>
        <v>11</v>
      </c>
      <c r="R105" s="2">
        <f>IFERROR(__xludf.DUMMYFUNCTION("""COMPUTED_VALUE"""),660.0)</f>
        <v>660</v>
      </c>
      <c r="S105" s="2">
        <f>IFERROR(__xludf.DUMMYFUNCTION("""COMPUTED_VALUE"""),0.0)</f>
        <v>0</v>
      </c>
      <c r="T105" s="2">
        <f>IFERROR(__xludf.DUMMYFUNCTION("""COMPUTED_VALUE"""),740.0)</f>
        <v>740</v>
      </c>
      <c r="U105" s="2">
        <f>IFERROR(__xludf.DUMMYFUNCTION("""COMPUTED_VALUE"""),7.0)</f>
        <v>7</v>
      </c>
      <c r="V105" s="3">
        <f>IFERROR(__xludf.DUMMYFUNCTION("""COMPUTED_VALUE"""),9921.0)</f>
        <v>9921</v>
      </c>
    </row>
    <row r="106" ht="15.75" customHeight="1">
      <c r="A106" s="2">
        <f>IFERROR(__xludf.DUMMYFUNCTION("""COMPUTED_VALUE"""),97.0)</f>
        <v>97</v>
      </c>
      <c r="B106" s="2" t="str">
        <f>IFERROR(__xludf.DUMMYFUNCTION("""COMPUTED_VALUE"""),"Estonia")</f>
        <v>Estonia</v>
      </c>
      <c r="C106" s="3">
        <f>IFERROR(__xludf.DUMMYFUNCTION("""COMPUTED_VALUE"""),166601.0)</f>
        <v>166601</v>
      </c>
      <c r="D106" s="2" t="str">
        <f>IFERROR(__xludf.DUMMYFUNCTION("""COMPUTED_VALUE"""),"+1,260")</f>
        <v>+1,260</v>
      </c>
      <c r="E106" s="3">
        <f>IFERROR(__xludf.DUMMYFUNCTION("""COMPUTED_VALUE"""),1402.0)</f>
        <v>1402</v>
      </c>
      <c r="F106" s="2" t="str">
        <f>IFERROR(__xludf.DUMMYFUNCTION("""COMPUTED_VALUE"""),"+2")</f>
        <v>+2</v>
      </c>
      <c r="G106" s="3">
        <f>IFERROR(__xludf.DUMMYFUNCTION("""COMPUTED_VALUE"""),149773.0)</f>
        <v>149773</v>
      </c>
      <c r="H106" s="2" t="str">
        <f>IFERROR(__xludf.DUMMYFUNCTION("""COMPUTED_VALUE"""),"+218")</f>
        <v>+218</v>
      </c>
      <c r="I106" s="3">
        <f>IFERROR(__xludf.DUMMYFUNCTION("""COMPUTED_VALUE"""),15426.0)</f>
        <v>15426</v>
      </c>
      <c r="J106" s="2">
        <f>IFERROR(__xludf.DUMMYFUNCTION("""COMPUTED_VALUE"""),32.0)</f>
        <v>32</v>
      </c>
      <c r="K106" s="3">
        <f>IFERROR(__xludf.DUMMYFUNCTION("""COMPUTED_VALUE"""),125483.0)</f>
        <v>125483</v>
      </c>
      <c r="L106" s="3">
        <f>IFERROR(__xludf.DUMMYFUNCTION("""COMPUTED_VALUE"""),1056.0)</f>
        <v>1056</v>
      </c>
      <c r="M106" s="3">
        <f>IFERROR(__xludf.DUMMYFUNCTION("""COMPUTED_VALUE"""),1990052.0)</f>
        <v>1990052</v>
      </c>
      <c r="N106" s="3">
        <f>IFERROR(__xludf.DUMMYFUNCTION("""COMPUTED_VALUE"""),1498901.0)</f>
        <v>1498901</v>
      </c>
      <c r="O106" s="3">
        <f>IFERROR(__xludf.DUMMYFUNCTION("""COMPUTED_VALUE"""),1327674.0)</f>
        <v>1327674</v>
      </c>
      <c r="P106" s="2" t="str">
        <f>IFERROR(__xludf.DUMMYFUNCTION("""COMPUTED_VALUE"""),"Europe")</f>
        <v>Europe</v>
      </c>
      <c r="Q106" s="2">
        <f>IFERROR(__xludf.DUMMYFUNCTION("""COMPUTED_VALUE"""),8.0)</f>
        <v>8</v>
      </c>
      <c r="R106" s="2">
        <f>IFERROR(__xludf.DUMMYFUNCTION("""COMPUTED_VALUE"""),947.0)</f>
        <v>947</v>
      </c>
      <c r="S106" s="2">
        <f>IFERROR(__xludf.DUMMYFUNCTION("""COMPUTED_VALUE"""),1.0)</f>
        <v>1</v>
      </c>
      <c r="T106" s="2">
        <f>IFERROR(__xludf.DUMMYFUNCTION("""COMPUTED_VALUE"""),949.0)</f>
        <v>949</v>
      </c>
      <c r="U106" s="2">
        <f>IFERROR(__xludf.DUMMYFUNCTION("""COMPUTED_VALUE"""),2.0)</f>
        <v>2</v>
      </c>
      <c r="V106" s="3">
        <f>IFERROR(__xludf.DUMMYFUNCTION("""COMPUTED_VALUE"""),11619.0)</f>
        <v>11619</v>
      </c>
    </row>
    <row r="107" ht="15.75" customHeight="1">
      <c r="A107" s="2">
        <f>IFERROR(__xludf.DUMMYFUNCTION("""COMPUTED_VALUE"""),98.0)</f>
        <v>98</v>
      </c>
      <c r="B107" s="2" t="str">
        <f>IFERROR(__xludf.DUMMYFUNCTION("""COMPUTED_VALUE"""),"Afghanistan")</f>
        <v>Afghanistan</v>
      </c>
      <c r="C107" s="3">
        <f>IFERROR(__xludf.DUMMYFUNCTION("""COMPUTED_VALUE"""),155599.0)</f>
        <v>155599</v>
      </c>
      <c r="D107" s="2" t="str">
        <f>IFERROR(__xludf.DUMMYFUNCTION("""COMPUTED_VALUE"""),"+59")</f>
        <v>+59</v>
      </c>
      <c r="E107" s="3">
        <f>IFERROR(__xludf.DUMMYFUNCTION("""COMPUTED_VALUE"""),7230.0)</f>
        <v>7230</v>
      </c>
      <c r="F107" s="2" t="str">
        <f>IFERROR(__xludf.DUMMYFUNCTION("""COMPUTED_VALUE"""),"+2")</f>
        <v>+2</v>
      </c>
      <c r="G107" s="3">
        <f>IFERROR(__xludf.DUMMYFUNCTION("""COMPUTED_VALUE"""),126615.0)</f>
        <v>126615</v>
      </c>
      <c r="H107" s="2" t="str">
        <f>IFERROR(__xludf.DUMMYFUNCTION("""COMPUTED_VALUE"""),"+156")</f>
        <v>+156</v>
      </c>
      <c r="I107" s="3">
        <f>IFERROR(__xludf.DUMMYFUNCTION("""COMPUTED_VALUE"""),21754.0)</f>
        <v>21754</v>
      </c>
      <c r="J107" s="3">
        <f>IFERROR(__xludf.DUMMYFUNCTION("""COMPUTED_VALUE"""),1124.0)</f>
        <v>1124</v>
      </c>
      <c r="K107" s="3">
        <f>IFERROR(__xludf.DUMMYFUNCTION("""COMPUTED_VALUE"""),3886.0)</f>
        <v>3886</v>
      </c>
      <c r="L107" s="2">
        <f>IFERROR(__xludf.DUMMYFUNCTION("""COMPUTED_VALUE"""),181.0)</f>
        <v>181</v>
      </c>
      <c r="M107" s="3">
        <f>IFERROR(__xludf.DUMMYFUNCTION("""COMPUTED_VALUE"""),765477.0)</f>
        <v>765477</v>
      </c>
      <c r="N107" s="3">
        <f>IFERROR(__xludf.DUMMYFUNCTION("""COMPUTED_VALUE"""),19116.0)</f>
        <v>19116</v>
      </c>
      <c r="O107" s="3">
        <f>IFERROR(__xludf.DUMMYFUNCTION("""COMPUTED_VALUE"""),4.0044373E7)</f>
        <v>40044373</v>
      </c>
      <c r="P107" s="2" t="str">
        <f>IFERROR(__xludf.DUMMYFUNCTION("""COMPUTED_VALUE"""),"Asia")</f>
        <v>Asia</v>
      </c>
      <c r="Q107" s="2">
        <f>IFERROR(__xludf.DUMMYFUNCTION("""COMPUTED_VALUE"""),257.0)</f>
        <v>257</v>
      </c>
      <c r="R107" s="3">
        <f>IFERROR(__xludf.DUMMYFUNCTION("""COMPUTED_VALUE"""),5539.0)</f>
        <v>5539</v>
      </c>
      <c r="S107" s="2">
        <f>IFERROR(__xludf.DUMMYFUNCTION("""COMPUTED_VALUE"""),52.0)</f>
        <v>52</v>
      </c>
      <c r="T107" s="2">
        <f>IFERROR(__xludf.DUMMYFUNCTION("""COMPUTED_VALUE"""),1.0)</f>
        <v>1</v>
      </c>
      <c r="U107" s="2">
        <f>IFERROR(__xludf.DUMMYFUNCTION("""COMPUTED_VALUE"""),0.05)</f>
        <v>0.05</v>
      </c>
      <c r="V107" s="2">
        <f>IFERROR(__xludf.DUMMYFUNCTION("""COMPUTED_VALUE"""),543.0)</f>
        <v>543</v>
      </c>
    </row>
    <row r="108" ht="15.75" customHeight="1">
      <c r="A108" s="2">
        <f>IFERROR(__xludf.DUMMYFUNCTION("""COMPUTED_VALUE"""),99.0)</f>
        <v>99</v>
      </c>
      <c r="B108" s="2" t="str">
        <f>IFERROR(__xludf.DUMMYFUNCTION("""COMPUTED_VALUE"""),"Mozambique")</f>
        <v>Mozambique</v>
      </c>
      <c r="C108" s="3">
        <f>IFERROR(__xludf.DUMMYFUNCTION("""COMPUTED_VALUE"""),151018.0)</f>
        <v>151018</v>
      </c>
      <c r="D108" s="2" t="str">
        <f>IFERROR(__xludf.DUMMYFUNCTION("""COMPUTED_VALUE"""),"+27")</f>
        <v>+27</v>
      </c>
      <c r="E108" s="3">
        <f>IFERROR(__xludf.DUMMYFUNCTION("""COMPUTED_VALUE"""),1924.0)</f>
        <v>1924</v>
      </c>
      <c r="F108" s="2"/>
      <c r="G108" s="3">
        <f>IFERROR(__xludf.DUMMYFUNCTION("""COMPUTED_VALUE"""),148038.0)</f>
        <v>148038</v>
      </c>
      <c r="H108" s="2" t="str">
        <f>IFERROR(__xludf.DUMMYFUNCTION("""COMPUTED_VALUE"""),"+83")</f>
        <v>+83</v>
      </c>
      <c r="I108" s="3">
        <f>IFERROR(__xludf.DUMMYFUNCTION("""COMPUTED_VALUE"""),1056.0)</f>
        <v>1056</v>
      </c>
      <c r="J108" s="2">
        <f>IFERROR(__xludf.DUMMYFUNCTION("""COMPUTED_VALUE"""),32.0)</f>
        <v>32</v>
      </c>
      <c r="K108" s="3">
        <f>IFERROR(__xludf.DUMMYFUNCTION("""COMPUTED_VALUE"""),4665.0)</f>
        <v>4665</v>
      </c>
      <c r="L108" s="2">
        <f>IFERROR(__xludf.DUMMYFUNCTION("""COMPUTED_VALUE"""),59.0)</f>
        <v>59</v>
      </c>
      <c r="M108" s="3">
        <f>IFERROR(__xludf.DUMMYFUNCTION("""COMPUTED_VALUE"""),919760.0)</f>
        <v>919760</v>
      </c>
      <c r="N108" s="3">
        <f>IFERROR(__xludf.DUMMYFUNCTION("""COMPUTED_VALUE"""),28415.0)</f>
        <v>28415</v>
      </c>
      <c r="O108" s="3">
        <f>IFERROR(__xludf.DUMMYFUNCTION("""COMPUTED_VALUE"""),3.2369139E7)</f>
        <v>32369139</v>
      </c>
      <c r="P108" s="2" t="str">
        <f>IFERROR(__xludf.DUMMYFUNCTION("""COMPUTED_VALUE"""),"Africa")</f>
        <v>Africa</v>
      </c>
      <c r="Q108" s="2">
        <f>IFERROR(__xludf.DUMMYFUNCTION("""COMPUTED_VALUE"""),214.0)</f>
        <v>214</v>
      </c>
      <c r="R108" s="3">
        <f>IFERROR(__xludf.DUMMYFUNCTION("""COMPUTED_VALUE"""),16824.0)</f>
        <v>16824</v>
      </c>
      <c r="S108" s="2">
        <f>IFERROR(__xludf.DUMMYFUNCTION("""COMPUTED_VALUE"""),35.0)</f>
        <v>35</v>
      </c>
      <c r="T108" s="2">
        <f>IFERROR(__xludf.DUMMYFUNCTION("""COMPUTED_VALUE"""),0.8)</f>
        <v>0.8</v>
      </c>
      <c r="U108" s="2"/>
      <c r="V108" s="2">
        <f>IFERROR(__xludf.DUMMYFUNCTION("""COMPUTED_VALUE"""),33.0)</f>
        <v>33</v>
      </c>
    </row>
    <row r="109" ht="15.75" customHeight="1">
      <c r="A109" s="2">
        <f>IFERROR(__xludf.DUMMYFUNCTION("""COMPUTED_VALUE"""),100.0)</f>
        <v>100</v>
      </c>
      <c r="B109" s="2" t="str">
        <f>IFERROR(__xludf.DUMMYFUNCTION("""COMPUTED_VALUE"""),"Finland")</f>
        <v>Finland</v>
      </c>
      <c r="C109" s="3">
        <f>IFERROR(__xludf.DUMMYFUNCTION("""COMPUTED_VALUE"""),147919.0)</f>
        <v>147919</v>
      </c>
      <c r="D109" s="2" t="str">
        <f>IFERROR(__xludf.DUMMYFUNCTION("""COMPUTED_VALUE"""),"+622")</f>
        <v>+622</v>
      </c>
      <c r="E109" s="3">
        <f>IFERROR(__xludf.DUMMYFUNCTION("""COMPUTED_VALUE"""),1100.0)</f>
        <v>1100</v>
      </c>
      <c r="F109" s="2"/>
      <c r="G109" s="3">
        <f>IFERROR(__xludf.DUMMYFUNCTION("""COMPUTED_VALUE"""),46000.0)</f>
        <v>46000</v>
      </c>
      <c r="H109" s="2"/>
      <c r="I109" s="3">
        <f>IFERROR(__xludf.DUMMYFUNCTION("""COMPUTED_VALUE"""),100819.0)</f>
        <v>100819</v>
      </c>
      <c r="J109" s="2">
        <f>IFERROR(__xludf.DUMMYFUNCTION("""COMPUTED_VALUE"""),29.0)</f>
        <v>29</v>
      </c>
      <c r="K109" s="3">
        <f>IFERROR(__xludf.DUMMYFUNCTION("""COMPUTED_VALUE"""),26644.0)</f>
        <v>26644</v>
      </c>
      <c r="L109" s="2">
        <f>IFERROR(__xludf.DUMMYFUNCTION("""COMPUTED_VALUE"""),198.0)</f>
        <v>198</v>
      </c>
      <c r="M109" s="3">
        <f>IFERROR(__xludf.DUMMYFUNCTION("""COMPUTED_VALUE"""),7225211.0)</f>
        <v>7225211</v>
      </c>
      <c r="N109" s="3">
        <f>IFERROR(__xludf.DUMMYFUNCTION("""COMPUTED_VALUE"""),1301439.0)</f>
        <v>1301439</v>
      </c>
      <c r="O109" s="3">
        <f>IFERROR(__xludf.DUMMYFUNCTION("""COMPUTED_VALUE"""),5551709.0)</f>
        <v>5551709</v>
      </c>
      <c r="P109" s="2" t="str">
        <f>IFERROR(__xludf.DUMMYFUNCTION("""COMPUTED_VALUE"""),"Europe")</f>
        <v>Europe</v>
      </c>
      <c r="Q109" s="2">
        <f>IFERROR(__xludf.DUMMYFUNCTION("""COMPUTED_VALUE"""),38.0)</f>
        <v>38</v>
      </c>
      <c r="R109" s="3">
        <f>IFERROR(__xludf.DUMMYFUNCTION("""COMPUTED_VALUE"""),5047.0)</f>
        <v>5047</v>
      </c>
      <c r="S109" s="2">
        <f>IFERROR(__xludf.DUMMYFUNCTION("""COMPUTED_VALUE"""),1.0)</f>
        <v>1</v>
      </c>
      <c r="T109" s="2">
        <f>IFERROR(__xludf.DUMMYFUNCTION("""COMPUTED_VALUE"""),112.0)</f>
        <v>112</v>
      </c>
      <c r="U109" s="2"/>
      <c r="V109" s="3">
        <f>IFERROR(__xludf.DUMMYFUNCTION("""COMPUTED_VALUE"""),18160.0)</f>
        <v>18160</v>
      </c>
    </row>
    <row r="110" ht="15.75" customHeight="1">
      <c r="A110" s="2">
        <f>IFERROR(__xludf.DUMMYFUNCTION("""COMPUTED_VALUE"""),101.0)</f>
        <v>101</v>
      </c>
      <c r="B110" s="2" t="str">
        <f>IFERROR(__xludf.DUMMYFUNCTION("""COMPUTED_VALUE"""),"Montenegro")</f>
        <v>Montenegro</v>
      </c>
      <c r="C110" s="3">
        <f>IFERROR(__xludf.DUMMYFUNCTION("""COMPUTED_VALUE"""),135981.0)</f>
        <v>135981</v>
      </c>
      <c r="D110" s="2" t="str">
        <f>IFERROR(__xludf.DUMMYFUNCTION("""COMPUTED_VALUE"""),"+448")</f>
        <v>+448</v>
      </c>
      <c r="E110" s="3">
        <f>IFERROR(__xludf.DUMMYFUNCTION("""COMPUTED_VALUE"""),2000.0)</f>
        <v>2000</v>
      </c>
      <c r="F110" s="2" t="str">
        <f>IFERROR(__xludf.DUMMYFUNCTION("""COMPUTED_VALUE"""),"+8")</f>
        <v>+8</v>
      </c>
      <c r="G110" s="3">
        <f>IFERROR(__xludf.DUMMYFUNCTION("""COMPUTED_VALUE"""),128736.0)</f>
        <v>128736</v>
      </c>
      <c r="H110" s="2" t="str">
        <f>IFERROR(__xludf.DUMMYFUNCTION("""COMPUTED_VALUE"""),"+517")</f>
        <v>+517</v>
      </c>
      <c r="I110" s="3">
        <f>IFERROR(__xludf.DUMMYFUNCTION("""COMPUTED_VALUE"""),5245.0)</f>
        <v>5245</v>
      </c>
      <c r="J110" s="2"/>
      <c r="K110" s="3">
        <f>IFERROR(__xludf.DUMMYFUNCTION("""COMPUTED_VALUE"""),216473.0)</f>
        <v>216473</v>
      </c>
      <c r="L110" s="3">
        <f>IFERROR(__xludf.DUMMYFUNCTION("""COMPUTED_VALUE"""),3184.0)</f>
        <v>3184</v>
      </c>
      <c r="M110" s="3">
        <f>IFERROR(__xludf.DUMMYFUNCTION("""COMPUTED_VALUE"""),767558.0)</f>
        <v>767558</v>
      </c>
      <c r="N110" s="3">
        <f>IFERROR(__xludf.DUMMYFUNCTION("""COMPUTED_VALUE"""),1221901.0)</f>
        <v>1221901</v>
      </c>
      <c r="O110" s="3">
        <f>IFERROR(__xludf.DUMMYFUNCTION("""COMPUTED_VALUE"""),628167.0)</f>
        <v>628167</v>
      </c>
      <c r="P110" s="2" t="str">
        <f>IFERROR(__xludf.DUMMYFUNCTION("""COMPUTED_VALUE"""),"Europe")</f>
        <v>Europe</v>
      </c>
      <c r="Q110" s="2">
        <f>IFERROR(__xludf.DUMMYFUNCTION("""COMPUTED_VALUE"""),5.0)</f>
        <v>5</v>
      </c>
      <c r="R110" s="2">
        <f>IFERROR(__xludf.DUMMYFUNCTION("""COMPUTED_VALUE"""),314.0)</f>
        <v>314</v>
      </c>
      <c r="S110" s="2">
        <f>IFERROR(__xludf.DUMMYFUNCTION("""COMPUTED_VALUE"""),1.0)</f>
        <v>1</v>
      </c>
      <c r="T110" s="2">
        <f>IFERROR(__xludf.DUMMYFUNCTION("""COMPUTED_VALUE"""),713.0)</f>
        <v>713</v>
      </c>
      <c r="U110" s="2">
        <f>IFERROR(__xludf.DUMMYFUNCTION("""COMPUTED_VALUE"""),13.0)</f>
        <v>13</v>
      </c>
      <c r="V110" s="3">
        <f>IFERROR(__xludf.DUMMYFUNCTION("""COMPUTED_VALUE"""),8350.0)</f>
        <v>8350</v>
      </c>
    </row>
    <row r="111" ht="15.75" customHeight="1">
      <c r="A111" s="2">
        <f>IFERROR(__xludf.DUMMYFUNCTION("""COMPUTED_VALUE"""),102.0)</f>
        <v>102</v>
      </c>
      <c r="B111" s="2" t="str">
        <f>IFERROR(__xludf.DUMMYFUNCTION("""COMPUTED_VALUE"""),"Zimbabwe")</f>
        <v>Zimbabwe</v>
      </c>
      <c r="C111" s="3">
        <f>IFERROR(__xludf.DUMMYFUNCTION("""COMPUTED_VALUE"""),132016.0)</f>
        <v>132016</v>
      </c>
      <c r="D111" s="2" t="str">
        <f>IFERROR(__xludf.DUMMYFUNCTION("""COMPUTED_VALUE"""),"+141")</f>
        <v>+141</v>
      </c>
      <c r="E111" s="3">
        <f>IFERROR(__xludf.DUMMYFUNCTION("""COMPUTED_VALUE"""),4645.0)</f>
        <v>4645</v>
      </c>
      <c r="F111" s="2" t="str">
        <f>IFERROR(__xludf.DUMMYFUNCTION("""COMPUTED_VALUE"""),"+2")</f>
        <v>+2</v>
      </c>
      <c r="G111" s="3">
        <f>IFERROR(__xludf.DUMMYFUNCTION("""COMPUTED_VALUE"""),125693.0)</f>
        <v>125693</v>
      </c>
      <c r="H111" s="2" t="str">
        <f>IFERROR(__xludf.DUMMYFUNCTION("""COMPUTED_VALUE"""),"+214")</f>
        <v>+214</v>
      </c>
      <c r="I111" s="3">
        <f>IFERROR(__xludf.DUMMYFUNCTION("""COMPUTED_VALUE"""),1678.0)</f>
        <v>1678</v>
      </c>
      <c r="J111" s="2">
        <f>IFERROR(__xludf.DUMMYFUNCTION("""COMPUTED_VALUE"""),12.0)</f>
        <v>12</v>
      </c>
      <c r="K111" s="3">
        <f>IFERROR(__xludf.DUMMYFUNCTION("""COMPUTED_VALUE"""),8720.0)</f>
        <v>8720</v>
      </c>
      <c r="L111" s="2">
        <f>IFERROR(__xludf.DUMMYFUNCTION("""COMPUTED_VALUE"""),307.0)</f>
        <v>307</v>
      </c>
      <c r="M111" s="3">
        <f>IFERROR(__xludf.DUMMYFUNCTION("""COMPUTED_VALUE"""),1444670.0)</f>
        <v>1444670</v>
      </c>
      <c r="N111" s="3">
        <f>IFERROR(__xludf.DUMMYFUNCTION("""COMPUTED_VALUE"""),95429.0)</f>
        <v>95429</v>
      </c>
      <c r="O111" s="3">
        <f>IFERROR(__xludf.DUMMYFUNCTION("""COMPUTED_VALUE"""),1.5138697E7)</f>
        <v>15138697</v>
      </c>
      <c r="P111" s="2" t="str">
        <f>IFERROR(__xludf.DUMMYFUNCTION("""COMPUTED_VALUE"""),"Africa")</f>
        <v>Africa</v>
      </c>
      <c r="Q111" s="2">
        <f>IFERROR(__xludf.DUMMYFUNCTION("""COMPUTED_VALUE"""),115.0)</f>
        <v>115</v>
      </c>
      <c r="R111" s="3">
        <f>IFERROR(__xludf.DUMMYFUNCTION("""COMPUTED_VALUE"""),3259.0)</f>
        <v>3259</v>
      </c>
      <c r="S111" s="2">
        <f>IFERROR(__xludf.DUMMYFUNCTION("""COMPUTED_VALUE"""),10.0)</f>
        <v>10</v>
      </c>
      <c r="T111" s="2">
        <f>IFERROR(__xludf.DUMMYFUNCTION("""COMPUTED_VALUE"""),9.0)</f>
        <v>9</v>
      </c>
      <c r="U111" s="2">
        <f>IFERROR(__xludf.DUMMYFUNCTION("""COMPUTED_VALUE"""),0.1)</f>
        <v>0.1</v>
      </c>
      <c r="V111" s="2">
        <f>IFERROR(__xludf.DUMMYFUNCTION("""COMPUTED_VALUE"""),111.0)</f>
        <v>111</v>
      </c>
    </row>
    <row r="112" ht="15.75" customHeight="1">
      <c r="A112" s="2">
        <f>IFERROR(__xludf.DUMMYFUNCTION("""COMPUTED_VALUE"""),103.0)</f>
        <v>103</v>
      </c>
      <c r="B112" s="2" t="str">
        <f>IFERROR(__xludf.DUMMYFUNCTION("""COMPUTED_VALUE"""),"Australia")</f>
        <v>Australia</v>
      </c>
      <c r="C112" s="3">
        <f>IFERROR(__xludf.DUMMYFUNCTION("""COMPUTED_VALUE"""),131415.0)</f>
        <v>131415</v>
      </c>
      <c r="D112" s="2" t="str">
        <f>IFERROR(__xludf.DUMMYFUNCTION("""COMPUTED_VALUE"""),"+1,848")</f>
        <v>+1,848</v>
      </c>
      <c r="E112" s="3">
        <f>IFERROR(__xludf.DUMMYFUNCTION("""COMPUTED_VALUE"""),1461.0)</f>
        <v>1461</v>
      </c>
      <c r="F112" s="2" t="str">
        <f>IFERROR(__xludf.DUMMYFUNCTION("""COMPUTED_VALUE"""),"+13")</f>
        <v>+13</v>
      </c>
      <c r="G112" s="3">
        <f>IFERROR(__xludf.DUMMYFUNCTION("""COMPUTED_VALUE"""),96234.0)</f>
        <v>96234</v>
      </c>
      <c r="H112" s="2"/>
      <c r="I112" s="3">
        <f>IFERROR(__xludf.DUMMYFUNCTION("""COMPUTED_VALUE"""),33720.0)</f>
        <v>33720</v>
      </c>
      <c r="J112" s="2">
        <f>IFERROR(__xludf.DUMMYFUNCTION("""COMPUTED_VALUE"""),296.0)</f>
        <v>296</v>
      </c>
      <c r="K112" s="3">
        <f>IFERROR(__xludf.DUMMYFUNCTION("""COMPUTED_VALUE"""),5078.0)</f>
        <v>5078</v>
      </c>
      <c r="L112" s="2">
        <f>IFERROR(__xludf.DUMMYFUNCTION("""COMPUTED_VALUE"""),56.0)</f>
        <v>56</v>
      </c>
      <c r="M112" s="3">
        <f>IFERROR(__xludf.DUMMYFUNCTION("""COMPUTED_VALUE"""),4.0111465E7)</f>
        <v>40111465</v>
      </c>
      <c r="N112" s="3">
        <f>IFERROR(__xludf.DUMMYFUNCTION("""COMPUTED_VALUE"""),1550072.0)</f>
        <v>1550072</v>
      </c>
      <c r="O112" s="3">
        <f>IFERROR(__xludf.DUMMYFUNCTION("""COMPUTED_VALUE"""),2.5877157E7)</f>
        <v>25877157</v>
      </c>
      <c r="P112" s="2" t="str">
        <f>IFERROR(__xludf.DUMMYFUNCTION("""COMPUTED_VALUE"""),"Australia/Oceania")</f>
        <v>Australia/Oceania</v>
      </c>
      <c r="Q112" s="2">
        <f>IFERROR(__xludf.DUMMYFUNCTION("""COMPUTED_VALUE"""),197.0)</f>
        <v>197</v>
      </c>
      <c r="R112" s="3">
        <f>IFERROR(__xludf.DUMMYFUNCTION("""COMPUTED_VALUE"""),17712.0)</f>
        <v>17712</v>
      </c>
      <c r="S112" s="2">
        <f>IFERROR(__xludf.DUMMYFUNCTION("""COMPUTED_VALUE"""),1.0)</f>
        <v>1</v>
      </c>
      <c r="T112" s="2">
        <f>IFERROR(__xludf.DUMMYFUNCTION("""COMPUTED_VALUE"""),71.0)</f>
        <v>71</v>
      </c>
      <c r="U112" s="2">
        <f>IFERROR(__xludf.DUMMYFUNCTION("""COMPUTED_VALUE"""),0.5)</f>
        <v>0.5</v>
      </c>
      <c r="V112" s="3">
        <f>IFERROR(__xludf.DUMMYFUNCTION("""COMPUTED_VALUE"""),1303.0)</f>
        <v>1303</v>
      </c>
    </row>
    <row r="113" ht="15.75" customHeight="1">
      <c r="A113" s="2">
        <f>IFERROR(__xludf.DUMMYFUNCTION("""COMPUTED_VALUE"""),104.0)</f>
        <v>104</v>
      </c>
      <c r="B113" s="2" t="str">
        <f>IFERROR(__xludf.DUMMYFUNCTION("""COMPUTED_VALUE"""),"Singapore")</f>
        <v>Singapore</v>
      </c>
      <c r="C113" s="3">
        <f>IFERROR(__xludf.DUMMYFUNCTION("""COMPUTED_VALUE"""),129229.0)</f>
        <v>129229</v>
      </c>
      <c r="D113" s="2"/>
      <c r="E113" s="3">
        <f>IFERROR(__xludf.DUMMYFUNCTION("""COMPUTED_VALUE"""),172.0)</f>
        <v>172</v>
      </c>
      <c r="F113" s="2"/>
      <c r="G113" s="3">
        <f>IFERROR(__xludf.DUMMYFUNCTION("""COMPUTED_VALUE"""),102746.0)</f>
        <v>102746</v>
      </c>
      <c r="H113" s="2"/>
      <c r="I113" s="3">
        <f>IFERROR(__xludf.DUMMYFUNCTION("""COMPUTED_VALUE"""),26311.0)</f>
        <v>26311</v>
      </c>
      <c r="J113" s="2">
        <f>IFERROR(__xludf.DUMMYFUNCTION("""COMPUTED_VALUE"""),42.0)</f>
        <v>42</v>
      </c>
      <c r="K113" s="3">
        <f>IFERROR(__xludf.DUMMYFUNCTION("""COMPUTED_VALUE"""),21870.0)</f>
        <v>21870</v>
      </c>
      <c r="L113" s="2">
        <f>IFERROR(__xludf.DUMMYFUNCTION("""COMPUTED_VALUE"""),29.0)</f>
        <v>29</v>
      </c>
      <c r="M113" s="3">
        <f>IFERROR(__xludf.DUMMYFUNCTION("""COMPUTED_VALUE"""),2.0436387E7)</f>
        <v>20436387</v>
      </c>
      <c r="N113" s="3">
        <f>IFERROR(__xludf.DUMMYFUNCTION("""COMPUTED_VALUE"""),3458494.0)</f>
        <v>3458494</v>
      </c>
      <c r="O113" s="3">
        <f>IFERROR(__xludf.DUMMYFUNCTION("""COMPUTED_VALUE"""),5909042.0)</f>
        <v>5909042</v>
      </c>
      <c r="P113" s="2" t="str">
        <f>IFERROR(__xludf.DUMMYFUNCTION("""COMPUTED_VALUE"""),"Asia")</f>
        <v>Asia</v>
      </c>
      <c r="Q113" s="2">
        <f>IFERROR(__xludf.DUMMYFUNCTION("""COMPUTED_VALUE"""),46.0)</f>
        <v>46</v>
      </c>
      <c r="R113" s="3">
        <f>IFERROR(__xludf.DUMMYFUNCTION("""COMPUTED_VALUE"""),34355.0)</f>
        <v>34355</v>
      </c>
      <c r="S113" s="2">
        <f>IFERROR(__xludf.DUMMYFUNCTION("""COMPUTED_VALUE"""),0.0)</f>
        <v>0</v>
      </c>
      <c r="T113" s="2"/>
      <c r="U113" s="2"/>
      <c r="V113" s="3">
        <f>IFERROR(__xludf.DUMMYFUNCTION("""COMPUTED_VALUE"""),4453.0)</f>
        <v>4453</v>
      </c>
    </row>
    <row r="114" ht="15.75" customHeight="1">
      <c r="A114" s="2">
        <f>IFERROR(__xludf.DUMMYFUNCTION("""COMPUTED_VALUE"""),105.0)</f>
        <v>105</v>
      </c>
      <c r="B114" s="2" t="str">
        <f>IFERROR(__xludf.DUMMYFUNCTION("""COMPUTED_VALUE"""),"Ghana")</f>
        <v>Ghana</v>
      </c>
      <c r="C114" s="3">
        <f>IFERROR(__xludf.DUMMYFUNCTION("""COMPUTED_VALUE"""),128368.0)</f>
        <v>128368</v>
      </c>
      <c r="D114" s="2"/>
      <c r="E114" s="3">
        <f>IFERROR(__xludf.DUMMYFUNCTION("""COMPUTED_VALUE"""),1158.0)</f>
        <v>1158</v>
      </c>
      <c r="F114" s="2"/>
      <c r="G114" s="3">
        <f>IFERROR(__xludf.DUMMYFUNCTION("""COMPUTED_VALUE"""),124514.0)</f>
        <v>124514</v>
      </c>
      <c r="H114" s="2"/>
      <c r="I114" s="3">
        <f>IFERROR(__xludf.DUMMYFUNCTION("""COMPUTED_VALUE"""),2696.0)</f>
        <v>2696</v>
      </c>
      <c r="J114" s="2">
        <f>IFERROR(__xludf.DUMMYFUNCTION("""COMPUTED_VALUE"""),42.0)</f>
        <v>42</v>
      </c>
      <c r="K114" s="3">
        <f>IFERROR(__xludf.DUMMYFUNCTION("""COMPUTED_VALUE"""),4024.0)</f>
        <v>4024</v>
      </c>
      <c r="L114" s="3">
        <f>IFERROR(__xludf.DUMMYFUNCTION("""COMPUTED_VALUE"""),36.0)</f>
        <v>36</v>
      </c>
      <c r="M114" s="3">
        <f>IFERROR(__xludf.DUMMYFUNCTION("""COMPUTED_VALUE"""),1781277.0)</f>
        <v>1781277</v>
      </c>
      <c r="N114" s="3">
        <f>IFERROR(__xludf.DUMMYFUNCTION("""COMPUTED_VALUE"""),55841.0)</f>
        <v>55841</v>
      </c>
      <c r="O114" s="3">
        <f>IFERROR(__xludf.DUMMYFUNCTION("""COMPUTED_VALUE"""),3.1898831E7)</f>
        <v>31898831</v>
      </c>
      <c r="P114" s="2" t="str">
        <f>IFERROR(__xludf.DUMMYFUNCTION("""COMPUTED_VALUE"""),"Africa")</f>
        <v>Africa</v>
      </c>
      <c r="Q114" s="2">
        <f>IFERROR(__xludf.DUMMYFUNCTION("""COMPUTED_VALUE"""),248.0)</f>
        <v>248</v>
      </c>
      <c r="R114" s="3">
        <f>IFERROR(__xludf.DUMMYFUNCTION("""COMPUTED_VALUE"""),27546.0)</f>
        <v>27546</v>
      </c>
      <c r="S114" s="2">
        <f>IFERROR(__xludf.DUMMYFUNCTION("""COMPUTED_VALUE"""),18.0)</f>
        <v>18</v>
      </c>
      <c r="T114" s="2"/>
      <c r="U114" s="2"/>
      <c r="V114" s="2">
        <f>IFERROR(__xludf.DUMMYFUNCTION("""COMPUTED_VALUE"""),85.0)</f>
        <v>85</v>
      </c>
    </row>
    <row r="115" ht="15.75" customHeight="1">
      <c r="A115" s="2">
        <f>IFERROR(__xludf.DUMMYFUNCTION("""COMPUTED_VALUE"""),106.0)</f>
        <v>106</v>
      </c>
      <c r="B115" s="2" t="str">
        <f>IFERROR(__xludf.DUMMYFUNCTION("""COMPUTED_VALUE"""),"Namibia")</f>
        <v>Namibia</v>
      </c>
      <c r="C115" s="3">
        <f>IFERROR(__xludf.DUMMYFUNCTION("""COMPUTED_VALUE"""),128167.0)</f>
        <v>128167</v>
      </c>
      <c r="D115" s="2" t="str">
        <f>IFERROR(__xludf.DUMMYFUNCTION("""COMPUTED_VALUE"""),"+38")</f>
        <v>+38</v>
      </c>
      <c r="E115" s="3">
        <f>IFERROR(__xludf.DUMMYFUNCTION("""COMPUTED_VALUE"""),3527.0)</f>
        <v>3527</v>
      </c>
      <c r="F115" s="2"/>
      <c r="G115" s="3">
        <f>IFERROR(__xludf.DUMMYFUNCTION("""COMPUTED_VALUE"""),123580.0)</f>
        <v>123580</v>
      </c>
      <c r="H115" s="2" t="str">
        <f>IFERROR(__xludf.DUMMYFUNCTION("""COMPUTED_VALUE"""),"+13")</f>
        <v>+13</v>
      </c>
      <c r="I115" s="3">
        <f>IFERROR(__xludf.DUMMYFUNCTION("""COMPUTED_VALUE"""),1060.0)</f>
        <v>1060</v>
      </c>
      <c r="J115" s="2">
        <f>IFERROR(__xludf.DUMMYFUNCTION("""COMPUTED_VALUE"""),10.0)</f>
        <v>10</v>
      </c>
      <c r="K115" s="3">
        <f>IFERROR(__xludf.DUMMYFUNCTION("""COMPUTED_VALUE"""),49304.0)</f>
        <v>49304</v>
      </c>
      <c r="L115" s="3">
        <f>IFERROR(__xludf.DUMMYFUNCTION("""COMPUTED_VALUE"""),1357.0)</f>
        <v>1357</v>
      </c>
      <c r="M115" s="3">
        <f>IFERROR(__xludf.DUMMYFUNCTION("""COMPUTED_VALUE"""),722619.0)</f>
        <v>722619</v>
      </c>
      <c r="N115" s="3">
        <f>IFERROR(__xludf.DUMMYFUNCTION("""COMPUTED_VALUE"""),277981.0)</f>
        <v>277981</v>
      </c>
      <c r="O115" s="3">
        <f>IFERROR(__xludf.DUMMYFUNCTION("""COMPUTED_VALUE"""),2599523.0)</f>
        <v>2599523</v>
      </c>
      <c r="P115" s="2" t="str">
        <f>IFERROR(__xludf.DUMMYFUNCTION("""COMPUTED_VALUE"""),"Africa")</f>
        <v>Africa</v>
      </c>
      <c r="Q115" s="2">
        <f>IFERROR(__xludf.DUMMYFUNCTION("""COMPUTED_VALUE"""),20.0)</f>
        <v>20</v>
      </c>
      <c r="R115" s="3">
        <f>IFERROR(__xludf.DUMMYFUNCTION("""COMPUTED_VALUE"""),737.0)</f>
        <v>737</v>
      </c>
      <c r="S115" s="2">
        <f>IFERROR(__xludf.DUMMYFUNCTION("""COMPUTED_VALUE"""),4.0)</f>
        <v>4</v>
      </c>
      <c r="T115" s="2">
        <f>IFERROR(__xludf.DUMMYFUNCTION("""COMPUTED_VALUE"""),15.0)</f>
        <v>15</v>
      </c>
      <c r="U115" s="2"/>
      <c r="V115" s="3">
        <f>IFERROR(__xludf.DUMMYFUNCTION("""COMPUTED_VALUE"""),408.0)</f>
        <v>408</v>
      </c>
    </row>
    <row r="116" ht="15.75" customHeight="1">
      <c r="A116" s="2">
        <f>IFERROR(__xludf.DUMMYFUNCTION("""COMPUTED_VALUE"""),107.0)</f>
        <v>107</v>
      </c>
      <c r="B116" s="2" t="str">
        <f>IFERROR(__xludf.DUMMYFUNCTION("""COMPUTED_VALUE"""),"Uganda")</f>
        <v>Uganda</v>
      </c>
      <c r="C116" s="3">
        <f>IFERROR(__xludf.DUMMYFUNCTION("""COMPUTED_VALUE"""),124808.0)</f>
        <v>124808</v>
      </c>
      <c r="D116" s="2" t="str">
        <f>IFERROR(__xludf.DUMMYFUNCTION("""COMPUTED_VALUE"""),"+72")</f>
        <v>+72</v>
      </c>
      <c r="E116" s="3">
        <f>IFERROR(__xludf.DUMMYFUNCTION("""COMPUTED_VALUE"""),3179.0)</f>
        <v>3179</v>
      </c>
      <c r="F116" s="2" t="str">
        <f>IFERROR(__xludf.DUMMYFUNCTION("""COMPUTED_VALUE"""),"+2")</f>
        <v>+2</v>
      </c>
      <c r="G116" s="3">
        <f>IFERROR(__xludf.DUMMYFUNCTION("""COMPUTED_VALUE"""),96299.0)</f>
        <v>96299</v>
      </c>
      <c r="H116" s="2" t="str">
        <f>IFERROR(__xludf.DUMMYFUNCTION("""COMPUTED_VALUE"""),"+10")</f>
        <v>+10</v>
      </c>
      <c r="I116" s="3">
        <f>IFERROR(__xludf.DUMMYFUNCTION("""COMPUTED_VALUE"""),25330.0)</f>
        <v>25330</v>
      </c>
      <c r="J116" s="2">
        <f>IFERROR(__xludf.DUMMYFUNCTION("""COMPUTED_VALUE"""),239.0)</f>
        <v>239</v>
      </c>
      <c r="K116" s="3">
        <f>IFERROR(__xludf.DUMMYFUNCTION("""COMPUTED_VALUE"""),2623.0)</f>
        <v>2623</v>
      </c>
      <c r="L116" s="2">
        <f>IFERROR(__xludf.DUMMYFUNCTION("""COMPUTED_VALUE"""),67.0)</f>
        <v>67</v>
      </c>
      <c r="M116" s="3">
        <f>IFERROR(__xludf.DUMMYFUNCTION("""COMPUTED_VALUE"""),1731848.0)</f>
        <v>1731848</v>
      </c>
      <c r="N116" s="3">
        <f>IFERROR(__xludf.DUMMYFUNCTION("""COMPUTED_VALUE"""),36401.0)</f>
        <v>36401</v>
      </c>
      <c r="O116" s="3">
        <f>IFERROR(__xludf.DUMMYFUNCTION("""COMPUTED_VALUE"""),4.7577154E7)</f>
        <v>47577154</v>
      </c>
      <c r="P116" s="2" t="str">
        <f>IFERROR(__xludf.DUMMYFUNCTION("""COMPUTED_VALUE"""),"Africa")</f>
        <v>Africa</v>
      </c>
      <c r="Q116" s="2">
        <f>IFERROR(__xludf.DUMMYFUNCTION("""COMPUTED_VALUE"""),381.0)</f>
        <v>381</v>
      </c>
      <c r="R116" s="3">
        <f>IFERROR(__xludf.DUMMYFUNCTION("""COMPUTED_VALUE"""),14966.0)</f>
        <v>14966</v>
      </c>
      <c r="S116" s="2">
        <f>IFERROR(__xludf.DUMMYFUNCTION("""COMPUTED_VALUE"""),27.0)</f>
        <v>27</v>
      </c>
      <c r="T116" s="2">
        <f>IFERROR(__xludf.DUMMYFUNCTION("""COMPUTED_VALUE"""),2.0)</f>
        <v>2</v>
      </c>
      <c r="U116" s="2">
        <f>IFERROR(__xludf.DUMMYFUNCTION("""COMPUTED_VALUE"""),0.04)</f>
        <v>0.04</v>
      </c>
      <c r="V116" s="2">
        <f>IFERROR(__xludf.DUMMYFUNCTION("""COMPUTED_VALUE"""),532.0)</f>
        <v>532</v>
      </c>
    </row>
    <row r="117" ht="15.75" customHeight="1">
      <c r="A117" s="2">
        <f>IFERROR(__xludf.DUMMYFUNCTION("""COMPUTED_VALUE"""),108.0)</f>
        <v>108</v>
      </c>
      <c r="B117" s="2" t="str">
        <f>IFERROR(__xludf.DUMMYFUNCTION("""COMPUTED_VALUE"""),"Cyprus")</f>
        <v>Cyprus</v>
      </c>
      <c r="C117" s="3">
        <f>IFERROR(__xludf.DUMMYFUNCTION("""COMPUTED_VALUE"""),119812.0)</f>
        <v>119812</v>
      </c>
      <c r="D117" s="2"/>
      <c r="E117" s="2">
        <f>IFERROR(__xludf.DUMMYFUNCTION("""COMPUTED_VALUE"""),560.0)</f>
        <v>560</v>
      </c>
      <c r="F117" s="2"/>
      <c r="G117" s="3">
        <f>IFERROR(__xludf.DUMMYFUNCTION("""COMPUTED_VALUE"""),90755.0)</f>
        <v>90755</v>
      </c>
      <c r="H117" s="2"/>
      <c r="I117" s="3">
        <f>IFERROR(__xludf.DUMMYFUNCTION("""COMPUTED_VALUE"""),28497.0)</f>
        <v>28497</v>
      </c>
      <c r="J117" s="2">
        <f>IFERROR(__xludf.DUMMYFUNCTION("""COMPUTED_VALUE"""),22.0)</f>
        <v>22</v>
      </c>
      <c r="K117" s="3">
        <f>IFERROR(__xludf.DUMMYFUNCTION("""COMPUTED_VALUE"""),98322.0)</f>
        <v>98322</v>
      </c>
      <c r="L117" s="2">
        <f>IFERROR(__xludf.DUMMYFUNCTION("""COMPUTED_VALUE"""),460.0)</f>
        <v>460</v>
      </c>
      <c r="M117" s="3">
        <f>IFERROR(__xludf.DUMMYFUNCTION("""COMPUTED_VALUE"""),9420908.0)</f>
        <v>9420908</v>
      </c>
      <c r="N117" s="3">
        <f>IFERROR(__xludf.DUMMYFUNCTION("""COMPUTED_VALUE"""),7731099.0)</f>
        <v>7731099</v>
      </c>
      <c r="O117" s="3">
        <f>IFERROR(__xludf.DUMMYFUNCTION("""COMPUTED_VALUE"""),1218573.0)</f>
        <v>1218573</v>
      </c>
      <c r="P117" s="2" t="str">
        <f>IFERROR(__xludf.DUMMYFUNCTION("""COMPUTED_VALUE"""),"Asia")</f>
        <v>Asia</v>
      </c>
      <c r="Q117" s="2">
        <f>IFERROR(__xludf.DUMMYFUNCTION("""COMPUTED_VALUE"""),10.0)</f>
        <v>10</v>
      </c>
      <c r="R117" s="3">
        <f>IFERROR(__xludf.DUMMYFUNCTION("""COMPUTED_VALUE"""),2176.0)</f>
        <v>2176</v>
      </c>
      <c r="S117" s="2">
        <f>IFERROR(__xludf.DUMMYFUNCTION("""COMPUTED_VALUE"""),0.0)</f>
        <v>0</v>
      </c>
      <c r="T117" s="2"/>
      <c r="U117" s="2"/>
      <c r="V117" s="3">
        <f>IFERROR(__xludf.DUMMYFUNCTION("""COMPUTED_VALUE"""),23386.0)</f>
        <v>23386</v>
      </c>
    </row>
    <row r="118" ht="15.75" customHeight="1">
      <c r="A118" s="2">
        <f>IFERROR(__xludf.DUMMYFUNCTION("""COMPUTED_VALUE"""),109.0)</f>
        <v>109</v>
      </c>
      <c r="B118" s="2" t="str">
        <f>IFERROR(__xludf.DUMMYFUNCTION("""COMPUTED_VALUE"""),"Cambodia")</f>
        <v>Cambodia</v>
      </c>
      <c r="C118" s="3">
        <f>IFERROR(__xludf.DUMMYFUNCTION("""COMPUTED_VALUE"""),115335.0)</f>
        <v>115335</v>
      </c>
      <c r="D118" s="2" t="str">
        <f>IFERROR(__xludf.DUMMYFUNCTION("""COMPUTED_VALUE"""),"+267")</f>
        <v>+267</v>
      </c>
      <c r="E118" s="3">
        <f>IFERROR(__xludf.DUMMYFUNCTION("""COMPUTED_VALUE"""),2544.0)</f>
        <v>2544</v>
      </c>
      <c r="F118" s="2" t="str">
        <f>IFERROR(__xludf.DUMMYFUNCTION("""COMPUTED_VALUE"""),"+17")</f>
        <v>+17</v>
      </c>
      <c r="G118" s="3">
        <f>IFERROR(__xludf.DUMMYFUNCTION("""COMPUTED_VALUE"""),108802.0)</f>
        <v>108802</v>
      </c>
      <c r="H118" s="2" t="str">
        <f>IFERROR(__xludf.DUMMYFUNCTION("""COMPUTED_VALUE"""),"+399")</f>
        <v>+399</v>
      </c>
      <c r="I118" s="3">
        <f>IFERROR(__xludf.DUMMYFUNCTION("""COMPUTED_VALUE"""),3989.0)</f>
        <v>3989</v>
      </c>
      <c r="J118" s="2"/>
      <c r="K118" s="3">
        <f>IFERROR(__xludf.DUMMYFUNCTION("""COMPUTED_VALUE"""),6779.0)</f>
        <v>6779</v>
      </c>
      <c r="L118" s="2">
        <f>IFERROR(__xludf.DUMMYFUNCTION("""COMPUTED_VALUE"""),150.0)</f>
        <v>150</v>
      </c>
      <c r="M118" s="3">
        <f>IFERROR(__xludf.DUMMYFUNCTION("""COMPUTED_VALUE"""),2515858.0)</f>
        <v>2515858</v>
      </c>
      <c r="N118" s="3">
        <f>IFERROR(__xludf.DUMMYFUNCTION("""COMPUTED_VALUE"""),147871.0)</f>
        <v>147871</v>
      </c>
      <c r="O118" s="3">
        <f>IFERROR(__xludf.DUMMYFUNCTION("""COMPUTED_VALUE"""),1.7013914E7)</f>
        <v>17013914</v>
      </c>
      <c r="P118" s="2" t="str">
        <f>IFERROR(__xludf.DUMMYFUNCTION("""COMPUTED_VALUE"""),"Asia")</f>
        <v>Asia</v>
      </c>
      <c r="Q118" s="2">
        <f>IFERROR(__xludf.DUMMYFUNCTION("""COMPUTED_VALUE"""),148.0)</f>
        <v>148</v>
      </c>
      <c r="R118" s="3">
        <f>IFERROR(__xludf.DUMMYFUNCTION("""COMPUTED_VALUE"""),6688.0)</f>
        <v>6688</v>
      </c>
      <c r="S118" s="2">
        <f>IFERROR(__xludf.DUMMYFUNCTION("""COMPUTED_VALUE"""),7.0)</f>
        <v>7</v>
      </c>
      <c r="T118" s="2">
        <f>IFERROR(__xludf.DUMMYFUNCTION("""COMPUTED_VALUE"""),16.0)</f>
        <v>16</v>
      </c>
      <c r="U118" s="2">
        <f>IFERROR(__xludf.DUMMYFUNCTION("""COMPUTED_VALUE"""),1.0)</f>
        <v>1</v>
      </c>
      <c r="V118" s="2">
        <f>IFERROR(__xludf.DUMMYFUNCTION("""COMPUTED_VALUE"""),234.0)</f>
        <v>234</v>
      </c>
    </row>
    <row r="119" ht="15.75" customHeight="1">
      <c r="A119" s="2">
        <f>IFERROR(__xludf.DUMMYFUNCTION("""COMPUTED_VALUE"""),110.0)</f>
        <v>110</v>
      </c>
      <c r="B119" s="2" t="str">
        <f>IFERROR(__xludf.DUMMYFUNCTION("""COMPUTED_VALUE"""),"El Salvador")</f>
        <v>El Salvador</v>
      </c>
      <c r="C119" s="3">
        <f>IFERROR(__xludf.DUMMYFUNCTION("""COMPUTED_VALUE"""),107664.0)</f>
        <v>107664</v>
      </c>
      <c r="D119" s="2"/>
      <c r="E119" s="3">
        <f>IFERROR(__xludf.DUMMYFUNCTION("""COMPUTED_VALUE"""),3405.0)</f>
        <v>3405</v>
      </c>
      <c r="F119" s="2" t="str">
        <f>IFERROR(__xludf.DUMMYFUNCTION("""COMPUTED_VALUE"""),"+13")</f>
        <v>+13</v>
      </c>
      <c r="G119" s="3">
        <f>IFERROR(__xludf.DUMMYFUNCTION("""COMPUTED_VALUE"""),89968.0)</f>
        <v>89968</v>
      </c>
      <c r="H119" s="2"/>
      <c r="I119" s="3">
        <f>IFERROR(__xludf.DUMMYFUNCTION("""COMPUTED_VALUE"""),14291.0)</f>
        <v>14291</v>
      </c>
      <c r="J119" s="2">
        <f>IFERROR(__xludf.DUMMYFUNCTION("""COMPUTED_VALUE"""),339.0)</f>
        <v>339</v>
      </c>
      <c r="K119" s="3">
        <f>IFERROR(__xludf.DUMMYFUNCTION("""COMPUTED_VALUE"""),16493.0)</f>
        <v>16493</v>
      </c>
      <c r="L119" s="2">
        <f>IFERROR(__xludf.DUMMYFUNCTION("""COMPUTED_VALUE"""),522.0)</f>
        <v>522</v>
      </c>
      <c r="M119" s="3">
        <f>IFERROR(__xludf.DUMMYFUNCTION("""COMPUTED_VALUE"""),1309644.0)</f>
        <v>1309644</v>
      </c>
      <c r="N119" s="3">
        <f>IFERROR(__xludf.DUMMYFUNCTION("""COMPUTED_VALUE"""),200620.0)</f>
        <v>200620</v>
      </c>
      <c r="O119" s="3">
        <f>IFERROR(__xludf.DUMMYFUNCTION("""COMPUTED_VALUE"""),6527973.0)</f>
        <v>6527973</v>
      </c>
      <c r="P119" s="2" t="str">
        <f>IFERROR(__xludf.DUMMYFUNCTION("""COMPUTED_VALUE"""),"North America")</f>
        <v>North America</v>
      </c>
      <c r="Q119" s="2">
        <f>IFERROR(__xludf.DUMMYFUNCTION("""COMPUTED_VALUE"""),61.0)</f>
        <v>61</v>
      </c>
      <c r="R119" s="3">
        <f>IFERROR(__xludf.DUMMYFUNCTION("""COMPUTED_VALUE"""),1917.0)</f>
        <v>1917</v>
      </c>
      <c r="S119" s="2">
        <f>IFERROR(__xludf.DUMMYFUNCTION("""COMPUTED_VALUE"""),5.0)</f>
        <v>5</v>
      </c>
      <c r="T119" s="2"/>
      <c r="U119" s="2">
        <f>IFERROR(__xludf.DUMMYFUNCTION("""COMPUTED_VALUE"""),2.0)</f>
        <v>2</v>
      </c>
      <c r="V119" s="3">
        <f>IFERROR(__xludf.DUMMYFUNCTION("""COMPUTED_VALUE"""),2189.0)</f>
        <v>2189</v>
      </c>
    </row>
    <row r="120" ht="15.75" customHeight="1">
      <c r="A120" s="2">
        <f>IFERROR(__xludf.DUMMYFUNCTION("""COMPUTED_VALUE"""),111.0)</f>
        <v>111</v>
      </c>
      <c r="B120" s="2" t="str">
        <f>IFERROR(__xludf.DUMMYFUNCTION("""COMPUTED_VALUE"""),"Rwanda")</f>
        <v>Rwanda</v>
      </c>
      <c r="C120" s="3">
        <f>IFERROR(__xludf.DUMMYFUNCTION("""COMPUTED_VALUE"""),98840.0)</f>
        <v>98840</v>
      </c>
      <c r="D120" s="2" t="str">
        <f>IFERROR(__xludf.DUMMYFUNCTION("""COMPUTED_VALUE"""),"+95")</f>
        <v>+95</v>
      </c>
      <c r="E120" s="3">
        <f>IFERROR(__xludf.DUMMYFUNCTION("""COMPUTED_VALUE"""),1311.0)</f>
        <v>1311</v>
      </c>
      <c r="F120" s="2" t="str">
        <f>IFERROR(__xludf.DUMMYFUNCTION("""COMPUTED_VALUE"""),"+3")</f>
        <v>+3</v>
      </c>
      <c r="G120" s="3">
        <f>IFERROR(__xludf.DUMMYFUNCTION("""COMPUTED_VALUE"""),45500.0)</f>
        <v>45500</v>
      </c>
      <c r="H120" s="2" t="str">
        <f>IFERROR(__xludf.DUMMYFUNCTION("""COMPUTED_VALUE"""),"+1")</f>
        <v>+1</v>
      </c>
      <c r="I120" s="3">
        <f>IFERROR(__xludf.DUMMYFUNCTION("""COMPUTED_VALUE"""),52029.0)</f>
        <v>52029</v>
      </c>
      <c r="J120" s="2">
        <f>IFERROR(__xludf.DUMMYFUNCTION("""COMPUTED_VALUE"""),5.0)</f>
        <v>5</v>
      </c>
      <c r="K120" s="3">
        <f>IFERROR(__xludf.DUMMYFUNCTION("""COMPUTED_VALUE"""),7398.0)</f>
        <v>7398</v>
      </c>
      <c r="L120" s="2">
        <f>IFERROR(__xludf.DUMMYFUNCTION("""COMPUTED_VALUE"""),98.0)</f>
        <v>98</v>
      </c>
      <c r="M120" s="3">
        <f>IFERROR(__xludf.DUMMYFUNCTION("""COMPUTED_VALUE"""),2953826.0)</f>
        <v>2953826</v>
      </c>
      <c r="N120" s="3">
        <f>IFERROR(__xludf.DUMMYFUNCTION("""COMPUTED_VALUE"""),221082.0)</f>
        <v>221082</v>
      </c>
      <c r="O120" s="3">
        <f>IFERROR(__xludf.DUMMYFUNCTION("""COMPUTED_VALUE"""),1.3360779E7)</f>
        <v>13360779</v>
      </c>
      <c r="P120" s="2" t="str">
        <f>IFERROR(__xludf.DUMMYFUNCTION("""COMPUTED_VALUE"""),"Africa")</f>
        <v>Africa</v>
      </c>
      <c r="Q120" s="2">
        <f>IFERROR(__xludf.DUMMYFUNCTION("""COMPUTED_VALUE"""),135.0)</f>
        <v>135</v>
      </c>
      <c r="R120" s="3">
        <f>IFERROR(__xludf.DUMMYFUNCTION("""COMPUTED_VALUE"""),10191.0)</f>
        <v>10191</v>
      </c>
      <c r="S120" s="2">
        <f>IFERROR(__xludf.DUMMYFUNCTION("""COMPUTED_VALUE"""),5.0)</f>
        <v>5</v>
      </c>
      <c r="T120" s="2">
        <f>IFERROR(__xludf.DUMMYFUNCTION("""COMPUTED_VALUE"""),7.0)</f>
        <v>7</v>
      </c>
      <c r="U120" s="2">
        <f>IFERROR(__xludf.DUMMYFUNCTION("""COMPUTED_VALUE"""),0.2)</f>
        <v>0.2</v>
      </c>
      <c r="V120" s="3">
        <f>IFERROR(__xludf.DUMMYFUNCTION("""COMPUTED_VALUE"""),3894.0)</f>
        <v>3894</v>
      </c>
    </row>
    <row r="121" ht="15.75" customHeight="1">
      <c r="A121" s="2">
        <f>IFERROR(__xludf.DUMMYFUNCTION("""COMPUTED_VALUE"""),112.0)</f>
        <v>112</v>
      </c>
      <c r="B121" s="2" t="str">
        <f>IFERROR(__xludf.DUMMYFUNCTION("""COMPUTED_VALUE"""),"Cameroon")</f>
        <v>Cameroon</v>
      </c>
      <c r="C121" s="3">
        <f>IFERROR(__xludf.DUMMYFUNCTION("""COMPUTED_VALUE"""),95399.0)</f>
        <v>95399</v>
      </c>
      <c r="D121" s="2"/>
      <c r="E121" s="3">
        <f>IFERROR(__xludf.DUMMYFUNCTION("""COMPUTED_VALUE"""),1517.0)</f>
        <v>1517</v>
      </c>
      <c r="F121" s="2"/>
      <c r="G121" s="3">
        <f>IFERROR(__xludf.DUMMYFUNCTION("""COMPUTED_VALUE"""),80433.0)</f>
        <v>80433</v>
      </c>
      <c r="H121" s="2"/>
      <c r="I121" s="3">
        <f>IFERROR(__xludf.DUMMYFUNCTION("""COMPUTED_VALUE"""),13449.0)</f>
        <v>13449</v>
      </c>
      <c r="J121" s="2">
        <f>IFERROR(__xludf.DUMMYFUNCTION("""COMPUTED_VALUE"""),152.0)</f>
        <v>152</v>
      </c>
      <c r="K121" s="3">
        <f>IFERROR(__xludf.DUMMYFUNCTION("""COMPUTED_VALUE"""),3483.0)</f>
        <v>3483</v>
      </c>
      <c r="L121" s="2">
        <f>IFERROR(__xludf.DUMMYFUNCTION("""COMPUTED_VALUE"""),55.0)</f>
        <v>55</v>
      </c>
      <c r="M121" s="3">
        <f>IFERROR(__xludf.DUMMYFUNCTION("""COMPUTED_VALUE"""),1751774.0)</f>
        <v>1751774</v>
      </c>
      <c r="N121" s="3">
        <f>IFERROR(__xludf.DUMMYFUNCTION("""COMPUTED_VALUE"""),63964.0)</f>
        <v>63964</v>
      </c>
      <c r="O121" s="3">
        <f>IFERROR(__xludf.DUMMYFUNCTION("""COMPUTED_VALUE"""),2.7386702E7)</f>
        <v>27386702</v>
      </c>
      <c r="P121" s="2" t="str">
        <f>IFERROR(__xludf.DUMMYFUNCTION("""COMPUTED_VALUE"""),"Africa")</f>
        <v>Africa</v>
      </c>
      <c r="Q121" s="2">
        <f>IFERROR(__xludf.DUMMYFUNCTION("""COMPUTED_VALUE"""),287.0)</f>
        <v>287</v>
      </c>
      <c r="R121" s="3">
        <f>IFERROR(__xludf.DUMMYFUNCTION("""COMPUTED_VALUE"""),18053.0)</f>
        <v>18053</v>
      </c>
      <c r="S121" s="2">
        <f>IFERROR(__xludf.DUMMYFUNCTION("""COMPUTED_VALUE"""),16.0)</f>
        <v>16</v>
      </c>
      <c r="T121" s="2"/>
      <c r="U121" s="2"/>
      <c r="V121" s="2">
        <f>IFERROR(__xludf.DUMMYFUNCTION("""COMPUTED_VALUE"""),491.0)</f>
        <v>491</v>
      </c>
    </row>
    <row r="122" ht="15.75" customHeight="1">
      <c r="A122" s="2">
        <f>IFERROR(__xludf.DUMMYFUNCTION("""COMPUTED_VALUE"""),113.0)</f>
        <v>113</v>
      </c>
      <c r="B122" s="2" t="str">
        <f>IFERROR(__xludf.DUMMYFUNCTION("""COMPUTED_VALUE"""),"Jamaica")</f>
        <v>Jamaica</v>
      </c>
      <c r="C122" s="3">
        <f>IFERROR(__xludf.DUMMYFUNCTION("""COMPUTED_VALUE"""),86384.0)</f>
        <v>86384</v>
      </c>
      <c r="D122" s="2"/>
      <c r="E122" s="3">
        <f>IFERROR(__xludf.DUMMYFUNCTION("""COMPUTED_VALUE"""),2025.0)</f>
        <v>2025</v>
      </c>
      <c r="F122" s="2"/>
      <c r="G122" s="3">
        <f>IFERROR(__xludf.DUMMYFUNCTION("""COMPUTED_VALUE"""),54424.0)</f>
        <v>54424</v>
      </c>
      <c r="H122" s="2"/>
      <c r="I122" s="3">
        <f>IFERROR(__xludf.DUMMYFUNCTION("""COMPUTED_VALUE"""),29935.0)</f>
        <v>29935</v>
      </c>
      <c r="J122" s="2">
        <f>IFERROR(__xludf.DUMMYFUNCTION("""COMPUTED_VALUE"""),30.0)</f>
        <v>30</v>
      </c>
      <c r="K122" s="3">
        <f>IFERROR(__xludf.DUMMYFUNCTION("""COMPUTED_VALUE"""),29011.0)</f>
        <v>29011</v>
      </c>
      <c r="L122" s="2">
        <f>IFERROR(__xludf.DUMMYFUNCTION("""COMPUTED_VALUE"""),680.0)</f>
        <v>680</v>
      </c>
      <c r="M122" s="3">
        <f>IFERROR(__xludf.DUMMYFUNCTION("""COMPUTED_VALUE"""),617665.0)</f>
        <v>617665</v>
      </c>
      <c r="N122" s="3">
        <f>IFERROR(__xludf.DUMMYFUNCTION("""COMPUTED_VALUE"""),207433.0)</f>
        <v>207433</v>
      </c>
      <c r="O122" s="3">
        <f>IFERROR(__xludf.DUMMYFUNCTION("""COMPUTED_VALUE"""),2977663.0)</f>
        <v>2977663</v>
      </c>
      <c r="P122" s="2" t="str">
        <f>IFERROR(__xludf.DUMMYFUNCTION("""COMPUTED_VALUE"""),"North America")</f>
        <v>North America</v>
      </c>
      <c r="Q122" s="2">
        <f>IFERROR(__xludf.DUMMYFUNCTION("""COMPUTED_VALUE"""),34.0)</f>
        <v>34</v>
      </c>
      <c r="R122" s="3">
        <f>IFERROR(__xludf.DUMMYFUNCTION("""COMPUTED_VALUE"""),1470.0)</f>
        <v>1470</v>
      </c>
      <c r="S122" s="2">
        <f>IFERROR(__xludf.DUMMYFUNCTION("""COMPUTED_VALUE"""),5.0)</f>
        <v>5</v>
      </c>
      <c r="T122" s="2"/>
      <c r="U122" s="2"/>
      <c r="V122" s="3">
        <f>IFERROR(__xludf.DUMMYFUNCTION("""COMPUTED_VALUE"""),10053.0)</f>
        <v>10053</v>
      </c>
    </row>
    <row r="123" ht="15.75" customHeight="1">
      <c r="A123" s="2">
        <f>IFERROR(__xludf.DUMMYFUNCTION("""COMPUTED_VALUE"""),114.0)</f>
        <v>114</v>
      </c>
      <c r="B123" s="2" t="str">
        <f>IFERROR(__xludf.DUMMYFUNCTION("""COMPUTED_VALUE"""),"Maldives")</f>
        <v>Maldives</v>
      </c>
      <c r="C123" s="3">
        <f>IFERROR(__xludf.DUMMYFUNCTION("""COMPUTED_VALUE"""),85732.0)</f>
        <v>85732</v>
      </c>
      <c r="D123" s="2" t="str">
        <f>IFERROR(__xludf.DUMMYFUNCTION("""COMPUTED_VALUE"""),"+110")</f>
        <v>+110</v>
      </c>
      <c r="E123" s="2">
        <f>IFERROR(__xludf.DUMMYFUNCTION("""COMPUTED_VALUE"""),235.0)</f>
        <v>235</v>
      </c>
      <c r="F123" s="2" t="str">
        <f>IFERROR(__xludf.DUMMYFUNCTION("""COMPUTED_VALUE"""),"+1")</f>
        <v>+1</v>
      </c>
      <c r="G123" s="3">
        <f>IFERROR(__xludf.DUMMYFUNCTION("""COMPUTED_VALUE"""),84292.0)</f>
        <v>84292</v>
      </c>
      <c r="H123" s="2" t="str">
        <f>IFERROR(__xludf.DUMMYFUNCTION("""COMPUTED_VALUE"""),"+122")</f>
        <v>+122</v>
      </c>
      <c r="I123" s="3">
        <f>IFERROR(__xludf.DUMMYFUNCTION("""COMPUTED_VALUE"""),1205.0)</f>
        <v>1205</v>
      </c>
      <c r="J123" s="2">
        <f>IFERROR(__xludf.DUMMYFUNCTION("""COMPUTED_VALUE"""),23.0)</f>
        <v>23</v>
      </c>
      <c r="K123" s="3">
        <f>IFERROR(__xludf.DUMMYFUNCTION("""COMPUTED_VALUE"""),155122.0)</f>
        <v>155122</v>
      </c>
      <c r="L123" s="2">
        <f>IFERROR(__xludf.DUMMYFUNCTION("""COMPUTED_VALUE"""),425.0)</f>
        <v>425</v>
      </c>
      <c r="M123" s="3">
        <f>IFERROR(__xludf.DUMMYFUNCTION("""COMPUTED_VALUE"""),1535757.0)</f>
        <v>1535757</v>
      </c>
      <c r="N123" s="3">
        <f>IFERROR(__xludf.DUMMYFUNCTION("""COMPUTED_VALUE"""),2778781.0)</f>
        <v>2778781</v>
      </c>
      <c r="O123" s="3">
        <f>IFERROR(__xludf.DUMMYFUNCTION("""COMPUTED_VALUE"""),552673.0)</f>
        <v>552673</v>
      </c>
      <c r="P123" s="2" t="str">
        <f>IFERROR(__xludf.DUMMYFUNCTION("""COMPUTED_VALUE"""),"Asia")</f>
        <v>Asia</v>
      </c>
      <c r="Q123" s="2">
        <f>IFERROR(__xludf.DUMMYFUNCTION("""COMPUTED_VALUE"""),6.0)</f>
        <v>6</v>
      </c>
      <c r="R123" s="3">
        <f>IFERROR(__xludf.DUMMYFUNCTION("""COMPUTED_VALUE"""),2352.0)</f>
        <v>2352</v>
      </c>
      <c r="S123" s="2">
        <f>IFERROR(__xludf.DUMMYFUNCTION("""COMPUTED_VALUE"""),0.0)</f>
        <v>0</v>
      </c>
      <c r="T123" s="2">
        <f>IFERROR(__xludf.DUMMYFUNCTION("""COMPUTED_VALUE"""),199.0)</f>
        <v>199</v>
      </c>
      <c r="U123" s="2">
        <f>IFERROR(__xludf.DUMMYFUNCTION("""COMPUTED_VALUE"""),2.0)</f>
        <v>2</v>
      </c>
      <c r="V123" s="3">
        <f>IFERROR(__xludf.DUMMYFUNCTION("""COMPUTED_VALUE"""),2180.0)</f>
        <v>2180</v>
      </c>
    </row>
    <row r="124" ht="15.75" customHeight="1">
      <c r="A124" s="2">
        <f>IFERROR(__xludf.DUMMYFUNCTION("""COMPUTED_VALUE"""),115.0)</f>
        <v>115</v>
      </c>
      <c r="B124" s="2" t="str">
        <f>IFERROR(__xludf.DUMMYFUNCTION("""COMPUTED_VALUE"""),"Luxembourg")</f>
        <v>Luxembourg</v>
      </c>
      <c r="C124" s="3">
        <f>IFERROR(__xludf.DUMMYFUNCTION("""COMPUTED_VALUE"""),79300.0)</f>
        <v>79300</v>
      </c>
      <c r="D124" s="2" t="str">
        <f>IFERROR(__xludf.DUMMYFUNCTION("""COMPUTED_VALUE"""),"+104")</f>
        <v>+104</v>
      </c>
      <c r="E124" s="2">
        <f>IFERROR(__xludf.DUMMYFUNCTION("""COMPUTED_VALUE"""),837.0)</f>
        <v>837</v>
      </c>
      <c r="F124" s="2"/>
      <c r="G124" s="3">
        <f>IFERROR(__xludf.DUMMYFUNCTION("""COMPUTED_VALUE"""),77167.0)</f>
        <v>77167</v>
      </c>
      <c r="H124" s="2" t="str">
        <f>IFERROR(__xludf.DUMMYFUNCTION("""COMPUTED_VALUE"""),"+8")</f>
        <v>+8</v>
      </c>
      <c r="I124" s="3">
        <f>IFERROR(__xludf.DUMMYFUNCTION("""COMPUTED_VALUE"""),1296.0)</f>
        <v>1296</v>
      </c>
      <c r="J124" s="2">
        <f>IFERROR(__xludf.DUMMYFUNCTION("""COMPUTED_VALUE"""),3.0)</f>
        <v>3</v>
      </c>
      <c r="K124" s="3">
        <f>IFERROR(__xludf.DUMMYFUNCTION("""COMPUTED_VALUE"""),124109.0)</f>
        <v>124109</v>
      </c>
      <c r="L124" s="3">
        <f>IFERROR(__xludf.DUMMYFUNCTION("""COMPUTED_VALUE"""),1310.0)</f>
        <v>1310</v>
      </c>
      <c r="M124" s="3">
        <f>IFERROR(__xludf.DUMMYFUNCTION("""COMPUTED_VALUE"""),3546280.0)</f>
        <v>3546280</v>
      </c>
      <c r="N124" s="3">
        <f>IFERROR(__xludf.DUMMYFUNCTION("""COMPUTED_VALUE"""),5550125.0)</f>
        <v>5550125</v>
      </c>
      <c r="O124" s="3">
        <f>IFERROR(__xludf.DUMMYFUNCTION("""COMPUTED_VALUE"""),638955.0)</f>
        <v>638955</v>
      </c>
      <c r="P124" s="2" t="str">
        <f>IFERROR(__xludf.DUMMYFUNCTION("""COMPUTED_VALUE"""),"Europe")</f>
        <v>Europe</v>
      </c>
      <c r="Q124" s="2">
        <f>IFERROR(__xludf.DUMMYFUNCTION("""COMPUTED_VALUE"""),8.0)</f>
        <v>8</v>
      </c>
      <c r="R124" s="2">
        <f>IFERROR(__xludf.DUMMYFUNCTION("""COMPUTED_VALUE"""),763.0)</f>
        <v>763</v>
      </c>
      <c r="S124" s="2">
        <f>IFERROR(__xludf.DUMMYFUNCTION("""COMPUTED_VALUE"""),0.0)</f>
        <v>0</v>
      </c>
      <c r="T124" s="2">
        <f>IFERROR(__xludf.DUMMYFUNCTION("""COMPUTED_VALUE"""),163.0)</f>
        <v>163</v>
      </c>
      <c r="U124" s="2"/>
      <c r="V124" s="3">
        <f>IFERROR(__xludf.DUMMYFUNCTION("""COMPUTED_VALUE"""),2028.0)</f>
        <v>2028</v>
      </c>
    </row>
    <row r="125" ht="15.75" customHeight="1">
      <c r="A125" s="2">
        <f>IFERROR(__xludf.DUMMYFUNCTION("""COMPUTED_VALUE"""),116.0)</f>
        <v>116</v>
      </c>
      <c r="B125" s="2" t="str">
        <f>IFERROR(__xludf.DUMMYFUNCTION("""COMPUTED_VALUE"""),"Senegal")</f>
        <v>Senegal</v>
      </c>
      <c r="C125" s="3">
        <f>IFERROR(__xludf.DUMMYFUNCTION("""COMPUTED_VALUE"""),73842.0)</f>
        <v>73842</v>
      </c>
      <c r="D125" s="2" t="str">
        <f>IFERROR(__xludf.DUMMYFUNCTION("""COMPUTED_VALUE"""),"+1")</f>
        <v>+1</v>
      </c>
      <c r="E125" s="3">
        <f>IFERROR(__xludf.DUMMYFUNCTION("""COMPUTED_VALUE"""),1868.0)</f>
        <v>1868</v>
      </c>
      <c r="F125" s="2"/>
      <c r="G125" s="3">
        <f>IFERROR(__xludf.DUMMYFUNCTION("""COMPUTED_VALUE"""),71945.0)</f>
        <v>71945</v>
      </c>
      <c r="H125" s="2" t="str">
        <f>IFERROR(__xludf.DUMMYFUNCTION("""COMPUTED_VALUE"""),"+8")</f>
        <v>+8</v>
      </c>
      <c r="I125" s="2">
        <f>IFERROR(__xludf.DUMMYFUNCTION("""COMPUTED_VALUE"""),29.0)</f>
        <v>29</v>
      </c>
      <c r="J125" s="2">
        <f>IFERROR(__xludf.DUMMYFUNCTION("""COMPUTED_VALUE"""),5.0)</f>
        <v>5</v>
      </c>
      <c r="K125" s="3">
        <f>IFERROR(__xludf.DUMMYFUNCTION("""COMPUTED_VALUE"""),4267.0)</f>
        <v>4267</v>
      </c>
      <c r="L125" s="2">
        <f>IFERROR(__xludf.DUMMYFUNCTION("""COMPUTED_VALUE"""),108.0)</f>
        <v>108</v>
      </c>
      <c r="M125" s="3">
        <f>IFERROR(__xludf.DUMMYFUNCTION("""COMPUTED_VALUE"""),816153.0)</f>
        <v>816153</v>
      </c>
      <c r="N125" s="3">
        <f>IFERROR(__xludf.DUMMYFUNCTION("""COMPUTED_VALUE"""),47162.0)</f>
        <v>47162</v>
      </c>
      <c r="O125" s="3">
        <f>IFERROR(__xludf.DUMMYFUNCTION("""COMPUTED_VALUE"""),1.7305261E7)</f>
        <v>17305261</v>
      </c>
      <c r="P125" s="2" t="str">
        <f>IFERROR(__xludf.DUMMYFUNCTION("""COMPUTED_VALUE"""),"Africa")</f>
        <v>Africa</v>
      </c>
      <c r="Q125" s="2">
        <f>IFERROR(__xludf.DUMMYFUNCTION("""COMPUTED_VALUE"""),234.0)</f>
        <v>234</v>
      </c>
      <c r="R125" s="3">
        <f>IFERROR(__xludf.DUMMYFUNCTION("""COMPUTED_VALUE"""),9264.0)</f>
        <v>9264</v>
      </c>
      <c r="S125" s="2">
        <f>IFERROR(__xludf.DUMMYFUNCTION("""COMPUTED_VALUE"""),21.0)</f>
        <v>21</v>
      </c>
      <c r="T125" s="2">
        <f>IFERROR(__xludf.DUMMYFUNCTION("""COMPUTED_VALUE"""),0.06)</f>
        <v>0.06</v>
      </c>
      <c r="U125" s="2"/>
      <c r="V125" s="2">
        <f>IFERROR(__xludf.DUMMYFUNCTION("""COMPUTED_VALUE"""),2.0)</f>
        <v>2</v>
      </c>
    </row>
    <row r="126" ht="15.75" customHeight="1">
      <c r="A126" s="2">
        <f>IFERROR(__xludf.DUMMYFUNCTION("""COMPUTED_VALUE"""),117.0)</f>
        <v>117</v>
      </c>
      <c r="B126" s="2" t="str">
        <f>IFERROR(__xludf.DUMMYFUNCTION("""COMPUTED_VALUE"""),"Malawi")</f>
        <v>Malawi</v>
      </c>
      <c r="C126" s="3">
        <f>IFERROR(__xludf.DUMMYFUNCTION("""COMPUTED_VALUE"""),61679.0)</f>
        <v>61679</v>
      </c>
      <c r="D126" s="2"/>
      <c r="E126" s="3">
        <f>IFERROR(__xludf.DUMMYFUNCTION("""COMPUTED_VALUE"""),2290.0)</f>
        <v>2290</v>
      </c>
      <c r="F126" s="2"/>
      <c r="G126" s="3">
        <f>IFERROR(__xludf.DUMMYFUNCTION("""COMPUTED_VALUE"""),56482.0)</f>
        <v>56482</v>
      </c>
      <c r="H126" s="2"/>
      <c r="I126" s="3">
        <f>IFERROR(__xludf.DUMMYFUNCTION("""COMPUTED_VALUE"""),2907.0)</f>
        <v>2907</v>
      </c>
      <c r="J126" s="2">
        <f>IFERROR(__xludf.DUMMYFUNCTION("""COMPUTED_VALUE"""),67.0)</f>
        <v>67</v>
      </c>
      <c r="K126" s="3">
        <f>IFERROR(__xludf.DUMMYFUNCTION("""COMPUTED_VALUE"""),3122.0)</f>
        <v>3122</v>
      </c>
      <c r="L126" s="2">
        <f>IFERROR(__xludf.DUMMYFUNCTION("""COMPUTED_VALUE"""),116.0)</f>
        <v>116</v>
      </c>
      <c r="M126" s="3">
        <f>IFERROR(__xludf.DUMMYFUNCTION("""COMPUTED_VALUE"""),415561.0)</f>
        <v>415561</v>
      </c>
      <c r="N126" s="3">
        <f>IFERROR(__xludf.DUMMYFUNCTION("""COMPUTED_VALUE"""),21032.0)</f>
        <v>21032</v>
      </c>
      <c r="O126" s="3">
        <f>IFERROR(__xludf.DUMMYFUNCTION("""COMPUTED_VALUE"""),1.9758872E7)</f>
        <v>19758872</v>
      </c>
      <c r="P126" s="2" t="str">
        <f>IFERROR(__xludf.DUMMYFUNCTION("""COMPUTED_VALUE"""),"Africa")</f>
        <v>Africa</v>
      </c>
      <c r="Q126" s="2">
        <f>IFERROR(__xludf.DUMMYFUNCTION("""COMPUTED_VALUE"""),320.0)</f>
        <v>320</v>
      </c>
      <c r="R126" s="3">
        <f>IFERROR(__xludf.DUMMYFUNCTION("""COMPUTED_VALUE"""),8628.0)</f>
        <v>8628</v>
      </c>
      <c r="S126" s="2">
        <f>IFERROR(__xludf.DUMMYFUNCTION("""COMPUTED_VALUE"""),48.0)</f>
        <v>48</v>
      </c>
      <c r="T126" s="2"/>
      <c r="U126" s="2"/>
      <c r="V126" s="2">
        <f>IFERROR(__xludf.DUMMYFUNCTION("""COMPUTED_VALUE"""),147.0)</f>
        <v>147</v>
      </c>
    </row>
    <row r="127" ht="15.75" customHeight="1">
      <c r="A127" s="2">
        <f>IFERROR(__xludf.DUMMYFUNCTION("""COMPUTED_VALUE"""),118.0)</f>
        <v>118</v>
      </c>
      <c r="B127" s="2" t="str">
        <f>IFERROR(__xludf.DUMMYFUNCTION("""COMPUTED_VALUE"""),"Angola")</f>
        <v>Angola</v>
      </c>
      <c r="C127" s="3">
        <f>IFERROR(__xludf.DUMMYFUNCTION("""COMPUTED_VALUE"""),61580.0)</f>
        <v>61580</v>
      </c>
      <c r="D127" s="2"/>
      <c r="E127" s="3">
        <f>IFERROR(__xludf.DUMMYFUNCTION("""COMPUTED_VALUE"""),1629.0)</f>
        <v>1629</v>
      </c>
      <c r="F127" s="2"/>
      <c r="G127" s="3">
        <f>IFERROR(__xludf.DUMMYFUNCTION("""COMPUTED_VALUE"""),49977.0)</f>
        <v>49977</v>
      </c>
      <c r="H127" s="2"/>
      <c r="I127" s="3">
        <f>IFERROR(__xludf.DUMMYFUNCTION("""COMPUTED_VALUE"""),9974.0)</f>
        <v>9974</v>
      </c>
      <c r="J127" s="2">
        <f>IFERROR(__xludf.DUMMYFUNCTION("""COMPUTED_VALUE"""),28.0)</f>
        <v>28</v>
      </c>
      <c r="K127" s="3">
        <f>IFERROR(__xludf.DUMMYFUNCTION("""COMPUTED_VALUE"""),1802.0)</f>
        <v>1802</v>
      </c>
      <c r="L127" s="2">
        <f>IFERROR(__xludf.DUMMYFUNCTION("""COMPUTED_VALUE"""),48.0)</f>
        <v>48</v>
      </c>
      <c r="M127" s="3">
        <f>IFERROR(__xludf.DUMMYFUNCTION("""COMPUTED_VALUE"""),1043451.0)</f>
        <v>1043451</v>
      </c>
      <c r="N127" s="3">
        <f>IFERROR(__xludf.DUMMYFUNCTION("""COMPUTED_VALUE"""),30541.0)</f>
        <v>30541</v>
      </c>
      <c r="O127" s="3">
        <f>IFERROR(__xludf.DUMMYFUNCTION("""COMPUTED_VALUE"""),3.4165887E7)</f>
        <v>34165887</v>
      </c>
      <c r="P127" s="2" t="str">
        <f>IFERROR(__xludf.DUMMYFUNCTION("""COMPUTED_VALUE"""),"Africa")</f>
        <v>Africa</v>
      </c>
      <c r="Q127" s="2">
        <f>IFERROR(__xludf.DUMMYFUNCTION("""COMPUTED_VALUE"""),555.0)</f>
        <v>555</v>
      </c>
      <c r="R127" s="3">
        <f>IFERROR(__xludf.DUMMYFUNCTION("""COMPUTED_VALUE"""),20974.0)</f>
        <v>20974</v>
      </c>
      <c r="S127" s="2">
        <f>IFERROR(__xludf.DUMMYFUNCTION("""COMPUTED_VALUE"""),33.0)</f>
        <v>33</v>
      </c>
      <c r="T127" s="2"/>
      <c r="U127" s="2"/>
      <c r="V127" s="2">
        <f>IFERROR(__xludf.DUMMYFUNCTION("""COMPUTED_VALUE"""),292.0)</f>
        <v>292</v>
      </c>
    </row>
    <row r="128" ht="15.75" customHeight="1">
      <c r="A128" s="2">
        <f>IFERROR(__xludf.DUMMYFUNCTION("""COMPUTED_VALUE"""),119.0)</f>
        <v>119</v>
      </c>
      <c r="B128" s="2" t="str">
        <f>IFERROR(__xludf.DUMMYFUNCTION("""COMPUTED_VALUE"""),"Ivory Coast")</f>
        <v>Ivory Coast</v>
      </c>
      <c r="C128" s="3">
        <f>IFERROR(__xludf.DUMMYFUNCTION("""COMPUTED_VALUE"""),60829.0)</f>
        <v>60829</v>
      </c>
      <c r="D128" s="2"/>
      <c r="E128" s="2">
        <f>IFERROR(__xludf.DUMMYFUNCTION("""COMPUTED_VALUE"""),669.0)</f>
        <v>669</v>
      </c>
      <c r="F128" s="2"/>
      <c r="G128" s="3">
        <f>IFERROR(__xludf.DUMMYFUNCTION("""COMPUTED_VALUE"""),58967.0)</f>
        <v>58967</v>
      </c>
      <c r="H128" s="2"/>
      <c r="I128" s="3">
        <f>IFERROR(__xludf.DUMMYFUNCTION("""COMPUTED_VALUE"""),1193.0)</f>
        <v>1193</v>
      </c>
      <c r="J128" s="2"/>
      <c r="K128" s="3">
        <f>IFERROR(__xludf.DUMMYFUNCTION("""COMPUTED_VALUE"""),2236.0)</f>
        <v>2236</v>
      </c>
      <c r="L128" s="2">
        <f>IFERROR(__xludf.DUMMYFUNCTION("""COMPUTED_VALUE"""),25.0)</f>
        <v>25</v>
      </c>
      <c r="M128" s="3">
        <f>IFERROR(__xludf.DUMMYFUNCTION("""COMPUTED_VALUE"""),1044828.0)</f>
        <v>1044828</v>
      </c>
      <c r="N128" s="3">
        <f>IFERROR(__xludf.DUMMYFUNCTION("""COMPUTED_VALUE"""),38399.0)</f>
        <v>38399</v>
      </c>
      <c r="O128" s="3">
        <f>IFERROR(__xludf.DUMMYFUNCTION("""COMPUTED_VALUE"""),2.7209478E7)</f>
        <v>27209478</v>
      </c>
      <c r="P128" s="2" t="str">
        <f>IFERROR(__xludf.DUMMYFUNCTION("""COMPUTED_VALUE"""),"Africa")</f>
        <v>Africa</v>
      </c>
      <c r="Q128" s="2">
        <f>IFERROR(__xludf.DUMMYFUNCTION("""COMPUTED_VALUE"""),447.0)</f>
        <v>447</v>
      </c>
      <c r="R128" s="3">
        <f>IFERROR(__xludf.DUMMYFUNCTION("""COMPUTED_VALUE"""),40672.0)</f>
        <v>40672</v>
      </c>
      <c r="S128" s="2">
        <f>IFERROR(__xludf.DUMMYFUNCTION("""COMPUTED_VALUE"""),26.0)</f>
        <v>26</v>
      </c>
      <c r="T128" s="2"/>
      <c r="U128" s="2"/>
      <c r="V128" s="2">
        <f>IFERROR(__xludf.DUMMYFUNCTION("""COMPUTED_VALUE"""),44.0)</f>
        <v>44</v>
      </c>
    </row>
    <row r="129" ht="15.75" customHeight="1">
      <c r="A129" s="2">
        <f>IFERROR(__xludf.DUMMYFUNCTION("""COMPUTED_VALUE"""),120.0)</f>
        <v>120</v>
      </c>
      <c r="B129" s="2" t="str">
        <f>IFERROR(__xludf.DUMMYFUNCTION("""COMPUTED_VALUE"""),"DRC")</f>
        <v>DRC</v>
      </c>
      <c r="C129" s="3">
        <f>IFERROR(__xludf.DUMMYFUNCTION("""COMPUTED_VALUE"""),57247.0)</f>
        <v>57247</v>
      </c>
      <c r="D129" s="2"/>
      <c r="E129" s="3">
        <f>IFERROR(__xludf.DUMMYFUNCTION("""COMPUTED_VALUE"""),1087.0)</f>
        <v>1087</v>
      </c>
      <c r="F129" s="2"/>
      <c r="G129" s="3">
        <f>IFERROR(__xludf.DUMMYFUNCTION("""COMPUTED_VALUE"""),50930.0)</f>
        <v>50930</v>
      </c>
      <c r="H129" s="2"/>
      <c r="I129" s="3">
        <f>IFERROR(__xludf.DUMMYFUNCTION("""COMPUTED_VALUE"""),5230.0)</f>
        <v>5230</v>
      </c>
      <c r="J129" s="2"/>
      <c r="K129" s="2">
        <f>IFERROR(__xludf.DUMMYFUNCTION("""COMPUTED_VALUE"""),615.0)</f>
        <v>615</v>
      </c>
      <c r="L129" s="2">
        <f>IFERROR(__xludf.DUMMYFUNCTION("""COMPUTED_VALUE"""),12.0)</f>
        <v>12</v>
      </c>
      <c r="M129" s="3">
        <f>IFERROR(__xludf.DUMMYFUNCTION("""COMPUTED_VALUE"""),306299.0)</f>
        <v>306299</v>
      </c>
      <c r="N129" s="3">
        <f>IFERROR(__xludf.DUMMYFUNCTION("""COMPUTED_VALUE"""),3293.0)</f>
        <v>3293</v>
      </c>
      <c r="O129" s="3">
        <f>IFERROR(__xludf.DUMMYFUNCTION("""COMPUTED_VALUE"""),9.3023044E7)</f>
        <v>93023044</v>
      </c>
      <c r="P129" s="2" t="str">
        <f>IFERROR(__xludf.DUMMYFUNCTION("""COMPUTED_VALUE"""),"Africa")</f>
        <v>Africa</v>
      </c>
      <c r="Q129" s="3">
        <f>IFERROR(__xludf.DUMMYFUNCTION("""COMPUTED_VALUE"""),1625.0)</f>
        <v>1625</v>
      </c>
      <c r="R129" s="3">
        <f>IFERROR(__xludf.DUMMYFUNCTION("""COMPUTED_VALUE"""),85578.0)</f>
        <v>85578</v>
      </c>
      <c r="S129" s="2">
        <f>IFERROR(__xludf.DUMMYFUNCTION("""COMPUTED_VALUE"""),304.0)</f>
        <v>304</v>
      </c>
      <c r="T129" s="2"/>
      <c r="U129" s="2"/>
      <c r="V129" s="2">
        <f>IFERROR(__xludf.DUMMYFUNCTION("""COMPUTED_VALUE"""),56.0)</f>
        <v>56</v>
      </c>
    </row>
    <row r="130" ht="15.75" customHeight="1">
      <c r="A130" s="2">
        <f>IFERROR(__xludf.DUMMYFUNCTION("""COMPUTED_VALUE"""),121.0)</f>
        <v>121</v>
      </c>
      <c r="B130" s="2" t="str">
        <f>IFERROR(__xludf.DUMMYFUNCTION("""COMPUTED_VALUE"""),"Réunion")</f>
        <v>Réunion</v>
      </c>
      <c r="C130" s="3">
        <f>IFERROR(__xludf.DUMMYFUNCTION("""COMPUTED_VALUE"""),53963.0)</f>
        <v>53963</v>
      </c>
      <c r="D130" s="2"/>
      <c r="E130" s="2">
        <f>IFERROR(__xludf.DUMMYFUNCTION("""COMPUTED_VALUE"""),369.0)</f>
        <v>369</v>
      </c>
      <c r="F130" s="2"/>
      <c r="G130" s="3">
        <f>IFERROR(__xludf.DUMMYFUNCTION("""COMPUTED_VALUE"""),53256.0)</f>
        <v>53256</v>
      </c>
      <c r="H130" s="2"/>
      <c r="I130" s="2">
        <f>IFERROR(__xludf.DUMMYFUNCTION("""COMPUTED_VALUE"""),338.0)</f>
        <v>338</v>
      </c>
      <c r="J130" s="2">
        <f>IFERROR(__xludf.DUMMYFUNCTION("""COMPUTED_VALUE"""),33.0)</f>
        <v>33</v>
      </c>
      <c r="K130" s="3">
        <f>IFERROR(__xludf.DUMMYFUNCTION("""COMPUTED_VALUE"""),59729.0)</f>
        <v>59729</v>
      </c>
      <c r="L130" s="2">
        <f>IFERROR(__xludf.DUMMYFUNCTION("""COMPUTED_VALUE"""),408.0)</f>
        <v>408</v>
      </c>
      <c r="M130" s="3">
        <f>IFERROR(__xludf.DUMMYFUNCTION("""COMPUTED_VALUE"""),1279618.0)</f>
        <v>1279618</v>
      </c>
      <c r="N130" s="3">
        <f>IFERROR(__xludf.DUMMYFUNCTION("""COMPUTED_VALUE"""),1416346.0)</f>
        <v>1416346</v>
      </c>
      <c r="O130" s="3">
        <f>IFERROR(__xludf.DUMMYFUNCTION("""COMPUTED_VALUE"""),903464.0)</f>
        <v>903464</v>
      </c>
      <c r="P130" s="2" t="str">
        <f>IFERROR(__xludf.DUMMYFUNCTION("""COMPUTED_VALUE"""),"Africa")</f>
        <v>Africa</v>
      </c>
      <c r="Q130" s="2">
        <f>IFERROR(__xludf.DUMMYFUNCTION("""COMPUTED_VALUE"""),17.0)</f>
        <v>17</v>
      </c>
      <c r="R130" s="3">
        <f>IFERROR(__xludf.DUMMYFUNCTION("""COMPUTED_VALUE"""),2448.0)</f>
        <v>2448</v>
      </c>
      <c r="S130" s="2">
        <f>IFERROR(__xludf.DUMMYFUNCTION("""COMPUTED_VALUE"""),1.0)</f>
        <v>1</v>
      </c>
      <c r="T130" s="2"/>
      <c r="U130" s="2"/>
      <c r="V130" s="2">
        <f>IFERROR(__xludf.DUMMYFUNCTION("""COMPUTED_VALUE"""),374.0)</f>
        <v>374</v>
      </c>
    </row>
    <row r="131" ht="15.75" customHeight="1">
      <c r="A131" s="2">
        <f>IFERROR(__xludf.DUMMYFUNCTION("""COMPUTED_VALUE"""),122.0)</f>
        <v>122</v>
      </c>
      <c r="B131" s="2" t="str">
        <f>IFERROR(__xludf.DUMMYFUNCTION("""COMPUTED_VALUE"""),"Guadeloupe")</f>
        <v>Guadeloupe</v>
      </c>
      <c r="C131" s="3">
        <f>IFERROR(__xludf.DUMMYFUNCTION("""COMPUTED_VALUE"""),53734.0)</f>
        <v>53734</v>
      </c>
      <c r="D131" s="2"/>
      <c r="E131" s="2">
        <f>IFERROR(__xludf.DUMMYFUNCTION("""COMPUTED_VALUE"""),721.0)</f>
        <v>721</v>
      </c>
      <c r="F131" s="2"/>
      <c r="G131" s="3">
        <f>IFERROR(__xludf.DUMMYFUNCTION("""COMPUTED_VALUE"""),2250.0)</f>
        <v>2250</v>
      </c>
      <c r="H131" s="2"/>
      <c r="I131" s="3">
        <f>IFERROR(__xludf.DUMMYFUNCTION("""COMPUTED_VALUE"""),50763.0)</f>
        <v>50763</v>
      </c>
      <c r="J131" s="2">
        <f>IFERROR(__xludf.DUMMYFUNCTION("""COMPUTED_VALUE"""),23.0)</f>
        <v>23</v>
      </c>
      <c r="K131" s="3">
        <f>IFERROR(__xludf.DUMMYFUNCTION("""COMPUTED_VALUE"""),134264.0)</f>
        <v>134264</v>
      </c>
      <c r="L131" s="3">
        <f>IFERROR(__xludf.DUMMYFUNCTION("""COMPUTED_VALUE"""),1802.0)</f>
        <v>1802</v>
      </c>
      <c r="M131" s="3">
        <f>IFERROR(__xludf.DUMMYFUNCTION("""COMPUTED_VALUE"""),467423.0)</f>
        <v>467423</v>
      </c>
      <c r="N131" s="3">
        <f>IFERROR(__xludf.DUMMYFUNCTION("""COMPUTED_VALUE"""),1167941.0)</f>
        <v>1167941</v>
      </c>
      <c r="O131" s="3">
        <f>IFERROR(__xludf.DUMMYFUNCTION("""COMPUTED_VALUE"""),400211.0)</f>
        <v>400211</v>
      </c>
      <c r="P131" s="2" t="str">
        <f>IFERROR(__xludf.DUMMYFUNCTION("""COMPUTED_VALUE"""),"North America")</f>
        <v>North America</v>
      </c>
      <c r="Q131" s="2">
        <f>IFERROR(__xludf.DUMMYFUNCTION("""COMPUTED_VALUE"""),7.0)</f>
        <v>7</v>
      </c>
      <c r="R131" s="2">
        <f>IFERROR(__xludf.DUMMYFUNCTION("""COMPUTED_VALUE"""),555.0)</f>
        <v>555</v>
      </c>
      <c r="S131" s="2">
        <f>IFERROR(__xludf.DUMMYFUNCTION("""COMPUTED_VALUE"""),1.0)</f>
        <v>1</v>
      </c>
      <c r="T131" s="2"/>
      <c r="U131" s="2"/>
      <c r="V131" s="3">
        <f>IFERROR(__xludf.DUMMYFUNCTION("""COMPUTED_VALUE"""),126841.0)</f>
        <v>126841</v>
      </c>
    </row>
    <row r="132" ht="15.75" customHeight="1">
      <c r="A132" s="2">
        <f>IFERROR(__xludf.DUMMYFUNCTION("""COMPUTED_VALUE"""),123.0)</f>
        <v>123</v>
      </c>
      <c r="B132" s="2" t="str">
        <f>IFERROR(__xludf.DUMMYFUNCTION("""COMPUTED_VALUE"""),"Trinidad and Tobago")</f>
        <v>Trinidad and Tobago</v>
      </c>
      <c r="C132" s="3">
        <f>IFERROR(__xludf.DUMMYFUNCTION("""COMPUTED_VALUE"""),52847.0)</f>
        <v>52847</v>
      </c>
      <c r="D132" s="2"/>
      <c r="E132" s="3">
        <f>IFERROR(__xludf.DUMMYFUNCTION("""COMPUTED_VALUE"""),1555.0)</f>
        <v>1555</v>
      </c>
      <c r="F132" s="2"/>
      <c r="G132" s="3">
        <f>IFERROR(__xludf.DUMMYFUNCTION("""COMPUTED_VALUE"""),46991.0)</f>
        <v>46991</v>
      </c>
      <c r="H132" s="2"/>
      <c r="I132" s="3">
        <f>IFERROR(__xludf.DUMMYFUNCTION("""COMPUTED_VALUE"""),4301.0)</f>
        <v>4301</v>
      </c>
      <c r="J132" s="2">
        <f>IFERROR(__xludf.DUMMYFUNCTION("""COMPUTED_VALUE"""),22.0)</f>
        <v>22</v>
      </c>
      <c r="K132" s="3">
        <f>IFERROR(__xludf.DUMMYFUNCTION("""COMPUTED_VALUE"""),37606.0)</f>
        <v>37606</v>
      </c>
      <c r="L132" s="3">
        <f>IFERROR(__xludf.DUMMYFUNCTION("""COMPUTED_VALUE"""),1107.0)</f>
        <v>1107</v>
      </c>
      <c r="M132" s="3">
        <f>IFERROR(__xludf.DUMMYFUNCTION("""COMPUTED_VALUE"""),369782.0)</f>
        <v>369782</v>
      </c>
      <c r="N132" s="3">
        <f>IFERROR(__xludf.DUMMYFUNCTION("""COMPUTED_VALUE"""),263139.0)</f>
        <v>263139</v>
      </c>
      <c r="O132" s="3">
        <f>IFERROR(__xludf.DUMMYFUNCTION("""COMPUTED_VALUE"""),1405273.0)</f>
        <v>1405273</v>
      </c>
      <c r="P132" s="2" t="str">
        <f>IFERROR(__xludf.DUMMYFUNCTION("""COMPUTED_VALUE"""),"North America")</f>
        <v>North America</v>
      </c>
      <c r="Q132" s="2">
        <f>IFERROR(__xludf.DUMMYFUNCTION("""COMPUTED_VALUE"""),27.0)</f>
        <v>27</v>
      </c>
      <c r="R132" s="2">
        <f>IFERROR(__xludf.DUMMYFUNCTION("""COMPUTED_VALUE"""),904.0)</f>
        <v>904</v>
      </c>
      <c r="S132" s="2">
        <f>IFERROR(__xludf.DUMMYFUNCTION("""COMPUTED_VALUE"""),4.0)</f>
        <v>4</v>
      </c>
      <c r="T132" s="2"/>
      <c r="U132" s="2"/>
      <c r="V132" s="3">
        <f>IFERROR(__xludf.DUMMYFUNCTION("""COMPUTED_VALUE"""),3061.0)</f>
        <v>3061</v>
      </c>
    </row>
    <row r="133" ht="15.75" customHeight="1">
      <c r="A133" s="2">
        <f>IFERROR(__xludf.DUMMYFUNCTION("""COMPUTED_VALUE"""),124.0)</f>
        <v>124</v>
      </c>
      <c r="B133" s="2" t="str">
        <f>IFERROR(__xludf.DUMMYFUNCTION("""COMPUTED_VALUE"""),"Fiji")</f>
        <v>Fiji</v>
      </c>
      <c r="C133" s="3">
        <f>IFERROR(__xludf.DUMMYFUNCTION("""COMPUTED_VALUE"""),51535.0)</f>
        <v>51535</v>
      </c>
      <c r="D133" s="2"/>
      <c r="E133" s="2">
        <f>IFERROR(__xludf.DUMMYFUNCTION("""COMPUTED_VALUE"""),653.0)</f>
        <v>653</v>
      </c>
      <c r="F133" s="2"/>
      <c r="G133" s="3">
        <f>IFERROR(__xludf.DUMMYFUNCTION("""COMPUTED_VALUE"""),47912.0)</f>
        <v>47912</v>
      </c>
      <c r="H133" s="2"/>
      <c r="I133" s="3">
        <f>IFERROR(__xludf.DUMMYFUNCTION("""COMPUTED_VALUE"""),2970.0)</f>
        <v>2970</v>
      </c>
      <c r="J133" s="2">
        <f>IFERROR(__xludf.DUMMYFUNCTION("""COMPUTED_VALUE"""),6.0)</f>
        <v>6</v>
      </c>
      <c r="K133" s="3">
        <f>IFERROR(__xludf.DUMMYFUNCTION("""COMPUTED_VALUE"""),56962.0)</f>
        <v>56962</v>
      </c>
      <c r="L133" s="2">
        <f>IFERROR(__xludf.DUMMYFUNCTION("""COMPUTED_VALUE"""),722.0)</f>
        <v>722</v>
      </c>
      <c r="M133" s="3">
        <f>IFERROR(__xludf.DUMMYFUNCTION("""COMPUTED_VALUE"""),422600.0)</f>
        <v>422600</v>
      </c>
      <c r="N133" s="3">
        <f>IFERROR(__xludf.DUMMYFUNCTION("""COMPUTED_VALUE"""),467099.0)</f>
        <v>467099</v>
      </c>
      <c r="O133" s="3">
        <f>IFERROR(__xludf.DUMMYFUNCTION("""COMPUTED_VALUE"""),904733.0)</f>
        <v>904733</v>
      </c>
      <c r="P133" s="2" t="str">
        <f>IFERROR(__xludf.DUMMYFUNCTION("""COMPUTED_VALUE"""),"Australia/Oceania")</f>
        <v>Australia/Oceania</v>
      </c>
      <c r="Q133" s="2">
        <f>IFERROR(__xludf.DUMMYFUNCTION("""COMPUTED_VALUE"""),18.0)</f>
        <v>18</v>
      </c>
      <c r="R133" s="3">
        <f>IFERROR(__xludf.DUMMYFUNCTION("""COMPUTED_VALUE"""),1386.0)</f>
        <v>1386</v>
      </c>
      <c r="S133" s="2">
        <f>IFERROR(__xludf.DUMMYFUNCTION("""COMPUTED_VALUE"""),2.0)</f>
        <v>2</v>
      </c>
      <c r="T133" s="2"/>
      <c r="U133" s="2"/>
      <c r="V133" s="3">
        <f>IFERROR(__xludf.DUMMYFUNCTION("""COMPUTED_VALUE"""),3283.0)</f>
        <v>3283</v>
      </c>
    </row>
    <row r="134" ht="15.75" customHeight="1">
      <c r="A134" s="2">
        <f>IFERROR(__xludf.DUMMYFUNCTION("""COMPUTED_VALUE"""),125.0)</f>
        <v>125</v>
      </c>
      <c r="B134" s="2" t="str">
        <f>IFERROR(__xludf.DUMMYFUNCTION("""COMPUTED_VALUE"""),"Eswatini")</f>
        <v>Eswatini</v>
      </c>
      <c r="C134" s="3">
        <f>IFERROR(__xludf.DUMMYFUNCTION("""COMPUTED_VALUE"""),46313.0)</f>
        <v>46313</v>
      </c>
      <c r="D134" s="2" t="str">
        <f>IFERROR(__xludf.DUMMYFUNCTION("""COMPUTED_VALUE"""),"+29")</f>
        <v>+29</v>
      </c>
      <c r="E134" s="3">
        <f>IFERROR(__xludf.DUMMYFUNCTION("""COMPUTED_VALUE"""),1230.0)</f>
        <v>1230</v>
      </c>
      <c r="F134" s="2" t="str">
        <f>IFERROR(__xludf.DUMMYFUNCTION("""COMPUTED_VALUE"""),"+1")</f>
        <v>+1</v>
      </c>
      <c r="G134" s="3">
        <f>IFERROR(__xludf.DUMMYFUNCTION("""COMPUTED_VALUE"""),44692.0)</f>
        <v>44692</v>
      </c>
      <c r="H134" s="2" t="str">
        <f>IFERROR(__xludf.DUMMYFUNCTION("""COMPUTED_VALUE"""),"+34")</f>
        <v>+34</v>
      </c>
      <c r="I134" s="2">
        <f>IFERROR(__xludf.DUMMYFUNCTION("""COMPUTED_VALUE"""),391.0)</f>
        <v>391</v>
      </c>
      <c r="J134" s="2">
        <f>IFERROR(__xludf.DUMMYFUNCTION("""COMPUTED_VALUE"""),10.0)</f>
        <v>10</v>
      </c>
      <c r="K134" s="3">
        <f>IFERROR(__xludf.DUMMYFUNCTION("""COMPUTED_VALUE"""),39399.0)</f>
        <v>39399</v>
      </c>
      <c r="L134" s="3">
        <f>IFERROR(__xludf.DUMMYFUNCTION("""COMPUTED_VALUE"""),1046.0)</f>
        <v>1046</v>
      </c>
      <c r="M134" s="3">
        <f>IFERROR(__xludf.DUMMYFUNCTION("""COMPUTED_VALUE"""),358788.0)</f>
        <v>358788</v>
      </c>
      <c r="N134" s="3">
        <f>IFERROR(__xludf.DUMMYFUNCTION("""COMPUTED_VALUE"""),305226.0)</f>
        <v>305226</v>
      </c>
      <c r="O134" s="3">
        <f>IFERROR(__xludf.DUMMYFUNCTION("""COMPUTED_VALUE"""),1175484.0)</f>
        <v>1175484</v>
      </c>
      <c r="P134" s="2" t="str">
        <f>IFERROR(__xludf.DUMMYFUNCTION("""COMPUTED_VALUE"""),"Africa")</f>
        <v>Africa</v>
      </c>
      <c r="Q134" s="2">
        <f>IFERROR(__xludf.DUMMYFUNCTION("""COMPUTED_VALUE"""),25.0)</f>
        <v>25</v>
      </c>
      <c r="R134" s="2">
        <f>IFERROR(__xludf.DUMMYFUNCTION("""COMPUTED_VALUE"""),956.0)</f>
        <v>956</v>
      </c>
      <c r="S134" s="2">
        <f>IFERROR(__xludf.DUMMYFUNCTION("""COMPUTED_VALUE"""),3.0)</f>
        <v>3</v>
      </c>
      <c r="T134" s="2">
        <f>IFERROR(__xludf.DUMMYFUNCTION("""COMPUTED_VALUE"""),25.0)</f>
        <v>25</v>
      </c>
      <c r="U134" s="2">
        <f>IFERROR(__xludf.DUMMYFUNCTION("""COMPUTED_VALUE"""),0.9)</f>
        <v>0.9</v>
      </c>
      <c r="V134" s="2">
        <f>IFERROR(__xludf.DUMMYFUNCTION("""COMPUTED_VALUE"""),333.0)</f>
        <v>333</v>
      </c>
    </row>
    <row r="135" ht="15.75" customHeight="1">
      <c r="A135" s="2">
        <f>IFERROR(__xludf.DUMMYFUNCTION("""COMPUTED_VALUE"""),126.0)</f>
        <v>126</v>
      </c>
      <c r="B135" s="2" t="str">
        <f>IFERROR(__xludf.DUMMYFUNCTION("""COMPUTED_VALUE"""),"Suriname")</f>
        <v>Suriname</v>
      </c>
      <c r="C135" s="3">
        <f>IFERROR(__xludf.DUMMYFUNCTION("""COMPUTED_VALUE"""),44306.0)</f>
        <v>44306</v>
      </c>
      <c r="D135" s="2"/>
      <c r="E135" s="2">
        <f>IFERROR(__xludf.DUMMYFUNCTION("""COMPUTED_VALUE"""),968.0)</f>
        <v>968</v>
      </c>
      <c r="F135" s="2"/>
      <c r="G135" s="3">
        <f>IFERROR(__xludf.DUMMYFUNCTION("""COMPUTED_VALUE"""),27005.0)</f>
        <v>27005</v>
      </c>
      <c r="H135" s="2"/>
      <c r="I135" s="3">
        <f>IFERROR(__xludf.DUMMYFUNCTION("""COMPUTED_VALUE"""),16333.0)</f>
        <v>16333</v>
      </c>
      <c r="J135" s="2">
        <f>IFERROR(__xludf.DUMMYFUNCTION("""COMPUTED_VALUE"""),20.0)</f>
        <v>20</v>
      </c>
      <c r="K135" s="3">
        <f>IFERROR(__xludf.DUMMYFUNCTION("""COMPUTED_VALUE"""),74673.0)</f>
        <v>74673</v>
      </c>
      <c r="L135" s="3">
        <f>IFERROR(__xludf.DUMMYFUNCTION("""COMPUTED_VALUE"""),1631.0)</f>
        <v>1631</v>
      </c>
      <c r="M135" s="3">
        <f>IFERROR(__xludf.DUMMYFUNCTION("""COMPUTED_VALUE"""),135457.0)</f>
        <v>135457</v>
      </c>
      <c r="N135" s="3">
        <f>IFERROR(__xludf.DUMMYFUNCTION("""COMPUTED_VALUE"""),228297.0)</f>
        <v>228297</v>
      </c>
      <c r="O135" s="3">
        <f>IFERROR(__xludf.DUMMYFUNCTION("""COMPUTED_VALUE"""),593337.0)</f>
        <v>593337</v>
      </c>
      <c r="P135" s="2" t="str">
        <f>IFERROR(__xludf.DUMMYFUNCTION("""COMPUTED_VALUE"""),"South America")</f>
        <v>South America</v>
      </c>
      <c r="Q135" s="2">
        <f>IFERROR(__xludf.DUMMYFUNCTION("""COMPUTED_VALUE"""),13.0)</f>
        <v>13</v>
      </c>
      <c r="R135" s="2">
        <f>IFERROR(__xludf.DUMMYFUNCTION("""COMPUTED_VALUE"""),613.0)</f>
        <v>613</v>
      </c>
      <c r="S135" s="2">
        <f>IFERROR(__xludf.DUMMYFUNCTION("""COMPUTED_VALUE"""),4.0)</f>
        <v>4</v>
      </c>
      <c r="T135" s="2"/>
      <c r="U135" s="2"/>
      <c r="V135" s="3">
        <f>IFERROR(__xludf.DUMMYFUNCTION("""COMPUTED_VALUE"""),27527.0)</f>
        <v>27527</v>
      </c>
    </row>
    <row r="136" ht="15.75" customHeight="1">
      <c r="A136" s="2">
        <f>IFERROR(__xludf.DUMMYFUNCTION("""COMPUTED_VALUE"""),127.0)</f>
        <v>127</v>
      </c>
      <c r="B136" s="2" t="str">
        <f>IFERROR(__xludf.DUMMYFUNCTION("""COMPUTED_VALUE"""),"Madagascar")</f>
        <v>Madagascar</v>
      </c>
      <c r="C136" s="3">
        <f>IFERROR(__xludf.DUMMYFUNCTION("""COMPUTED_VALUE"""),42898.0)</f>
        <v>42898</v>
      </c>
      <c r="D136" s="2"/>
      <c r="E136" s="2">
        <f>IFERROR(__xludf.DUMMYFUNCTION("""COMPUTED_VALUE"""),958.0)</f>
        <v>958</v>
      </c>
      <c r="F136" s="2"/>
      <c r="G136" s="3">
        <f>IFERROR(__xludf.DUMMYFUNCTION("""COMPUTED_VALUE"""),41322.0)</f>
        <v>41322</v>
      </c>
      <c r="H136" s="2"/>
      <c r="I136" s="2">
        <f>IFERROR(__xludf.DUMMYFUNCTION("""COMPUTED_VALUE"""),618.0)</f>
        <v>618</v>
      </c>
      <c r="J136" s="2">
        <f>IFERROR(__xludf.DUMMYFUNCTION("""COMPUTED_VALUE"""),3.0)</f>
        <v>3</v>
      </c>
      <c r="K136" s="3">
        <f>IFERROR(__xludf.DUMMYFUNCTION("""COMPUTED_VALUE"""),1500.0)</f>
        <v>1500</v>
      </c>
      <c r="L136" s="2">
        <f>IFERROR(__xludf.DUMMYFUNCTION("""COMPUTED_VALUE"""),34.0)</f>
        <v>34</v>
      </c>
      <c r="M136" s="3">
        <f>IFERROR(__xludf.DUMMYFUNCTION("""COMPUTED_VALUE"""),249510.0)</f>
        <v>249510</v>
      </c>
      <c r="N136" s="3">
        <f>IFERROR(__xludf.DUMMYFUNCTION("""COMPUTED_VALUE"""),8725.0)</f>
        <v>8725</v>
      </c>
      <c r="O136" s="3">
        <f>IFERROR(__xludf.DUMMYFUNCTION("""COMPUTED_VALUE"""),2.8596747E7)</f>
        <v>28596747</v>
      </c>
      <c r="P136" s="2" t="str">
        <f>IFERROR(__xludf.DUMMYFUNCTION("""COMPUTED_VALUE"""),"Africa")</f>
        <v>Africa</v>
      </c>
      <c r="Q136" s="2">
        <f>IFERROR(__xludf.DUMMYFUNCTION("""COMPUTED_VALUE"""),667.0)</f>
        <v>667</v>
      </c>
      <c r="R136" s="3">
        <f>IFERROR(__xludf.DUMMYFUNCTION("""COMPUTED_VALUE"""),29850.0)</f>
        <v>29850</v>
      </c>
      <c r="S136" s="2">
        <f>IFERROR(__xludf.DUMMYFUNCTION("""COMPUTED_VALUE"""),115.0)</f>
        <v>115</v>
      </c>
      <c r="T136" s="2"/>
      <c r="U136" s="2"/>
      <c r="V136" s="2">
        <f>IFERROR(__xludf.DUMMYFUNCTION("""COMPUTED_VALUE"""),22.0)</f>
        <v>22</v>
      </c>
    </row>
    <row r="137" ht="15.75" customHeight="1">
      <c r="A137" s="2">
        <f>IFERROR(__xludf.DUMMYFUNCTION("""COMPUTED_VALUE"""),128.0)</f>
        <v>128</v>
      </c>
      <c r="B137" s="2" t="str">
        <f>IFERROR(__xludf.DUMMYFUNCTION("""COMPUTED_VALUE"""),"French Guiana")</f>
        <v>French Guiana</v>
      </c>
      <c r="C137" s="3">
        <f>IFERROR(__xludf.DUMMYFUNCTION("""COMPUTED_VALUE"""),42794.0)</f>
        <v>42794</v>
      </c>
      <c r="D137" s="2"/>
      <c r="E137" s="2">
        <f>IFERROR(__xludf.DUMMYFUNCTION("""COMPUTED_VALUE"""),289.0)</f>
        <v>289</v>
      </c>
      <c r="F137" s="2"/>
      <c r="G137" s="3">
        <f>IFERROR(__xludf.DUMMYFUNCTION("""COMPUTED_VALUE"""),9995.0)</f>
        <v>9995</v>
      </c>
      <c r="H137" s="2"/>
      <c r="I137" s="3">
        <f>IFERROR(__xludf.DUMMYFUNCTION("""COMPUTED_VALUE"""),32510.0)</f>
        <v>32510</v>
      </c>
      <c r="J137" s="2">
        <f>IFERROR(__xludf.DUMMYFUNCTION("""COMPUTED_VALUE"""),26.0)</f>
        <v>26</v>
      </c>
      <c r="K137" s="3">
        <f>IFERROR(__xludf.DUMMYFUNCTION("""COMPUTED_VALUE"""),138702.0)</f>
        <v>138702</v>
      </c>
      <c r="L137" s="2">
        <f>IFERROR(__xludf.DUMMYFUNCTION("""COMPUTED_VALUE"""),937.0)</f>
        <v>937</v>
      </c>
      <c r="M137" s="3">
        <f>IFERROR(__xludf.DUMMYFUNCTION("""COMPUTED_VALUE"""),410123.0)</f>
        <v>410123</v>
      </c>
      <c r="N137" s="3">
        <f>IFERROR(__xludf.DUMMYFUNCTION("""COMPUTED_VALUE"""),1329272.0)</f>
        <v>1329272</v>
      </c>
      <c r="O137" s="3">
        <f>IFERROR(__xludf.DUMMYFUNCTION("""COMPUTED_VALUE"""),308532.0)</f>
        <v>308532</v>
      </c>
      <c r="P137" s="2" t="str">
        <f>IFERROR(__xludf.DUMMYFUNCTION("""COMPUTED_VALUE"""),"South America")</f>
        <v>South America</v>
      </c>
      <c r="Q137" s="2">
        <f>IFERROR(__xludf.DUMMYFUNCTION("""COMPUTED_VALUE"""),7.0)</f>
        <v>7</v>
      </c>
      <c r="R137" s="3">
        <f>IFERROR(__xludf.DUMMYFUNCTION("""COMPUTED_VALUE"""),1068.0)</f>
        <v>1068</v>
      </c>
      <c r="S137" s="2">
        <f>IFERROR(__xludf.DUMMYFUNCTION("""COMPUTED_VALUE"""),1.0)</f>
        <v>1</v>
      </c>
      <c r="T137" s="2"/>
      <c r="U137" s="2"/>
      <c r="V137" s="3">
        <f>IFERROR(__xludf.DUMMYFUNCTION("""COMPUTED_VALUE"""),105370.0)</f>
        <v>105370</v>
      </c>
    </row>
    <row r="138" ht="15.75" customHeight="1">
      <c r="A138" s="2">
        <f>IFERROR(__xludf.DUMMYFUNCTION("""COMPUTED_VALUE"""),129.0)</f>
        <v>129</v>
      </c>
      <c r="B138" s="2" t="str">
        <f>IFERROR(__xludf.DUMMYFUNCTION("""COMPUTED_VALUE"""),"Martinique")</f>
        <v>Martinique</v>
      </c>
      <c r="C138" s="3">
        <f>IFERROR(__xludf.DUMMYFUNCTION("""COMPUTED_VALUE"""),41129.0)</f>
        <v>41129</v>
      </c>
      <c r="D138" s="2"/>
      <c r="E138" s="2">
        <f>IFERROR(__xludf.DUMMYFUNCTION("""COMPUTED_VALUE"""),608.0)</f>
        <v>608</v>
      </c>
      <c r="F138" s="2"/>
      <c r="G138" s="2">
        <f>IFERROR(__xludf.DUMMYFUNCTION("""COMPUTED_VALUE"""),104.0)</f>
        <v>104</v>
      </c>
      <c r="H138" s="2"/>
      <c r="I138" s="3">
        <f>IFERROR(__xludf.DUMMYFUNCTION("""COMPUTED_VALUE"""),40417.0)</f>
        <v>40417</v>
      </c>
      <c r="J138" s="2">
        <f>IFERROR(__xludf.DUMMYFUNCTION("""COMPUTED_VALUE"""),1.0)</f>
        <v>1</v>
      </c>
      <c r="K138" s="3">
        <f>IFERROR(__xludf.DUMMYFUNCTION("""COMPUTED_VALUE"""),109709.0)</f>
        <v>109709</v>
      </c>
      <c r="L138" s="3">
        <f>IFERROR(__xludf.DUMMYFUNCTION("""COMPUTED_VALUE"""),1622.0)</f>
        <v>1622</v>
      </c>
      <c r="M138" s="3">
        <f>IFERROR(__xludf.DUMMYFUNCTION("""COMPUTED_VALUE"""),359082.0)</f>
        <v>359082</v>
      </c>
      <c r="N138" s="3">
        <f>IFERROR(__xludf.DUMMYFUNCTION("""COMPUTED_VALUE"""),957825.0)</f>
        <v>957825</v>
      </c>
      <c r="O138" s="3">
        <f>IFERROR(__xludf.DUMMYFUNCTION("""COMPUTED_VALUE"""),374893.0)</f>
        <v>374893</v>
      </c>
      <c r="P138" s="2" t="str">
        <f>IFERROR(__xludf.DUMMYFUNCTION("""COMPUTED_VALUE"""),"North America")</f>
        <v>North America</v>
      </c>
      <c r="Q138" s="2">
        <f>IFERROR(__xludf.DUMMYFUNCTION("""COMPUTED_VALUE"""),9.0)</f>
        <v>9</v>
      </c>
      <c r="R138" s="2">
        <f>IFERROR(__xludf.DUMMYFUNCTION("""COMPUTED_VALUE"""),617.0)</f>
        <v>617</v>
      </c>
      <c r="S138" s="2">
        <f>IFERROR(__xludf.DUMMYFUNCTION("""COMPUTED_VALUE"""),1.0)</f>
        <v>1</v>
      </c>
      <c r="T138" s="2"/>
      <c r="U138" s="2"/>
      <c r="V138" s="3">
        <f>IFERROR(__xludf.DUMMYFUNCTION("""COMPUTED_VALUE"""),107809.0)</f>
        <v>107809</v>
      </c>
    </row>
    <row r="139" ht="15.75" customHeight="1">
      <c r="A139" s="2">
        <f>IFERROR(__xludf.DUMMYFUNCTION("""COMPUTED_VALUE"""),130.0)</f>
        <v>130</v>
      </c>
      <c r="B139" s="2" t="str">
        <f>IFERROR(__xludf.DUMMYFUNCTION("""COMPUTED_VALUE"""),"French Polynesia")</f>
        <v>French Polynesia</v>
      </c>
      <c r="C139" s="3">
        <f>IFERROR(__xludf.DUMMYFUNCTION("""COMPUTED_VALUE"""),40178.0)</f>
        <v>40178</v>
      </c>
      <c r="D139" s="2"/>
      <c r="E139" s="2">
        <f>IFERROR(__xludf.DUMMYFUNCTION("""COMPUTED_VALUE"""),629.0)</f>
        <v>629</v>
      </c>
      <c r="F139" s="2"/>
      <c r="G139" s="3">
        <f>IFERROR(__xludf.DUMMYFUNCTION("""COMPUTED_VALUE"""),33500.0)</f>
        <v>33500</v>
      </c>
      <c r="H139" s="2"/>
      <c r="I139" s="3">
        <f>IFERROR(__xludf.DUMMYFUNCTION("""COMPUTED_VALUE"""),6049.0)</f>
        <v>6049</v>
      </c>
      <c r="J139" s="2">
        <f>IFERROR(__xludf.DUMMYFUNCTION("""COMPUTED_VALUE"""),18.0)</f>
        <v>18</v>
      </c>
      <c r="K139" s="3">
        <f>IFERROR(__xludf.DUMMYFUNCTION("""COMPUTED_VALUE"""),141982.0)</f>
        <v>141982</v>
      </c>
      <c r="L139" s="3">
        <f>IFERROR(__xludf.DUMMYFUNCTION("""COMPUTED_VALUE"""),2223.0)</f>
        <v>2223</v>
      </c>
      <c r="M139" s="3">
        <f>IFERROR(__xludf.DUMMYFUNCTION("""COMPUTED_VALUE"""),26355.0)</f>
        <v>26355</v>
      </c>
      <c r="N139" s="3">
        <f>IFERROR(__xludf.DUMMYFUNCTION("""COMPUTED_VALUE"""),93134.0)</f>
        <v>93134</v>
      </c>
      <c r="O139" s="3">
        <f>IFERROR(__xludf.DUMMYFUNCTION("""COMPUTED_VALUE"""),282980.0)</f>
        <v>282980</v>
      </c>
      <c r="P139" s="2" t="str">
        <f>IFERROR(__xludf.DUMMYFUNCTION("""COMPUTED_VALUE"""),"Australia/Oceania")</f>
        <v>Australia/Oceania</v>
      </c>
      <c r="Q139" s="2">
        <f>IFERROR(__xludf.DUMMYFUNCTION("""COMPUTED_VALUE"""),7.0)</f>
        <v>7</v>
      </c>
      <c r="R139" s="2">
        <f>IFERROR(__xludf.DUMMYFUNCTION("""COMPUTED_VALUE"""),450.0)</f>
        <v>450</v>
      </c>
      <c r="S139" s="2">
        <f>IFERROR(__xludf.DUMMYFUNCTION("""COMPUTED_VALUE"""),11.0)</f>
        <v>11</v>
      </c>
      <c r="T139" s="2"/>
      <c r="U139" s="2"/>
      <c r="V139" s="3">
        <f>IFERROR(__xludf.DUMMYFUNCTION("""COMPUTED_VALUE"""),21376.0)</f>
        <v>21376</v>
      </c>
    </row>
    <row r="140" ht="15.75" customHeight="1">
      <c r="A140" s="2">
        <f>IFERROR(__xludf.DUMMYFUNCTION("""COMPUTED_VALUE"""),131.0)</f>
        <v>131</v>
      </c>
      <c r="B140" s="2" t="str">
        <f>IFERROR(__xludf.DUMMYFUNCTION("""COMPUTED_VALUE"""),"Sudan")</f>
        <v>Sudan</v>
      </c>
      <c r="C140" s="3">
        <f>IFERROR(__xludf.DUMMYFUNCTION("""COMPUTED_VALUE"""),38824.0)</f>
        <v>38824</v>
      </c>
      <c r="D140" s="2"/>
      <c r="E140" s="3">
        <f>IFERROR(__xludf.DUMMYFUNCTION("""COMPUTED_VALUE"""),2928.0)</f>
        <v>2928</v>
      </c>
      <c r="F140" s="2"/>
      <c r="G140" s="3">
        <f>IFERROR(__xludf.DUMMYFUNCTION("""COMPUTED_VALUE"""),32395.0)</f>
        <v>32395</v>
      </c>
      <c r="H140" s="2"/>
      <c r="I140" s="3">
        <f>IFERROR(__xludf.DUMMYFUNCTION("""COMPUTED_VALUE"""),3501.0)</f>
        <v>3501</v>
      </c>
      <c r="J140" s="2"/>
      <c r="K140" s="2">
        <f>IFERROR(__xludf.DUMMYFUNCTION("""COMPUTED_VALUE"""),860.0)</f>
        <v>860</v>
      </c>
      <c r="L140" s="2">
        <f>IFERROR(__xludf.DUMMYFUNCTION("""COMPUTED_VALUE"""),65.0)</f>
        <v>65</v>
      </c>
      <c r="M140" s="3">
        <f>IFERROR(__xludf.DUMMYFUNCTION("""COMPUTED_VALUE"""),238579.0)</f>
        <v>238579</v>
      </c>
      <c r="N140" s="3">
        <f>IFERROR(__xludf.DUMMYFUNCTION("""COMPUTED_VALUE"""),5284.0)</f>
        <v>5284</v>
      </c>
      <c r="O140" s="3">
        <f>IFERROR(__xludf.DUMMYFUNCTION("""COMPUTED_VALUE"""),4.5152366E7)</f>
        <v>45152366</v>
      </c>
      <c r="P140" s="2" t="str">
        <f>IFERROR(__xludf.DUMMYFUNCTION("""COMPUTED_VALUE"""),"Africa")</f>
        <v>Africa</v>
      </c>
      <c r="Q140" s="3">
        <f>IFERROR(__xludf.DUMMYFUNCTION("""COMPUTED_VALUE"""),1163.0)</f>
        <v>1163</v>
      </c>
      <c r="R140" s="3">
        <f>IFERROR(__xludf.DUMMYFUNCTION("""COMPUTED_VALUE"""),15421.0)</f>
        <v>15421</v>
      </c>
      <c r="S140" s="2">
        <f>IFERROR(__xludf.DUMMYFUNCTION("""COMPUTED_VALUE"""),189.0)</f>
        <v>189</v>
      </c>
      <c r="T140" s="2"/>
      <c r="U140" s="2"/>
      <c r="V140" s="2">
        <f>IFERROR(__xludf.DUMMYFUNCTION("""COMPUTED_VALUE"""),78.0)</f>
        <v>78</v>
      </c>
    </row>
    <row r="141" ht="15.75" customHeight="1">
      <c r="A141" s="2">
        <f>IFERROR(__xludf.DUMMYFUNCTION("""COMPUTED_VALUE"""),132.0)</f>
        <v>132</v>
      </c>
      <c r="B141" s="2" t="str">
        <f>IFERROR(__xludf.DUMMYFUNCTION("""COMPUTED_VALUE"""),"Cabo Verde")</f>
        <v>Cabo Verde</v>
      </c>
      <c r="C141" s="3">
        <f>IFERROR(__xludf.DUMMYFUNCTION("""COMPUTED_VALUE"""),37902.0)</f>
        <v>37902</v>
      </c>
      <c r="D141" s="2"/>
      <c r="E141" s="2">
        <f>IFERROR(__xludf.DUMMYFUNCTION("""COMPUTED_VALUE"""),346.0)</f>
        <v>346</v>
      </c>
      <c r="F141" s="2"/>
      <c r="G141" s="3">
        <f>IFERROR(__xludf.DUMMYFUNCTION("""COMPUTED_VALUE"""),37102.0)</f>
        <v>37102</v>
      </c>
      <c r="H141" s="2"/>
      <c r="I141" s="2">
        <f>IFERROR(__xludf.DUMMYFUNCTION("""COMPUTED_VALUE"""),454.0)</f>
        <v>454</v>
      </c>
      <c r="J141" s="2">
        <f>IFERROR(__xludf.DUMMYFUNCTION("""COMPUTED_VALUE"""),23.0)</f>
        <v>23</v>
      </c>
      <c r="K141" s="3">
        <f>IFERROR(__xludf.DUMMYFUNCTION("""COMPUTED_VALUE"""),67239.0)</f>
        <v>67239</v>
      </c>
      <c r="L141" s="2">
        <f>IFERROR(__xludf.DUMMYFUNCTION("""COMPUTED_VALUE"""),614.0)</f>
        <v>614</v>
      </c>
      <c r="M141" s="3">
        <f>IFERROR(__xludf.DUMMYFUNCTION("""COMPUTED_VALUE"""),209870.0)</f>
        <v>209870</v>
      </c>
      <c r="N141" s="3">
        <f>IFERROR(__xludf.DUMMYFUNCTION("""COMPUTED_VALUE"""),372316.0)</f>
        <v>372316</v>
      </c>
      <c r="O141" s="3">
        <f>IFERROR(__xludf.DUMMYFUNCTION("""COMPUTED_VALUE"""),563688.0)</f>
        <v>563688</v>
      </c>
      <c r="P141" s="2" t="str">
        <f>IFERROR(__xludf.DUMMYFUNCTION("""COMPUTED_VALUE"""),"Africa")</f>
        <v>Africa</v>
      </c>
      <c r="Q141" s="2">
        <f>IFERROR(__xludf.DUMMYFUNCTION("""COMPUTED_VALUE"""),15.0)</f>
        <v>15</v>
      </c>
      <c r="R141" s="3">
        <f>IFERROR(__xludf.DUMMYFUNCTION("""COMPUTED_VALUE"""),1629.0)</f>
        <v>1629</v>
      </c>
      <c r="S141" s="2">
        <f>IFERROR(__xludf.DUMMYFUNCTION("""COMPUTED_VALUE"""),3.0)</f>
        <v>3</v>
      </c>
      <c r="T141" s="2"/>
      <c r="U141" s="2"/>
      <c r="V141" s="2">
        <f>IFERROR(__xludf.DUMMYFUNCTION("""COMPUTED_VALUE"""),805.0)</f>
        <v>805</v>
      </c>
    </row>
    <row r="142" ht="15.75" customHeight="1">
      <c r="A142" s="2">
        <f>IFERROR(__xludf.DUMMYFUNCTION("""COMPUTED_VALUE"""),133.0)</f>
        <v>133</v>
      </c>
      <c r="B142" s="2" t="str">
        <f>IFERROR(__xludf.DUMMYFUNCTION("""COMPUTED_VALUE"""),"Syria")</f>
        <v>Syria</v>
      </c>
      <c r="C142" s="3">
        <f>IFERROR(__xludf.DUMMYFUNCTION("""COMPUTED_VALUE"""),37509.0)</f>
        <v>37509</v>
      </c>
      <c r="D142" s="2" t="str">
        <f>IFERROR(__xludf.DUMMYFUNCTION("""COMPUTED_VALUE"""),"+280")</f>
        <v>+280</v>
      </c>
      <c r="E142" s="3">
        <f>IFERROR(__xludf.DUMMYFUNCTION("""COMPUTED_VALUE"""),2358.0)</f>
        <v>2358</v>
      </c>
      <c r="F142" s="2" t="str">
        <f>IFERROR(__xludf.DUMMYFUNCTION("""COMPUTED_VALUE"""),"+10")</f>
        <v>+10</v>
      </c>
      <c r="G142" s="3">
        <f>IFERROR(__xludf.DUMMYFUNCTION("""COMPUTED_VALUE"""),24645.0)</f>
        <v>24645</v>
      </c>
      <c r="H142" s="2" t="str">
        <f>IFERROR(__xludf.DUMMYFUNCTION("""COMPUTED_VALUE"""),"+72")</f>
        <v>+72</v>
      </c>
      <c r="I142" s="3">
        <f>IFERROR(__xludf.DUMMYFUNCTION("""COMPUTED_VALUE"""),10506.0)</f>
        <v>10506</v>
      </c>
      <c r="J142" s="2"/>
      <c r="K142" s="3">
        <f>IFERROR(__xludf.DUMMYFUNCTION("""COMPUTED_VALUE"""),2079.0)</f>
        <v>2079</v>
      </c>
      <c r="L142" s="3">
        <f>IFERROR(__xludf.DUMMYFUNCTION("""COMPUTED_VALUE"""),131.0)</f>
        <v>131</v>
      </c>
      <c r="M142" s="3">
        <f>IFERROR(__xludf.DUMMYFUNCTION("""COMPUTED_VALUE"""),103566.0)</f>
        <v>103566</v>
      </c>
      <c r="N142" s="3">
        <f>IFERROR(__xludf.DUMMYFUNCTION("""COMPUTED_VALUE"""),5740.0)</f>
        <v>5740</v>
      </c>
      <c r="O142" s="3">
        <f>IFERROR(__xludf.DUMMYFUNCTION("""COMPUTED_VALUE"""),1.8041683E7)</f>
        <v>18041683</v>
      </c>
      <c r="P142" s="2" t="str">
        <f>IFERROR(__xludf.DUMMYFUNCTION("""COMPUTED_VALUE"""),"Asia")</f>
        <v>Asia</v>
      </c>
      <c r="Q142" s="2">
        <f>IFERROR(__xludf.DUMMYFUNCTION("""COMPUTED_VALUE"""),481.0)</f>
        <v>481</v>
      </c>
      <c r="R142" s="3">
        <f>IFERROR(__xludf.DUMMYFUNCTION("""COMPUTED_VALUE"""),7651.0)</f>
        <v>7651</v>
      </c>
      <c r="S142" s="2">
        <f>IFERROR(__xludf.DUMMYFUNCTION("""COMPUTED_VALUE"""),174.0)</f>
        <v>174</v>
      </c>
      <c r="T142" s="2">
        <f>IFERROR(__xludf.DUMMYFUNCTION("""COMPUTED_VALUE"""),16.0)</f>
        <v>16</v>
      </c>
      <c r="U142" s="2">
        <f>IFERROR(__xludf.DUMMYFUNCTION("""COMPUTED_VALUE"""),0.6)</f>
        <v>0.6</v>
      </c>
      <c r="V142" s="3">
        <f>IFERROR(__xludf.DUMMYFUNCTION("""COMPUTED_VALUE"""),582.0)</f>
        <v>582</v>
      </c>
    </row>
    <row r="143" ht="15.75" customHeight="1">
      <c r="A143" s="2">
        <f>IFERROR(__xludf.DUMMYFUNCTION("""COMPUTED_VALUE"""),134.0)</f>
        <v>134</v>
      </c>
      <c r="B143" s="2" t="str">
        <f>IFERROR(__xludf.DUMMYFUNCTION("""COMPUTED_VALUE"""),"Malta")</f>
        <v>Malta</v>
      </c>
      <c r="C143" s="3">
        <f>IFERROR(__xludf.DUMMYFUNCTION("""COMPUTED_VALUE"""),37375.0)</f>
        <v>37375</v>
      </c>
      <c r="D143" s="2" t="str">
        <f>IFERROR(__xludf.DUMMYFUNCTION("""COMPUTED_VALUE"""),"+17")</f>
        <v>+17</v>
      </c>
      <c r="E143" s="3">
        <f>IFERROR(__xludf.DUMMYFUNCTION("""COMPUTED_VALUE"""),459.0)</f>
        <v>459</v>
      </c>
      <c r="F143" s="2"/>
      <c r="G143" s="3">
        <f>IFERROR(__xludf.DUMMYFUNCTION("""COMPUTED_VALUE"""),36240.0)</f>
        <v>36240</v>
      </c>
      <c r="H143" s="2" t="str">
        <f>IFERROR(__xludf.DUMMYFUNCTION("""COMPUTED_VALUE"""),"+7")</f>
        <v>+7</v>
      </c>
      <c r="I143" s="3">
        <f>IFERROR(__xludf.DUMMYFUNCTION("""COMPUTED_VALUE"""),676.0)</f>
        <v>676</v>
      </c>
      <c r="J143" s="2">
        <f>IFERROR(__xludf.DUMMYFUNCTION("""COMPUTED_VALUE"""),1.0)</f>
        <v>1</v>
      </c>
      <c r="K143" s="3">
        <f>IFERROR(__xludf.DUMMYFUNCTION("""COMPUTED_VALUE"""),84360.0)</f>
        <v>84360</v>
      </c>
      <c r="L143" s="3">
        <f>IFERROR(__xludf.DUMMYFUNCTION("""COMPUTED_VALUE"""),1036.0)</f>
        <v>1036</v>
      </c>
      <c r="M143" s="3">
        <f>IFERROR(__xludf.DUMMYFUNCTION("""COMPUTED_VALUE"""),1211456.0)</f>
        <v>1211456</v>
      </c>
      <c r="N143" s="3">
        <f>IFERROR(__xludf.DUMMYFUNCTION("""COMPUTED_VALUE"""),2734392.0)</f>
        <v>2734392</v>
      </c>
      <c r="O143" s="3">
        <f>IFERROR(__xludf.DUMMYFUNCTION("""COMPUTED_VALUE"""),443044.0)</f>
        <v>443044</v>
      </c>
      <c r="P143" s="2" t="str">
        <f>IFERROR(__xludf.DUMMYFUNCTION("""COMPUTED_VALUE"""),"Europe")</f>
        <v>Europe</v>
      </c>
      <c r="Q143" s="2">
        <f>IFERROR(__xludf.DUMMYFUNCTION("""COMPUTED_VALUE"""),12.0)</f>
        <v>12</v>
      </c>
      <c r="R143" s="3">
        <f>IFERROR(__xludf.DUMMYFUNCTION("""COMPUTED_VALUE"""),965.0)</f>
        <v>965</v>
      </c>
      <c r="S143" s="2">
        <f>IFERROR(__xludf.DUMMYFUNCTION("""COMPUTED_VALUE"""),0.0)</f>
        <v>0</v>
      </c>
      <c r="T143" s="2">
        <f>IFERROR(__xludf.DUMMYFUNCTION("""COMPUTED_VALUE"""),38.0)</f>
        <v>38</v>
      </c>
      <c r="U143" s="2"/>
      <c r="V143" s="3">
        <f>IFERROR(__xludf.DUMMYFUNCTION("""COMPUTED_VALUE"""),1526.0)</f>
        <v>1526</v>
      </c>
    </row>
    <row r="144" ht="15.75" customHeight="1">
      <c r="A144" s="2">
        <f>IFERROR(__xludf.DUMMYFUNCTION("""COMPUTED_VALUE"""),135.0)</f>
        <v>135</v>
      </c>
      <c r="B144" s="2" t="str">
        <f>IFERROR(__xludf.DUMMYFUNCTION("""COMPUTED_VALUE"""),"Mauritania")</f>
        <v>Mauritania</v>
      </c>
      <c r="C144" s="3">
        <f>IFERROR(__xludf.DUMMYFUNCTION("""COMPUTED_VALUE"""),36432.0)</f>
        <v>36432</v>
      </c>
      <c r="D144" s="2"/>
      <c r="E144" s="2">
        <f>IFERROR(__xludf.DUMMYFUNCTION("""COMPUTED_VALUE"""),785.0)</f>
        <v>785</v>
      </c>
      <c r="F144" s="2"/>
      <c r="G144" s="3">
        <f>IFERROR(__xludf.DUMMYFUNCTION("""COMPUTED_VALUE"""),35225.0)</f>
        <v>35225</v>
      </c>
      <c r="H144" s="2"/>
      <c r="I144" s="2">
        <f>IFERROR(__xludf.DUMMYFUNCTION("""COMPUTED_VALUE"""),422.0)</f>
        <v>422</v>
      </c>
      <c r="J144" s="2">
        <f>IFERROR(__xludf.DUMMYFUNCTION("""COMPUTED_VALUE"""),22.0)</f>
        <v>22</v>
      </c>
      <c r="K144" s="3">
        <f>IFERROR(__xludf.DUMMYFUNCTION("""COMPUTED_VALUE"""),7582.0)</f>
        <v>7582</v>
      </c>
      <c r="L144" s="2">
        <f>IFERROR(__xludf.DUMMYFUNCTION("""COMPUTED_VALUE"""),163.0)</f>
        <v>163</v>
      </c>
      <c r="M144" s="3">
        <f>IFERROR(__xludf.DUMMYFUNCTION("""COMPUTED_VALUE"""),477650.0)</f>
        <v>477650</v>
      </c>
      <c r="N144" s="3">
        <f>IFERROR(__xludf.DUMMYFUNCTION("""COMPUTED_VALUE"""),99404.0)</f>
        <v>99404</v>
      </c>
      <c r="O144" s="3">
        <f>IFERROR(__xludf.DUMMYFUNCTION("""COMPUTED_VALUE"""),4805141.0)</f>
        <v>4805141</v>
      </c>
      <c r="P144" s="2" t="str">
        <f>IFERROR(__xludf.DUMMYFUNCTION("""COMPUTED_VALUE"""),"Africa")</f>
        <v>Africa</v>
      </c>
      <c r="Q144" s="2">
        <f>IFERROR(__xludf.DUMMYFUNCTION("""COMPUTED_VALUE"""),132.0)</f>
        <v>132</v>
      </c>
      <c r="R144" s="3">
        <f>IFERROR(__xludf.DUMMYFUNCTION("""COMPUTED_VALUE"""),6121.0)</f>
        <v>6121</v>
      </c>
      <c r="S144" s="2">
        <f>IFERROR(__xludf.DUMMYFUNCTION("""COMPUTED_VALUE"""),10.0)</f>
        <v>10</v>
      </c>
      <c r="T144" s="2"/>
      <c r="U144" s="2"/>
      <c r="V144" s="2">
        <f>IFERROR(__xludf.DUMMYFUNCTION("""COMPUTED_VALUE"""),88.0)</f>
        <v>88</v>
      </c>
    </row>
    <row r="145" ht="15.75" customHeight="1">
      <c r="A145" s="2">
        <f>IFERROR(__xludf.DUMMYFUNCTION("""COMPUTED_VALUE"""),136.0)</f>
        <v>136</v>
      </c>
      <c r="B145" s="2" t="str">
        <f>IFERROR(__xludf.DUMMYFUNCTION("""COMPUTED_VALUE"""),"Guyana")</f>
        <v>Guyana</v>
      </c>
      <c r="C145" s="3">
        <f>IFERROR(__xludf.DUMMYFUNCTION("""COMPUTED_VALUE"""),33748.0)</f>
        <v>33748</v>
      </c>
      <c r="D145" s="2"/>
      <c r="E145" s="2">
        <f>IFERROR(__xludf.DUMMYFUNCTION("""COMPUTED_VALUE"""),842.0)</f>
        <v>842</v>
      </c>
      <c r="F145" s="2"/>
      <c r="G145" s="3">
        <f>IFERROR(__xludf.DUMMYFUNCTION("""COMPUTED_VALUE"""),29004.0)</f>
        <v>29004</v>
      </c>
      <c r="H145" s="2"/>
      <c r="I145" s="3">
        <f>IFERROR(__xludf.DUMMYFUNCTION("""COMPUTED_VALUE"""),3902.0)</f>
        <v>3902</v>
      </c>
      <c r="J145" s="2">
        <f>IFERROR(__xludf.DUMMYFUNCTION("""COMPUTED_VALUE"""),29.0)</f>
        <v>29</v>
      </c>
      <c r="K145" s="3">
        <f>IFERROR(__xludf.DUMMYFUNCTION("""COMPUTED_VALUE"""),42644.0)</f>
        <v>42644</v>
      </c>
      <c r="L145" s="3">
        <f>IFERROR(__xludf.DUMMYFUNCTION("""COMPUTED_VALUE"""),1064.0)</f>
        <v>1064</v>
      </c>
      <c r="M145" s="3">
        <f>IFERROR(__xludf.DUMMYFUNCTION("""COMPUTED_VALUE"""),333152.0)</f>
        <v>333152</v>
      </c>
      <c r="N145" s="3">
        <f>IFERROR(__xludf.DUMMYFUNCTION("""COMPUTED_VALUE"""),420968.0)</f>
        <v>420968</v>
      </c>
      <c r="O145" s="3">
        <f>IFERROR(__xludf.DUMMYFUNCTION("""COMPUTED_VALUE"""),791396.0)</f>
        <v>791396</v>
      </c>
      <c r="P145" s="2" t="str">
        <f>IFERROR(__xludf.DUMMYFUNCTION("""COMPUTED_VALUE"""),"South America")</f>
        <v>South America</v>
      </c>
      <c r="Q145" s="2">
        <f>IFERROR(__xludf.DUMMYFUNCTION("""COMPUTED_VALUE"""),23.0)</f>
        <v>23</v>
      </c>
      <c r="R145" s="2">
        <f>IFERROR(__xludf.DUMMYFUNCTION("""COMPUTED_VALUE"""),940.0)</f>
        <v>940</v>
      </c>
      <c r="S145" s="2">
        <f>IFERROR(__xludf.DUMMYFUNCTION("""COMPUTED_VALUE"""),2.0)</f>
        <v>2</v>
      </c>
      <c r="T145" s="2"/>
      <c r="U145" s="2"/>
      <c r="V145" s="3">
        <f>IFERROR(__xludf.DUMMYFUNCTION("""COMPUTED_VALUE"""),4931.0)</f>
        <v>4931</v>
      </c>
    </row>
    <row r="146" ht="15.75" customHeight="1">
      <c r="A146" s="2">
        <f>IFERROR(__xludf.DUMMYFUNCTION("""COMPUTED_VALUE"""),137.0)</f>
        <v>137</v>
      </c>
      <c r="B146" s="2" t="str">
        <f>IFERROR(__xludf.DUMMYFUNCTION("""COMPUTED_VALUE"""),"Gabon")</f>
        <v>Gabon</v>
      </c>
      <c r="C146" s="3">
        <f>IFERROR(__xludf.DUMMYFUNCTION("""COMPUTED_VALUE"""),32576.0)</f>
        <v>32576</v>
      </c>
      <c r="D146" s="2"/>
      <c r="E146" s="2">
        <f>IFERROR(__xludf.DUMMYFUNCTION("""COMPUTED_VALUE"""),205.0)</f>
        <v>205</v>
      </c>
      <c r="F146" s="2"/>
      <c r="G146" s="3">
        <f>IFERROR(__xludf.DUMMYFUNCTION("""COMPUTED_VALUE"""),27466.0)</f>
        <v>27466</v>
      </c>
      <c r="H146" s="2"/>
      <c r="I146" s="3">
        <f>IFERROR(__xludf.DUMMYFUNCTION("""COMPUTED_VALUE"""),4905.0)</f>
        <v>4905</v>
      </c>
      <c r="J146" s="2">
        <f>IFERROR(__xludf.DUMMYFUNCTION("""COMPUTED_VALUE"""),21.0)</f>
        <v>21</v>
      </c>
      <c r="K146" s="3">
        <f>IFERROR(__xludf.DUMMYFUNCTION("""COMPUTED_VALUE"""),14209.0)</f>
        <v>14209</v>
      </c>
      <c r="L146" s="2">
        <f>IFERROR(__xludf.DUMMYFUNCTION("""COMPUTED_VALUE"""),89.0)</f>
        <v>89</v>
      </c>
      <c r="M146" s="3">
        <f>IFERROR(__xludf.DUMMYFUNCTION("""COMPUTED_VALUE"""),1253654.0)</f>
        <v>1253654</v>
      </c>
      <c r="N146" s="3">
        <f>IFERROR(__xludf.DUMMYFUNCTION("""COMPUTED_VALUE"""),546832.0)</f>
        <v>546832</v>
      </c>
      <c r="O146" s="3">
        <f>IFERROR(__xludf.DUMMYFUNCTION("""COMPUTED_VALUE"""),2292577.0)</f>
        <v>2292577</v>
      </c>
      <c r="P146" s="2" t="str">
        <f>IFERROR(__xludf.DUMMYFUNCTION("""COMPUTED_VALUE"""),"Africa")</f>
        <v>Africa</v>
      </c>
      <c r="Q146" s="2">
        <f>IFERROR(__xludf.DUMMYFUNCTION("""COMPUTED_VALUE"""),70.0)</f>
        <v>70</v>
      </c>
      <c r="R146" s="3">
        <f>IFERROR(__xludf.DUMMYFUNCTION("""COMPUTED_VALUE"""),11183.0)</f>
        <v>11183</v>
      </c>
      <c r="S146" s="2">
        <f>IFERROR(__xludf.DUMMYFUNCTION("""COMPUTED_VALUE"""),2.0)</f>
        <v>2</v>
      </c>
      <c r="T146" s="2"/>
      <c r="U146" s="2"/>
      <c r="V146" s="3">
        <f>IFERROR(__xludf.DUMMYFUNCTION("""COMPUTED_VALUE"""),2140.0)</f>
        <v>2140</v>
      </c>
    </row>
    <row r="147" ht="15.75" customHeight="1">
      <c r="A147" s="2">
        <f>IFERROR(__xludf.DUMMYFUNCTION("""COMPUTED_VALUE"""),138.0)</f>
        <v>138</v>
      </c>
      <c r="B147" s="2" t="str">
        <f>IFERROR(__xludf.DUMMYFUNCTION("""COMPUTED_VALUE"""),"Guinea")</f>
        <v>Guinea</v>
      </c>
      <c r="C147" s="3">
        <f>IFERROR(__xludf.DUMMYFUNCTION("""COMPUTED_VALUE"""),30523.0)</f>
        <v>30523</v>
      </c>
      <c r="D147" s="2"/>
      <c r="E147" s="2">
        <f>IFERROR(__xludf.DUMMYFUNCTION("""COMPUTED_VALUE"""),383.0)</f>
        <v>383</v>
      </c>
      <c r="F147" s="2"/>
      <c r="G147" s="3">
        <f>IFERROR(__xludf.DUMMYFUNCTION("""COMPUTED_VALUE"""),29126.0)</f>
        <v>29126</v>
      </c>
      <c r="H147" s="2"/>
      <c r="I147" s="3">
        <f>IFERROR(__xludf.DUMMYFUNCTION("""COMPUTED_VALUE"""),1014.0)</f>
        <v>1014</v>
      </c>
      <c r="J147" s="2">
        <f>IFERROR(__xludf.DUMMYFUNCTION("""COMPUTED_VALUE"""),24.0)</f>
        <v>24</v>
      </c>
      <c r="K147" s="3">
        <f>IFERROR(__xludf.DUMMYFUNCTION("""COMPUTED_VALUE"""),2247.0)</f>
        <v>2247</v>
      </c>
      <c r="L147" s="2">
        <f>IFERROR(__xludf.DUMMYFUNCTION("""COMPUTED_VALUE"""),28.0)</f>
        <v>28</v>
      </c>
      <c r="M147" s="3">
        <f>IFERROR(__xludf.DUMMYFUNCTION("""COMPUTED_VALUE"""),560520.0)</f>
        <v>560520</v>
      </c>
      <c r="N147" s="3">
        <f>IFERROR(__xludf.DUMMYFUNCTION("""COMPUTED_VALUE"""),41257.0)</f>
        <v>41257</v>
      </c>
      <c r="O147" s="3">
        <f>IFERROR(__xludf.DUMMYFUNCTION("""COMPUTED_VALUE"""),1.3585914E7)</f>
        <v>13585914</v>
      </c>
      <c r="P147" s="2" t="str">
        <f>IFERROR(__xludf.DUMMYFUNCTION("""COMPUTED_VALUE"""),"Africa")</f>
        <v>Africa</v>
      </c>
      <c r="Q147" s="2">
        <f>IFERROR(__xludf.DUMMYFUNCTION("""COMPUTED_VALUE"""),445.0)</f>
        <v>445</v>
      </c>
      <c r="R147" s="3">
        <f>IFERROR(__xludf.DUMMYFUNCTION("""COMPUTED_VALUE"""),35472.0)</f>
        <v>35472</v>
      </c>
      <c r="S147" s="2">
        <f>IFERROR(__xludf.DUMMYFUNCTION("""COMPUTED_VALUE"""),24.0)</f>
        <v>24</v>
      </c>
      <c r="T147" s="2"/>
      <c r="U147" s="2"/>
      <c r="V147" s="2">
        <f>IFERROR(__xludf.DUMMYFUNCTION("""COMPUTED_VALUE"""),75.0)</f>
        <v>75</v>
      </c>
    </row>
    <row r="148" ht="15.75" customHeight="1">
      <c r="A148" s="2">
        <f>IFERROR(__xludf.DUMMYFUNCTION("""COMPUTED_VALUE"""),139.0)</f>
        <v>139</v>
      </c>
      <c r="B148" s="2" t="str">
        <f>IFERROR(__xludf.DUMMYFUNCTION("""COMPUTED_VALUE"""),"Laos")</f>
        <v>Laos</v>
      </c>
      <c r="C148" s="3">
        <f>IFERROR(__xludf.DUMMYFUNCTION("""COMPUTED_VALUE"""),29398.0)</f>
        <v>29398</v>
      </c>
      <c r="D148" s="2" t="str">
        <f>IFERROR(__xludf.DUMMYFUNCTION("""COMPUTED_VALUE"""),"+549")</f>
        <v>+549</v>
      </c>
      <c r="E148" s="2">
        <f>IFERROR(__xludf.DUMMYFUNCTION("""COMPUTED_VALUE"""),33.0)</f>
        <v>33</v>
      </c>
      <c r="F148" s="2" t="str">
        <f>IFERROR(__xludf.DUMMYFUNCTION("""COMPUTED_VALUE"""),"+3")</f>
        <v>+3</v>
      </c>
      <c r="G148" s="3">
        <f>IFERROR(__xludf.DUMMYFUNCTION("""COMPUTED_VALUE"""),6558.0)</f>
        <v>6558</v>
      </c>
      <c r="H148" s="2"/>
      <c r="I148" s="3">
        <f>IFERROR(__xludf.DUMMYFUNCTION("""COMPUTED_VALUE"""),22807.0)</f>
        <v>22807</v>
      </c>
      <c r="J148" s="2"/>
      <c r="K148" s="3">
        <f>IFERROR(__xludf.DUMMYFUNCTION("""COMPUTED_VALUE"""),3967.0)</f>
        <v>3967</v>
      </c>
      <c r="L148" s="2">
        <f>IFERROR(__xludf.DUMMYFUNCTION("""COMPUTED_VALUE"""),4.0)</f>
        <v>4</v>
      </c>
      <c r="M148" s="3">
        <f>IFERROR(__xludf.DUMMYFUNCTION("""COMPUTED_VALUE"""),533030.0)</f>
        <v>533030</v>
      </c>
      <c r="N148" s="3">
        <f>IFERROR(__xludf.DUMMYFUNCTION("""COMPUTED_VALUE"""),71933.0)</f>
        <v>71933</v>
      </c>
      <c r="O148" s="3">
        <f>IFERROR(__xludf.DUMMYFUNCTION("""COMPUTED_VALUE"""),7410126.0)</f>
        <v>7410126</v>
      </c>
      <c r="P148" s="2" t="str">
        <f>IFERROR(__xludf.DUMMYFUNCTION("""COMPUTED_VALUE"""),"Asia")</f>
        <v>Asia</v>
      </c>
      <c r="Q148" s="2">
        <f>IFERROR(__xludf.DUMMYFUNCTION("""COMPUTED_VALUE"""),252.0)</f>
        <v>252</v>
      </c>
      <c r="R148" s="3">
        <f>IFERROR(__xludf.DUMMYFUNCTION("""COMPUTED_VALUE"""),224549.0)</f>
        <v>224549</v>
      </c>
      <c r="S148" s="2">
        <f>IFERROR(__xludf.DUMMYFUNCTION("""COMPUTED_VALUE"""),14.0)</f>
        <v>14</v>
      </c>
      <c r="T148" s="2">
        <f>IFERROR(__xludf.DUMMYFUNCTION("""COMPUTED_VALUE"""),74.0)</f>
        <v>74</v>
      </c>
      <c r="U148" s="2">
        <f>IFERROR(__xludf.DUMMYFUNCTION("""COMPUTED_VALUE"""),0.4)</f>
        <v>0.4</v>
      </c>
      <c r="V148" s="3">
        <f>IFERROR(__xludf.DUMMYFUNCTION("""COMPUTED_VALUE"""),3078.0)</f>
        <v>3078</v>
      </c>
    </row>
    <row r="149" ht="15.75" customHeight="1">
      <c r="A149" s="2">
        <f>IFERROR(__xludf.DUMMYFUNCTION("""COMPUTED_VALUE"""),140.0)</f>
        <v>140</v>
      </c>
      <c r="B149" s="2" t="str">
        <f>IFERROR(__xludf.DUMMYFUNCTION("""COMPUTED_VALUE"""),"Tanzania")</f>
        <v>Tanzania</v>
      </c>
      <c r="C149" s="3">
        <f>IFERROR(__xludf.DUMMYFUNCTION("""COMPUTED_VALUE"""),26034.0)</f>
        <v>26034</v>
      </c>
      <c r="D149" s="2" t="str">
        <f>IFERROR(__xludf.DUMMYFUNCTION("""COMPUTED_VALUE"""),"+77")</f>
        <v>+77</v>
      </c>
      <c r="E149" s="2">
        <f>IFERROR(__xludf.DUMMYFUNCTION("""COMPUTED_VALUE"""),724.0)</f>
        <v>724</v>
      </c>
      <c r="F149" s="2" t="str">
        <f>IFERROR(__xludf.DUMMYFUNCTION("""COMPUTED_VALUE"""),"+1")</f>
        <v>+1</v>
      </c>
      <c r="G149" s="2" t="str">
        <f>IFERROR(__xludf.DUMMYFUNCTION("""COMPUTED_VALUE"""),"N/A")</f>
        <v>N/A</v>
      </c>
      <c r="H149" s="2" t="str">
        <f>IFERROR(__xludf.DUMMYFUNCTION("""COMPUTED_VALUE"""),"N/A")</f>
        <v>N/A</v>
      </c>
      <c r="I149" s="2" t="str">
        <f>IFERROR(__xludf.DUMMYFUNCTION("""COMPUTED_VALUE"""),"N/A")</f>
        <v>N/A</v>
      </c>
      <c r="J149" s="2">
        <f>IFERROR(__xludf.DUMMYFUNCTION("""COMPUTED_VALUE"""),7.0)</f>
        <v>7</v>
      </c>
      <c r="K149" s="2">
        <f>IFERROR(__xludf.DUMMYFUNCTION("""COMPUTED_VALUE"""),421.0)</f>
        <v>421</v>
      </c>
      <c r="L149" s="2">
        <f>IFERROR(__xludf.DUMMYFUNCTION("""COMPUTED_VALUE"""),12.0)</f>
        <v>12</v>
      </c>
      <c r="M149" s="2"/>
      <c r="N149" s="2"/>
      <c r="O149" s="3">
        <f>IFERROR(__xludf.DUMMYFUNCTION("""COMPUTED_VALUE"""),6.1897988E7)</f>
        <v>61897988</v>
      </c>
      <c r="P149" s="2" t="str">
        <f>IFERROR(__xludf.DUMMYFUNCTION("""COMPUTED_VALUE"""),"Africa")</f>
        <v>Africa</v>
      </c>
      <c r="Q149" s="3">
        <f>IFERROR(__xludf.DUMMYFUNCTION("""COMPUTED_VALUE"""),2378.0)</f>
        <v>2378</v>
      </c>
      <c r="R149" s="3">
        <f>IFERROR(__xludf.DUMMYFUNCTION("""COMPUTED_VALUE"""),85494.0)</f>
        <v>85494</v>
      </c>
      <c r="S149" s="2"/>
      <c r="T149" s="2">
        <f>IFERROR(__xludf.DUMMYFUNCTION("""COMPUTED_VALUE"""),1.0)</f>
        <v>1</v>
      </c>
      <c r="U149" s="2">
        <f>IFERROR(__xludf.DUMMYFUNCTION("""COMPUTED_VALUE"""),0.02)</f>
        <v>0.02</v>
      </c>
      <c r="V149" s="2">
        <f>IFERROR(__xludf.DUMMYFUNCTION("""COMPUTED_VALUE"""),406.0)</f>
        <v>406</v>
      </c>
    </row>
    <row r="150" ht="15.75" customHeight="1">
      <c r="A150" s="2">
        <f>IFERROR(__xludf.DUMMYFUNCTION("""COMPUTED_VALUE"""),141.0)</f>
        <v>141</v>
      </c>
      <c r="B150" s="2" t="str">
        <f>IFERROR(__xludf.DUMMYFUNCTION("""COMPUTED_VALUE"""),"Togo")</f>
        <v>Togo</v>
      </c>
      <c r="C150" s="3">
        <f>IFERROR(__xludf.DUMMYFUNCTION("""COMPUTED_VALUE"""),25788.0)</f>
        <v>25788</v>
      </c>
      <c r="D150" s="2"/>
      <c r="E150" s="2">
        <f>IFERROR(__xludf.DUMMYFUNCTION("""COMPUTED_VALUE"""),236.0)</f>
        <v>236</v>
      </c>
      <c r="F150" s="2"/>
      <c r="G150" s="3">
        <f>IFERROR(__xludf.DUMMYFUNCTION("""COMPUTED_VALUE"""),24516.0)</f>
        <v>24516</v>
      </c>
      <c r="H150" s="2"/>
      <c r="I150" s="3">
        <f>IFERROR(__xludf.DUMMYFUNCTION("""COMPUTED_VALUE"""),1036.0)</f>
        <v>1036</v>
      </c>
      <c r="J150" s="2"/>
      <c r="K150" s="3">
        <f>IFERROR(__xludf.DUMMYFUNCTION("""COMPUTED_VALUE"""),3025.0)</f>
        <v>3025</v>
      </c>
      <c r="L150" s="2">
        <f>IFERROR(__xludf.DUMMYFUNCTION("""COMPUTED_VALUE"""),28.0)</f>
        <v>28</v>
      </c>
      <c r="M150" s="3">
        <f>IFERROR(__xludf.DUMMYFUNCTION("""COMPUTED_VALUE"""),527256.0)</f>
        <v>527256</v>
      </c>
      <c r="N150" s="3">
        <f>IFERROR(__xludf.DUMMYFUNCTION("""COMPUTED_VALUE"""),61843.0)</f>
        <v>61843</v>
      </c>
      <c r="O150" s="3">
        <f>IFERROR(__xludf.DUMMYFUNCTION("""COMPUTED_VALUE"""),8525682.0)</f>
        <v>8525682</v>
      </c>
      <c r="P150" s="2" t="str">
        <f>IFERROR(__xludf.DUMMYFUNCTION("""COMPUTED_VALUE"""),"Africa")</f>
        <v>Africa</v>
      </c>
      <c r="Q150" s="2">
        <f>IFERROR(__xludf.DUMMYFUNCTION("""COMPUTED_VALUE"""),331.0)</f>
        <v>331</v>
      </c>
      <c r="R150" s="3">
        <f>IFERROR(__xludf.DUMMYFUNCTION("""COMPUTED_VALUE"""),36126.0)</f>
        <v>36126</v>
      </c>
      <c r="S150" s="2">
        <f>IFERROR(__xludf.DUMMYFUNCTION("""COMPUTED_VALUE"""),16.0)</f>
        <v>16</v>
      </c>
      <c r="T150" s="2"/>
      <c r="U150" s="2"/>
      <c r="V150" s="2">
        <f>IFERROR(__xludf.DUMMYFUNCTION("""COMPUTED_VALUE"""),122.0)</f>
        <v>122</v>
      </c>
    </row>
    <row r="151" ht="15.75" customHeight="1">
      <c r="A151" s="2">
        <f>IFERROR(__xludf.DUMMYFUNCTION("""COMPUTED_VALUE"""),142.0)</f>
        <v>142</v>
      </c>
      <c r="B151" s="2" t="str">
        <f>IFERROR(__xludf.DUMMYFUNCTION("""COMPUTED_VALUE"""),"Benin")</f>
        <v>Benin</v>
      </c>
      <c r="C151" s="3">
        <f>IFERROR(__xludf.DUMMYFUNCTION("""COMPUTED_VALUE"""),24335.0)</f>
        <v>24335</v>
      </c>
      <c r="D151" s="2"/>
      <c r="E151" s="2">
        <f>IFERROR(__xludf.DUMMYFUNCTION("""COMPUTED_VALUE"""),159.0)</f>
        <v>159</v>
      </c>
      <c r="F151" s="2"/>
      <c r="G151" s="3">
        <f>IFERROR(__xludf.DUMMYFUNCTION("""COMPUTED_VALUE"""),23257.0)</f>
        <v>23257</v>
      </c>
      <c r="H151" s="2"/>
      <c r="I151" s="2">
        <f>IFERROR(__xludf.DUMMYFUNCTION("""COMPUTED_VALUE"""),919.0)</f>
        <v>919</v>
      </c>
      <c r="J151" s="2">
        <f>IFERROR(__xludf.DUMMYFUNCTION("""COMPUTED_VALUE"""),5.0)</f>
        <v>5</v>
      </c>
      <c r="K151" s="3">
        <f>IFERROR(__xludf.DUMMYFUNCTION("""COMPUTED_VALUE"""),1943.0)</f>
        <v>1943</v>
      </c>
      <c r="L151" s="2">
        <f>IFERROR(__xludf.DUMMYFUNCTION("""COMPUTED_VALUE"""),13.0)</f>
        <v>13</v>
      </c>
      <c r="M151" s="3">
        <f>IFERROR(__xludf.DUMMYFUNCTION("""COMPUTED_VALUE"""),604310.0)</f>
        <v>604310</v>
      </c>
      <c r="N151" s="3">
        <f>IFERROR(__xludf.DUMMYFUNCTION("""COMPUTED_VALUE"""),48240.0)</f>
        <v>48240</v>
      </c>
      <c r="O151" s="3">
        <f>IFERROR(__xludf.DUMMYFUNCTION("""COMPUTED_VALUE"""),1.2527176E7)</f>
        <v>12527176</v>
      </c>
      <c r="P151" s="2" t="str">
        <f>IFERROR(__xludf.DUMMYFUNCTION("""COMPUTED_VALUE"""),"Africa")</f>
        <v>Africa</v>
      </c>
      <c r="Q151" s="2">
        <f>IFERROR(__xludf.DUMMYFUNCTION("""COMPUTED_VALUE"""),515.0)</f>
        <v>515</v>
      </c>
      <c r="R151" s="3">
        <f>IFERROR(__xludf.DUMMYFUNCTION("""COMPUTED_VALUE"""),78787.0)</f>
        <v>78787</v>
      </c>
      <c r="S151" s="2">
        <f>IFERROR(__xludf.DUMMYFUNCTION("""COMPUTED_VALUE"""),21.0)</f>
        <v>21</v>
      </c>
      <c r="T151" s="2"/>
      <c r="U151" s="2"/>
      <c r="V151" s="2">
        <f>IFERROR(__xludf.DUMMYFUNCTION("""COMPUTED_VALUE"""),73.0)</f>
        <v>73</v>
      </c>
    </row>
    <row r="152" ht="15.75" customHeight="1">
      <c r="A152" s="2">
        <f>IFERROR(__xludf.DUMMYFUNCTION("""COMPUTED_VALUE"""),143.0)</f>
        <v>143</v>
      </c>
      <c r="B152" s="2" t="str">
        <f>IFERROR(__xludf.DUMMYFUNCTION("""COMPUTED_VALUE"""),"Papua New Guinea")</f>
        <v>Papua New Guinea</v>
      </c>
      <c r="C152" s="3">
        <f>IFERROR(__xludf.DUMMYFUNCTION("""COMPUTED_VALUE"""),23026.0)</f>
        <v>23026</v>
      </c>
      <c r="D152" s="2"/>
      <c r="E152" s="2">
        <f>IFERROR(__xludf.DUMMYFUNCTION("""COMPUTED_VALUE"""),245.0)</f>
        <v>245</v>
      </c>
      <c r="F152" s="2"/>
      <c r="G152" s="3">
        <f>IFERROR(__xludf.DUMMYFUNCTION("""COMPUTED_VALUE"""),19137.0)</f>
        <v>19137</v>
      </c>
      <c r="H152" s="2"/>
      <c r="I152" s="3">
        <f>IFERROR(__xludf.DUMMYFUNCTION("""COMPUTED_VALUE"""),3644.0)</f>
        <v>3644</v>
      </c>
      <c r="J152" s="2">
        <f>IFERROR(__xludf.DUMMYFUNCTION("""COMPUTED_VALUE"""),7.0)</f>
        <v>7</v>
      </c>
      <c r="K152" s="3">
        <f>IFERROR(__xludf.DUMMYFUNCTION("""COMPUTED_VALUE"""),2513.0)</f>
        <v>2513</v>
      </c>
      <c r="L152" s="2">
        <f>IFERROR(__xludf.DUMMYFUNCTION("""COMPUTED_VALUE"""),27.0)</f>
        <v>27</v>
      </c>
      <c r="M152" s="3">
        <f>IFERROR(__xludf.DUMMYFUNCTION("""COMPUTED_VALUE"""),197329.0)</f>
        <v>197329</v>
      </c>
      <c r="N152" s="3">
        <f>IFERROR(__xludf.DUMMYFUNCTION("""COMPUTED_VALUE"""),21536.0)</f>
        <v>21536</v>
      </c>
      <c r="O152" s="3">
        <f>IFERROR(__xludf.DUMMYFUNCTION("""COMPUTED_VALUE"""),9162894.0)</f>
        <v>9162894</v>
      </c>
      <c r="P152" s="2" t="str">
        <f>IFERROR(__xludf.DUMMYFUNCTION("""COMPUTED_VALUE"""),"Australia/Oceania")</f>
        <v>Australia/Oceania</v>
      </c>
      <c r="Q152" s="2">
        <f>IFERROR(__xludf.DUMMYFUNCTION("""COMPUTED_VALUE"""),398.0)</f>
        <v>398</v>
      </c>
      <c r="R152" s="3">
        <f>IFERROR(__xludf.DUMMYFUNCTION("""COMPUTED_VALUE"""),37400.0)</f>
        <v>37400</v>
      </c>
      <c r="S152" s="2">
        <f>IFERROR(__xludf.DUMMYFUNCTION("""COMPUTED_VALUE"""),46.0)</f>
        <v>46</v>
      </c>
      <c r="T152" s="2"/>
      <c r="U152" s="2"/>
      <c r="V152" s="2">
        <f>IFERROR(__xludf.DUMMYFUNCTION("""COMPUTED_VALUE"""),398.0)</f>
        <v>398</v>
      </c>
    </row>
    <row r="153" ht="15.75" customHeight="1">
      <c r="A153" s="2">
        <f>IFERROR(__xludf.DUMMYFUNCTION("""COMPUTED_VALUE"""),144.0)</f>
        <v>144</v>
      </c>
      <c r="B153" s="2" t="str">
        <f>IFERROR(__xludf.DUMMYFUNCTION("""COMPUTED_VALUE"""),"Haiti")</f>
        <v>Haiti</v>
      </c>
      <c r="C153" s="3">
        <f>IFERROR(__xludf.DUMMYFUNCTION("""COMPUTED_VALUE"""),22614.0)</f>
        <v>22614</v>
      </c>
      <c r="D153" s="2"/>
      <c r="E153" s="2">
        <f>IFERROR(__xludf.DUMMYFUNCTION("""COMPUTED_VALUE"""),643.0)</f>
        <v>643</v>
      </c>
      <c r="F153" s="2"/>
      <c r="G153" s="3">
        <f>IFERROR(__xludf.DUMMYFUNCTION("""COMPUTED_VALUE"""),19931.0)</f>
        <v>19931</v>
      </c>
      <c r="H153" s="2"/>
      <c r="I153" s="3">
        <f>IFERROR(__xludf.DUMMYFUNCTION("""COMPUTED_VALUE"""),2040.0)</f>
        <v>2040</v>
      </c>
      <c r="J153" s="2"/>
      <c r="K153" s="3">
        <f>IFERROR(__xludf.DUMMYFUNCTION("""COMPUTED_VALUE"""),1953.0)</f>
        <v>1953</v>
      </c>
      <c r="L153" s="2">
        <f>IFERROR(__xludf.DUMMYFUNCTION("""COMPUTED_VALUE"""),56.0)</f>
        <v>56</v>
      </c>
      <c r="M153" s="3">
        <f>IFERROR(__xludf.DUMMYFUNCTION("""COMPUTED_VALUE"""),120507.0)</f>
        <v>120507</v>
      </c>
      <c r="N153" s="3">
        <f>IFERROR(__xludf.DUMMYFUNCTION("""COMPUTED_VALUE"""),10407.0)</f>
        <v>10407</v>
      </c>
      <c r="O153" s="3">
        <f>IFERROR(__xludf.DUMMYFUNCTION("""COMPUTED_VALUE"""),1.1579762E7)</f>
        <v>11579762</v>
      </c>
      <c r="P153" s="2" t="str">
        <f>IFERROR(__xludf.DUMMYFUNCTION("""COMPUTED_VALUE"""),"North America")</f>
        <v>North America</v>
      </c>
      <c r="Q153" s="2">
        <f>IFERROR(__xludf.DUMMYFUNCTION("""COMPUTED_VALUE"""),512.0)</f>
        <v>512</v>
      </c>
      <c r="R153" s="3">
        <f>IFERROR(__xludf.DUMMYFUNCTION("""COMPUTED_VALUE"""),18009.0)</f>
        <v>18009</v>
      </c>
      <c r="S153" s="2">
        <f>IFERROR(__xludf.DUMMYFUNCTION("""COMPUTED_VALUE"""),96.0)</f>
        <v>96</v>
      </c>
      <c r="T153" s="2"/>
      <c r="U153" s="2"/>
      <c r="V153" s="2">
        <f>IFERROR(__xludf.DUMMYFUNCTION("""COMPUTED_VALUE"""),176.0)</f>
        <v>176</v>
      </c>
    </row>
    <row r="154" ht="15.75" customHeight="1">
      <c r="A154" s="2">
        <f>IFERROR(__xludf.DUMMYFUNCTION("""COMPUTED_VALUE"""),145.0)</f>
        <v>145</v>
      </c>
      <c r="B154" s="2" t="str">
        <f>IFERROR(__xludf.DUMMYFUNCTION("""COMPUTED_VALUE"""),"Belize")</f>
        <v>Belize</v>
      </c>
      <c r="C154" s="3">
        <f>IFERROR(__xludf.DUMMYFUNCTION("""COMPUTED_VALUE"""),22187.0)</f>
        <v>22187</v>
      </c>
      <c r="D154" s="2"/>
      <c r="E154" s="2">
        <f>IFERROR(__xludf.DUMMYFUNCTION("""COMPUTED_VALUE"""),427.0)</f>
        <v>427</v>
      </c>
      <c r="F154" s="2"/>
      <c r="G154" s="3">
        <f>IFERROR(__xludf.DUMMYFUNCTION("""COMPUTED_VALUE"""),19182.0)</f>
        <v>19182</v>
      </c>
      <c r="H154" s="2"/>
      <c r="I154" s="3">
        <f>IFERROR(__xludf.DUMMYFUNCTION("""COMPUTED_VALUE"""),2578.0)</f>
        <v>2578</v>
      </c>
      <c r="J154" s="2">
        <f>IFERROR(__xludf.DUMMYFUNCTION("""COMPUTED_VALUE"""),10.0)</f>
        <v>10</v>
      </c>
      <c r="K154" s="3">
        <f>IFERROR(__xludf.DUMMYFUNCTION("""COMPUTED_VALUE"""),54537.0)</f>
        <v>54537</v>
      </c>
      <c r="L154" s="3">
        <f>IFERROR(__xludf.DUMMYFUNCTION("""COMPUTED_VALUE"""),1050.0)</f>
        <v>1050</v>
      </c>
      <c r="M154" s="3">
        <f>IFERROR(__xludf.DUMMYFUNCTION("""COMPUTED_VALUE"""),273692.0)</f>
        <v>273692</v>
      </c>
      <c r="N154" s="3">
        <f>IFERROR(__xludf.DUMMYFUNCTION("""COMPUTED_VALUE"""),672754.0)</f>
        <v>672754</v>
      </c>
      <c r="O154" s="3">
        <f>IFERROR(__xludf.DUMMYFUNCTION("""COMPUTED_VALUE"""),406823.0)</f>
        <v>406823</v>
      </c>
      <c r="P154" s="2" t="str">
        <f>IFERROR(__xludf.DUMMYFUNCTION("""COMPUTED_VALUE"""),"North America")</f>
        <v>North America</v>
      </c>
      <c r="Q154" s="2">
        <f>IFERROR(__xludf.DUMMYFUNCTION("""COMPUTED_VALUE"""),18.0)</f>
        <v>18</v>
      </c>
      <c r="R154" s="2">
        <f>IFERROR(__xludf.DUMMYFUNCTION("""COMPUTED_VALUE"""),953.0)</f>
        <v>953</v>
      </c>
      <c r="S154" s="2">
        <f>IFERROR(__xludf.DUMMYFUNCTION("""COMPUTED_VALUE"""),1.0)</f>
        <v>1</v>
      </c>
      <c r="T154" s="2"/>
      <c r="U154" s="2"/>
      <c r="V154" s="3">
        <f>IFERROR(__xludf.DUMMYFUNCTION("""COMPUTED_VALUE"""),6337.0)</f>
        <v>6337</v>
      </c>
    </row>
    <row r="155" ht="15.75" customHeight="1">
      <c r="A155" s="2">
        <f>IFERROR(__xludf.DUMMYFUNCTION("""COMPUTED_VALUE"""),146.0)</f>
        <v>146</v>
      </c>
      <c r="B155" s="2" t="str">
        <f>IFERROR(__xludf.DUMMYFUNCTION("""COMPUTED_VALUE"""),"Seychelles")</f>
        <v>Seychelles</v>
      </c>
      <c r="C155" s="3">
        <f>IFERROR(__xludf.DUMMYFUNCTION("""COMPUTED_VALUE"""),21638.0)</f>
        <v>21638</v>
      </c>
      <c r="D155" s="2"/>
      <c r="E155" s="2">
        <f>IFERROR(__xludf.DUMMYFUNCTION("""COMPUTED_VALUE"""),118.0)</f>
        <v>118</v>
      </c>
      <c r="F155" s="2"/>
      <c r="G155" s="3">
        <f>IFERROR(__xludf.DUMMYFUNCTION("""COMPUTED_VALUE"""),21242.0)</f>
        <v>21242</v>
      </c>
      <c r="H155" s="2"/>
      <c r="I155" s="2">
        <f>IFERROR(__xludf.DUMMYFUNCTION("""COMPUTED_VALUE"""),278.0)</f>
        <v>278</v>
      </c>
      <c r="J155" s="2"/>
      <c r="K155" s="3">
        <f>IFERROR(__xludf.DUMMYFUNCTION("""COMPUTED_VALUE"""),218292.0)</f>
        <v>218292</v>
      </c>
      <c r="L155" s="3">
        <f>IFERROR(__xludf.DUMMYFUNCTION("""COMPUTED_VALUE"""),1190.0)</f>
        <v>1190</v>
      </c>
      <c r="M155" s="3">
        <f>IFERROR(__xludf.DUMMYFUNCTION("""COMPUTED_VALUE"""),21504.0)</f>
        <v>21504</v>
      </c>
      <c r="N155" s="3">
        <f>IFERROR(__xludf.DUMMYFUNCTION("""COMPUTED_VALUE"""),216940.0)</f>
        <v>216940</v>
      </c>
      <c r="O155" s="3">
        <f>IFERROR(__xludf.DUMMYFUNCTION("""COMPUTED_VALUE"""),99124.0)</f>
        <v>99124</v>
      </c>
      <c r="P155" s="2" t="str">
        <f>IFERROR(__xludf.DUMMYFUNCTION("""COMPUTED_VALUE"""),"Africa")</f>
        <v>Africa</v>
      </c>
      <c r="Q155" s="2">
        <f>IFERROR(__xludf.DUMMYFUNCTION("""COMPUTED_VALUE"""),5.0)</f>
        <v>5</v>
      </c>
      <c r="R155" s="2">
        <f>IFERROR(__xludf.DUMMYFUNCTION("""COMPUTED_VALUE"""),840.0)</f>
        <v>840</v>
      </c>
      <c r="S155" s="2">
        <f>IFERROR(__xludf.DUMMYFUNCTION("""COMPUTED_VALUE"""),5.0)</f>
        <v>5</v>
      </c>
      <c r="T155" s="2"/>
      <c r="U155" s="2"/>
      <c r="V155" s="3">
        <f>IFERROR(__xludf.DUMMYFUNCTION("""COMPUTED_VALUE"""),2805.0)</f>
        <v>2805</v>
      </c>
    </row>
    <row r="156" ht="15.75" customHeight="1">
      <c r="A156" s="2">
        <f>IFERROR(__xludf.DUMMYFUNCTION("""COMPUTED_VALUE"""),147.0)</f>
        <v>147</v>
      </c>
      <c r="B156" s="2" t="str">
        <f>IFERROR(__xludf.DUMMYFUNCTION("""COMPUTED_VALUE"""),"Bahamas")</f>
        <v>Bahamas</v>
      </c>
      <c r="C156" s="3">
        <f>IFERROR(__xludf.DUMMYFUNCTION("""COMPUTED_VALUE"""),21580.0)</f>
        <v>21580</v>
      </c>
      <c r="D156" s="2"/>
      <c r="E156" s="2">
        <f>IFERROR(__xludf.DUMMYFUNCTION("""COMPUTED_VALUE"""),590.0)</f>
        <v>590</v>
      </c>
      <c r="F156" s="2"/>
      <c r="G156" s="3">
        <f>IFERROR(__xludf.DUMMYFUNCTION("""COMPUTED_VALUE"""),19683.0)</f>
        <v>19683</v>
      </c>
      <c r="H156" s="2"/>
      <c r="I156" s="3">
        <f>IFERROR(__xludf.DUMMYFUNCTION("""COMPUTED_VALUE"""),1307.0)</f>
        <v>1307</v>
      </c>
      <c r="J156" s="2">
        <f>IFERROR(__xludf.DUMMYFUNCTION("""COMPUTED_VALUE"""),15.0)</f>
        <v>15</v>
      </c>
      <c r="K156" s="3">
        <f>IFERROR(__xludf.DUMMYFUNCTION("""COMPUTED_VALUE"""),54216.0)</f>
        <v>54216</v>
      </c>
      <c r="L156" s="3">
        <f>IFERROR(__xludf.DUMMYFUNCTION("""COMPUTED_VALUE"""),1482.0)</f>
        <v>1482</v>
      </c>
      <c r="M156" s="3">
        <f>IFERROR(__xludf.DUMMYFUNCTION("""COMPUTED_VALUE"""),149289.0)</f>
        <v>149289</v>
      </c>
      <c r="N156" s="3">
        <f>IFERROR(__xludf.DUMMYFUNCTION("""COMPUTED_VALUE"""),375063.0)</f>
        <v>375063</v>
      </c>
      <c r="O156" s="3">
        <f>IFERROR(__xludf.DUMMYFUNCTION("""COMPUTED_VALUE"""),398037.0)</f>
        <v>398037</v>
      </c>
      <c r="P156" s="2" t="str">
        <f>IFERROR(__xludf.DUMMYFUNCTION("""COMPUTED_VALUE"""),"North America")</f>
        <v>North America</v>
      </c>
      <c r="Q156" s="2">
        <f>IFERROR(__xludf.DUMMYFUNCTION("""COMPUTED_VALUE"""),18.0)</f>
        <v>18</v>
      </c>
      <c r="R156" s="2">
        <f>IFERROR(__xludf.DUMMYFUNCTION("""COMPUTED_VALUE"""),675.0)</f>
        <v>675</v>
      </c>
      <c r="S156" s="2">
        <f>IFERROR(__xludf.DUMMYFUNCTION("""COMPUTED_VALUE"""),3.0)</f>
        <v>3</v>
      </c>
      <c r="T156" s="2"/>
      <c r="U156" s="2"/>
      <c r="V156" s="3">
        <f>IFERROR(__xludf.DUMMYFUNCTION("""COMPUTED_VALUE"""),3284.0)</f>
        <v>3284</v>
      </c>
    </row>
    <row r="157" ht="15.75" customHeight="1">
      <c r="A157" s="2">
        <f>IFERROR(__xludf.DUMMYFUNCTION("""COMPUTED_VALUE"""),148.0)</f>
        <v>148</v>
      </c>
      <c r="B157" s="2" t="str">
        <f>IFERROR(__xludf.DUMMYFUNCTION("""COMPUTED_VALUE"""),"Lesotho")</f>
        <v>Lesotho</v>
      </c>
      <c r="C157" s="3">
        <f>IFERROR(__xludf.DUMMYFUNCTION("""COMPUTED_VALUE"""),21460.0)</f>
        <v>21460</v>
      </c>
      <c r="D157" s="2"/>
      <c r="E157" s="2">
        <f>IFERROR(__xludf.DUMMYFUNCTION("""COMPUTED_VALUE"""),652.0)</f>
        <v>652</v>
      </c>
      <c r="F157" s="2"/>
      <c r="G157" s="3">
        <f>IFERROR(__xludf.DUMMYFUNCTION("""COMPUTED_VALUE"""),11885.0)</f>
        <v>11885</v>
      </c>
      <c r="H157" s="2"/>
      <c r="I157" s="3">
        <f>IFERROR(__xludf.DUMMYFUNCTION("""COMPUTED_VALUE"""),8923.0)</f>
        <v>8923</v>
      </c>
      <c r="J157" s="2"/>
      <c r="K157" s="3">
        <f>IFERROR(__xludf.DUMMYFUNCTION("""COMPUTED_VALUE"""),9917.0)</f>
        <v>9917</v>
      </c>
      <c r="L157" s="2">
        <f>IFERROR(__xludf.DUMMYFUNCTION("""COMPUTED_VALUE"""),301.0)</f>
        <v>301</v>
      </c>
      <c r="M157" s="3">
        <f>IFERROR(__xludf.DUMMYFUNCTION("""COMPUTED_VALUE"""),222670.0)</f>
        <v>222670</v>
      </c>
      <c r="N157" s="3">
        <f>IFERROR(__xludf.DUMMYFUNCTION("""COMPUTED_VALUE"""),102901.0)</f>
        <v>102901</v>
      </c>
      <c r="O157" s="3">
        <f>IFERROR(__xludf.DUMMYFUNCTION("""COMPUTED_VALUE"""),2163915.0)</f>
        <v>2163915</v>
      </c>
      <c r="P157" s="2" t="str">
        <f>IFERROR(__xludf.DUMMYFUNCTION("""COMPUTED_VALUE"""),"Africa")</f>
        <v>Africa</v>
      </c>
      <c r="Q157" s="2">
        <f>IFERROR(__xludf.DUMMYFUNCTION("""COMPUTED_VALUE"""),101.0)</f>
        <v>101</v>
      </c>
      <c r="R157" s="3">
        <f>IFERROR(__xludf.DUMMYFUNCTION("""COMPUTED_VALUE"""),3319.0)</f>
        <v>3319</v>
      </c>
      <c r="S157" s="2">
        <f>IFERROR(__xludf.DUMMYFUNCTION("""COMPUTED_VALUE"""),10.0)</f>
        <v>10</v>
      </c>
      <c r="T157" s="2"/>
      <c r="U157" s="2"/>
      <c r="V157" s="3">
        <f>IFERROR(__xludf.DUMMYFUNCTION("""COMPUTED_VALUE"""),4124.0)</f>
        <v>4124</v>
      </c>
    </row>
    <row r="158" ht="15.75" customHeight="1">
      <c r="A158" s="2">
        <f>IFERROR(__xludf.DUMMYFUNCTION("""COMPUTED_VALUE"""),149.0)</f>
        <v>149</v>
      </c>
      <c r="B158" s="2" t="str">
        <f>IFERROR(__xludf.DUMMYFUNCTION("""COMPUTED_VALUE"""),"Somalia")</f>
        <v>Somalia</v>
      </c>
      <c r="C158" s="3">
        <f>IFERROR(__xludf.DUMMYFUNCTION("""COMPUTED_VALUE"""),21269.0)</f>
        <v>21269</v>
      </c>
      <c r="D158" s="2"/>
      <c r="E158" s="3">
        <f>IFERROR(__xludf.DUMMYFUNCTION("""COMPUTED_VALUE"""),1180.0)</f>
        <v>1180</v>
      </c>
      <c r="F158" s="2"/>
      <c r="G158" s="3">
        <f>IFERROR(__xludf.DUMMYFUNCTION("""COMPUTED_VALUE"""),9927.0)</f>
        <v>9927</v>
      </c>
      <c r="H158" s="2"/>
      <c r="I158" s="3">
        <f>IFERROR(__xludf.DUMMYFUNCTION("""COMPUTED_VALUE"""),10162.0)</f>
        <v>10162</v>
      </c>
      <c r="J158" s="2"/>
      <c r="K158" s="3">
        <f>IFERROR(__xludf.DUMMYFUNCTION("""COMPUTED_VALUE"""),1292.0)</f>
        <v>1292</v>
      </c>
      <c r="L158" s="2">
        <f>IFERROR(__xludf.DUMMYFUNCTION("""COMPUTED_VALUE"""),72.0)</f>
        <v>72</v>
      </c>
      <c r="M158" s="3">
        <f>IFERROR(__xludf.DUMMYFUNCTION("""COMPUTED_VALUE"""),239292.0)</f>
        <v>239292</v>
      </c>
      <c r="N158" s="3">
        <f>IFERROR(__xludf.DUMMYFUNCTION("""COMPUTED_VALUE"""),14540.0)</f>
        <v>14540</v>
      </c>
      <c r="O158" s="3">
        <f>IFERROR(__xludf.DUMMYFUNCTION("""COMPUTED_VALUE"""),1.6457172E7)</f>
        <v>16457172</v>
      </c>
      <c r="P158" s="2" t="str">
        <f>IFERROR(__xludf.DUMMYFUNCTION("""COMPUTED_VALUE"""),"Africa")</f>
        <v>Africa</v>
      </c>
      <c r="Q158" s="2">
        <f>IFERROR(__xludf.DUMMYFUNCTION("""COMPUTED_VALUE"""),774.0)</f>
        <v>774</v>
      </c>
      <c r="R158" s="3">
        <f>IFERROR(__xludf.DUMMYFUNCTION("""COMPUTED_VALUE"""),13947.0)</f>
        <v>13947</v>
      </c>
      <c r="S158" s="2">
        <f>IFERROR(__xludf.DUMMYFUNCTION("""COMPUTED_VALUE"""),69.0)</f>
        <v>69</v>
      </c>
      <c r="T158" s="2"/>
      <c r="U158" s="2"/>
      <c r="V158" s="2">
        <f>IFERROR(__xludf.DUMMYFUNCTION("""COMPUTED_VALUE"""),617.0)</f>
        <v>617</v>
      </c>
    </row>
    <row r="159" ht="15.75" customHeight="1">
      <c r="A159" s="2">
        <f>IFERROR(__xludf.DUMMYFUNCTION("""COMPUTED_VALUE"""),150.0)</f>
        <v>150</v>
      </c>
      <c r="B159" s="2" t="str">
        <f>IFERROR(__xludf.DUMMYFUNCTION("""COMPUTED_VALUE"""),"Mayotte")</f>
        <v>Mayotte</v>
      </c>
      <c r="C159" s="3">
        <f>IFERROR(__xludf.DUMMYFUNCTION("""COMPUTED_VALUE"""),20397.0)</f>
        <v>20397</v>
      </c>
      <c r="D159" s="2"/>
      <c r="E159" s="2">
        <f>IFERROR(__xludf.DUMMYFUNCTION("""COMPUTED_VALUE"""),180.0)</f>
        <v>180</v>
      </c>
      <c r="F159" s="2"/>
      <c r="G159" s="3">
        <f>IFERROR(__xludf.DUMMYFUNCTION("""COMPUTED_VALUE"""),2964.0)</f>
        <v>2964</v>
      </c>
      <c r="H159" s="2"/>
      <c r="I159" s="3">
        <f>IFERROR(__xludf.DUMMYFUNCTION("""COMPUTED_VALUE"""),17253.0)</f>
        <v>17253</v>
      </c>
      <c r="J159" s="2"/>
      <c r="K159" s="3">
        <f>IFERROR(__xludf.DUMMYFUNCTION("""COMPUTED_VALUE"""),72538.0)</f>
        <v>72538</v>
      </c>
      <c r="L159" s="2">
        <f>IFERROR(__xludf.DUMMYFUNCTION("""COMPUTED_VALUE"""),640.0)</f>
        <v>640</v>
      </c>
      <c r="M159" s="3">
        <f>IFERROR(__xludf.DUMMYFUNCTION("""COMPUTED_VALUE"""),176919.0)</f>
        <v>176919</v>
      </c>
      <c r="N159" s="3">
        <f>IFERROR(__xludf.DUMMYFUNCTION("""COMPUTED_VALUE"""),629175.0)</f>
        <v>629175</v>
      </c>
      <c r="O159" s="3">
        <f>IFERROR(__xludf.DUMMYFUNCTION("""COMPUTED_VALUE"""),281192.0)</f>
        <v>281192</v>
      </c>
      <c r="P159" s="2" t="str">
        <f>IFERROR(__xludf.DUMMYFUNCTION("""COMPUTED_VALUE"""),"Africa")</f>
        <v>Africa</v>
      </c>
      <c r="Q159" s="2">
        <f>IFERROR(__xludf.DUMMYFUNCTION("""COMPUTED_VALUE"""),14.0)</f>
        <v>14</v>
      </c>
      <c r="R159" s="3">
        <f>IFERROR(__xludf.DUMMYFUNCTION("""COMPUTED_VALUE"""),1562.0)</f>
        <v>1562</v>
      </c>
      <c r="S159" s="2">
        <f>IFERROR(__xludf.DUMMYFUNCTION("""COMPUTED_VALUE"""),2.0)</f>
        <v>2</v>
      </c>
      <c r="T159" s="2"/>
      <c r="U159" s="2"/>
      <c r="V159" s="3">
        <f>IFERROR(__xludf.DUMMYFUNCTION("""COMPUTED_VALUE"""),61357.0)</f>
        <v>61357</v>
      </c>
    </row>
    <row r="160" ht="15.75" customHeight="1">
      <c r="A160" s="2">
        <f>IFERROR(__xludf.DUMMYFUNCTION("""COMPUTED_VALUE"""),151.0)</f>
        <v>151</v>
      </c>
      <c r="B160" s="2" t="str">
        <f>IFERROR(__xludf.DUMMYFUNCTION("""COMPUTED_VALUE"""),"Timor-Leste")</f>
        <v>Timor-Leste</v>
      </c>
      <c r="C160" s="3">
        <f>IFERROR(__xludf.DUMMYFUNCTION("""COMPUTED_VALUE"""),19681.0)</f>
        <v>19681</v>
      </c>
      <c r="D160" s="2" t="str">
        <f>IFERROR(__xludf.DUMMYFUNCTION("""COMPUTED_VALUE"""),"+6")</f>
        <v>+6</v>
      </c>
      <c r="E160" s="2">
        <f>IFERROR(__xludf.DUMMYFUNCTION("""COMPUTED_VALUE"""),119.0)</f>
        <v>119</v>
      </c>
      <c r="F160" s="2"/>
      <c r="G160" s="3">
        <f>IFERROR(__xludf.DUMMYFUNCTION("""COMPUTED_VALUE"""),19400.0)</f>
        <v>19400</v>
      </c>
      <c r="H160" s="2" t="str">
        <f>IFERROR(__xludf.DUMMYFUNCTION("""COMPUTED_VALUE"""),"+52")</f>
        <v>+52</v>
      </c>
      <c r="I160" s="2">
        <f>IFERROR(__xludf.DUMMYFUNCTION("""COMPUTED_VALUE"""),162.0)</f>
        <v>162</v>
      </c>
      <c r="J160" s="2"/>
      <c r="K160" s="3">
        <f>IFERROR(__xludf.DUMMYFUNCTION("""COMPUTED_VALUE"""),14574.0)</f>
        <v>14574</v>
      </c>
      <c r="L160" s="2">
        <f>IFERROR(__xludf.DUMMYFUNCTION("""COMPUTED_VALUE"""),88.0)</f>
        <v>88</v>
      </c>
      <c r="M160" s="3">
        <f>IFERROR(__xludf.DUMMYFUNCTION("""COMPUTED_VALUE"""),169501.0)</f>
        <v>169501</v>
      </c>
      <c r="N160" s="3">
        <f>IFERROR(__xludf.DUMMYFUNCTION("""COMPUTED_VALUE"""),125516.0)</f>
        <v>125516</v>
      </c>
      <c r="O160" s="3">
        <f>IFERROR(__xludf.DUMMYFUNCTION("""COMPUTED_VALUE"""),1350429.0)</f>
        <v>1350429</v>
      </c>
      <c r="P160" s="2" t="str">
        <f>IFERROR(__xludf.DUMMYFUNCTION("""COMPUTED_VALUE"""),"Asia")</f>
        <v>Asia</v>
      </c>
      <c r="Q160" s="2">
        <f>IFERROR(__xludf.DUMMYFUNCTION("""COMPUTED_VALUE"""),69.0)</f>
        <v>69</v>
      </c>
      <c r="R160" s="3">
        <f>IFERROR(__xludf.DUMMYFUNCTION("""COMPUTED_VALUE"""),11348.0)</f>
        <v>11348</v>
      </c>
      <c r="S160" s="2">
        <f>IFERROR(__xludf.DUMMYFUNCTION("""COMPUTED_VALUE"""),8.0)</f>
        <v>8</v>
      </c>
      <c r="T160" s="2">
        <f>IFERROR(__xludf.DUMMYFUNCTION("""COMPUTED_VALUE"""),4.0)</f>
        <v>4</v>
      </c>
      <c r="U160" s="2"/>
      <c r="V160" s="2">
        <f>IFERROR(__xludf.DUMMYFUNCTION("""COMPUTED_VALUE"""),120.0)</f>
        <v>120</v>
      </c>
    </row>
    <row r="161" ht="15.75" customHeight="1">
      <c r="A161" s="2">
        <f>IFERROR(__xludf.DUMMYFUNCTION("""COMPUTED_VALUE"""),152.0)</f>
        <v>152</v>
      </c>
      <c r="B161" s="2" t="str">
        <f>IFERROR(__xludf.DUMMYFUNCTION("""COMPUTED_VALUE"""),"Burundi")</f>
        <v>Burundi</v>
      </c>
      <c r="C161" s="3">
        <f>IFERROR(__xludf.DUMMYFUNCTION("""COMPUTED_VALUE"""),19257.0)</f>
        <v>19257</v>
      </c>
      <c r="D161" s="2"/>
      <c r="E161" s="2">
        <f>IFERROR(__xludf.DUMMYFUNCTION("""COMPUTED_VALUE"""),38.0)</f>
        <v>38</v>
      </c>
      <c r="F161" s="2"/>
      <c r="G161" s="2">
        <f>IFERROR(__xludf.DUMMYFUNCTION("""COMPUTED_VALUE"""),773.0)</f>
        <v>773</v>
      </c>
      <c r="H161" s="2"/>
      <c r="I161" s="3">
        <f>IFERROR(__xludf.DUMMYFUNCTION("""COMPUTED_VALUE"""),18446.0)</f>
        <v>18446</v>
      </c>
      <c r="J161" s="2"/>
      <c r="K161" s="3">
        <f>IFERROR(__xludf.DUMMYFUNCTION("""COMPUTED_VALUE"""),1560.0)</f>
        <v>1560</v>
      </c>
      <c r="L161" s="2">
        <f>IFERROR(__xludf.DUMMYFUNCTION("""COMPUTED_VALUE"""),3.0)</f>
        <v>3</v>
      </c>
      <c r="M161" s="3">
        <f>IFERROR(__xludf.DUMMYFUNCTION("""COMPUTED_VALUE"""),345742.0)</f>
        <v>345742</v>
      </c>
      <c r="N161" s="3">
        <f>IFERROR(__xludf.DUMMYFUNCTION("""COMPUTED_VALUE"""),28016.0)</f>
        <v>28016</v>
      </c>
      <c r="O161" s="3">
        <f>IFERROR(__xludf.DUMMYFUNCTION("""COMPUTED_VALUE"""),1.2341062E7)</f>
        <v>12341062</v>
      </c>
      <c r="P161" s="2" t="str">
        <f>IFERROR(__xludf.DUMMYFUNCTION("""COMPUTED_VALUE"""),"Africa")</f>
        <v>Africa</v>
      </c>
      <c r="Q161" s="2">
        <f>IFERROR(__xludf.DUMMYFUNCTION("""COMPUTED_VALUE"""),641.0)</f>
        <v>641</v>
      </c>
      <c r="R161" s="3">
        <f>IFERROR(__xludf.DUMMYFUNCTION("""COMPUTED_VALUE"""),324765.0)</f>
        <v>324765</v>
      </c>
      <c r="S161" s="2">
        <f>IFERROR(__xludf.DUMMYFUNCTION("""COMPUTED_VALUE"""),36.0)</f>
        <v>36</v>
      </c>
      <c r="T161" s="2"/>
      <c r="U161" s="2"/>
      <c r="V161" s="3">
        <f>IFERROR(__xludf.DUMMYFUNCTION("""COMPUTED_VALUE"""),1495.0)</f>
        <v>1495</v>
      </c>
    </row>
    <row r="162" ht="15.75" customHeight="1">
      <c r="A162" s="2">
        <f>IFERROR(__xludf.DUMMYFUNCTION("""COMPUTED_VALUE"""),153.0)</f>
        <v>153</v>
      </c>
      <c r="B162" s="2" t="str">
        <f>IFERROR(__xludf.DUMMYFUNCTION("""COMPUTED_VALUE"""),"Tajikistan")</f>
        <v>Tajikistan</v>
      </c>
      <c r="C162" s="3">
        <f>IFERROR(__xludf.DUMMYFUNCTION("""COMPUTED_VALUE"""),17084.0)</f>
        <v>17084</v>
      </c>
      <c r="D162" s="2"/>
      <c r="E162" s="2">
        <f>IFERROR(__xludf.DUMMYFUNCTION("""COMPUTED_VALUE"""),124.0)</f>
        <v>124</v>
      </c>
      <c r="F162" s="2"/>
      <c r="G162" s="3">
        <f>IFERROR(__xludf.DUMMYFUNCTION("""COMPUTED_VALUE"""),16960.0)</f>
        <v>16960</v>
      </c>
      <c r="H162" s="2"/>
      <c r="I162" s="2">
        <f>IFERROR(__xludf.DUMMYFUNCTION("""COMPUTED_VALUE"""),0.0)</f>
        <v>0</v>
      </c>
      <c r="J162" s="2"/>
      <c r="K162" s="3">
        <f>IFERROR(__xludf.DUMMYFUNCTION("""COMPUTED_VALUE"""),1741.0)</f>
        <v>1741</v>
      </c>
      <c r="L162" s="2">
        <f>IFERROR(__xludf.DUMMYFUNCTION("""COMPUTED_VALUE"""),13.0)</f>
        <v>13</v>
      </c>
      <c r="M162" s="2"/>
      <c r="N162" s="2"/>
      <c r="O162" s="3">
        <f>IFERROR(__xludf.DUMMYFUNCTION("""COMPUTED_VALUE"""),9810347.0)</f>
        <v>9810347</v>
      </c>
      <c r="P162" s="2" t="str">
        <f>IFERROR(__xludf.DUMMYFUNCTION("""COMPUTED_VALUE"""),"Asia")</f>
        <v>Asia</v>
      </c>
      <c r="Q162" s="2">
        <f>IFERROR(__xludf.DUMMYFUNCTION("""COMPUTED_VALUE"""),574.0)</f>
        <v>574</v>
      </c>
      <c r="R162" s="3">
        <f>IFERROR(__xludf.DUMMYFUNCTION("""COMPUTED_VALUE"""),79116.0)</f>
        <v>79116</v>
      </c>
      <c r="S162" s="2"/>
      <c r="T162" s="2"/>
      <c r="U162" s="2"/>
      <c r="V162" s="2"/>
    </row>
    <row r="163" ht="15.75" customHeight="1">
      <c r="A163" s="2">
        <f>IFERROR(__xludf.DUMMYFUNCTION("""COMPUTED_VALUE"""),154.0)</f>
        <v>154</v>
      </c>
      <c r="B163" s="2" t="str">
        <f>IFERROR(__xludf.DUMMYFUNCTION("""COMPUTED_VALUE"""),"Curaçao")</f>
        <v>Curaçao</v>
      </c>
      <c r="C163" s="3">
        <f>IFERROR(__xludf.DUMMYFUNCTION("""COMPUTED_VALUE"""),16804.0)</f>
        <v>16804</v>
      </c>
      <c r="D163" s="2"/>
      <c r="E163" s="2">
        <f>IFERROR(__xludf.DUMMYFUNCTION("""COMPUTED_VALUE"""),168.0)</f>
        <v>168</v>
      </c>
      <c r="F163" s="2"/>
      <c r="G163" s="3">
        <f>IFERROR(__xludf.DUMMYFUNCTION("""COMPUTED_VALUE"""),16331.0)</f>
        <v>16331</v>
      </c>
      <c r="H163" s="2"/>
      <c r="I163" s="2">
        <f>IFERROR(__xludf.DUMMYFUNCTION("""COMPUTED_VALUE"""),305.0)</f>
        <v>305</v>
      </c>
      <c r="J163" s="2">
        <f>IFERROR(__xludf.DUMMYFUNCTION("""COMPUTED_VALUE"""),4.0)</f>
        <v>4</v>
      </c>
      <c r="K163" s="3">
        <f>IFERROR(__xludf.DUMMYFUNCTION("""COMPUTED_VALUE"""),101873.0)</f>
        <v>101873</v>
      </c>
      <c r="L163" s="3">
        <f>IFERROR(__xludf.DUMMYFUNCTION("""COMPUTED_VALUE"""),1018.0)</f>
        <v>1018</v>
      </c>
      <c r="M163" s="3">
        <f>IFERROR(__xludf.DUMMYFUNCTION("""COMPUTED_VALUE"""),292262.0)</f>
        <v>292262</v>
      </c>
      <c r="N163" s="3">
        <f>IFERROR(__xludf.DUMMYFUNCTION("""COMPUTED_VALUE"""),1771822.0)</f>
        <v>1771822</v>
      </c>
      <c r="O163" s="3">
        <f>IFERROR(__xludf.DUMMYFUNCTION("""COMPUTED_VALUE"""),164950.0)</f>
        <v>164950</v>
      </c>
      <c r="P163" s="2" t="str">
        <f>IFERROR(__xludf.DUMMYFUNCTION("""COMPUTED_VALUE"""),"North America")</f>
        <v>North America</v>
      </c>
      <c r="Q163" s="2">
        <f>IFERROR(__xludf.DUMMYFUNCTION("""COMPUTED_VALUE"""),10.0)</f>
        <v>10</v>
      </c>
      <c r="R163" s="2">
        <f>IFERROR(__xludf.DUMMYFUNCTION("""COMPUTED_VALUE"""),982.0)</f>
        <v>982</v>
      </c>
      <c r="S163" s="2">
        <f>IFERROR(__xludf.DUMMYFUNCTION("""COMPUTED_VALUE"""),1.0)</f>
        <v>1</v>
      </c>
      <c r="T163" s="2"/>
      <c r="U163" s="2"/>
      <c r="V163" s="3">
        <f>IFERROR(__xludf.DUMMYFUNCTION("""COMPUTED_VALUE"""),1849.0)</f>
        <v>1849</v>
      </c>
    </row>
    <row r="164" ht="15.75" customHeight="1">
      <c r="A164" s="2">
        <f>IFERROR(__xludf.DUMMYFUNCTION("""COMPUTED_VALUE"""),155.0)</f>
        <v>155</v>
      </c>
      <c r="B164" s="2" t="str">
        <f>IFERROR(__xludf.DUMMYFUNCTION("""COMPUTED_VALUE"""),"Taiwan")</f>
        <v>Taiwan</v>
      </c>
      <c r="C164" s="3">
        <f>IFERROR(__xludf.DUMMYFUNCTION("""COMPUTED_VALUE"""),16309.0)</f>
        <v>16309</v>
      </c>
      <c r="D164" s="2" t="str">
        <f>IFERROR(__xludf.DUMMYFUNCTION("""COMPUTED_VALUE"""),"+4")</f>
        <v>+4</v>
      </c>
      <c r="E164" s="2">
        <f>IFERROR(__xludf.DUMMYFUNCTION("""COMPUTED_VALUE"""),846.0)</f>
        <v>846</v>
      </c>
      <c r="F164" s="2"/>
      <c r="G164" s="3">
        <f>IFERROR(__xludf.DUMMYFUNCTION("""COMPUTED_VALUE"""),15313.0)</f>
        <v>15313</v>
      </c>
      <c r="H164" s="2" t="str">
        <f>IFERROR(__xludf.DUMMYFUNCTION("""COMPUTED_VALUE"""),"+7")</f>
        <v>+7</v>
      </c>
      <c r="I164" s="2">
        <f>IFERROR(__xludf.DUMMYFUNCTION("""COMPUTED_VALUE"""),150.0)</f>
        <v>150</v>
      </c>
      <c r="J164" s="2"/>
      <c r="K164" s="2">
        <f>IFERROR(__xludf.DUMMYFUNCTION("""COMPUTED_VALUE"""),683.0)</f>
        <v>683</v>
      </c>
      <c r="L164" s="2">
        <f>IFERROR(__xludf.DUMMYFUNCTION("""COMPUTED_VALUE"""),35.0)</f>
        <v>35</v>
      </c>
      <c r="M164" s="3">
        <f>IFERROR(__xludf.DUMMYFUNCTION("""COMPUTED_VALUE"""),6783662.0)</f>
        <v>6783662</v>
      </c>
      <c r="N164" s="3">
        <f>IFERROR(__xludf.DUMMYFUNCTION("""COMPUTED_VALUE"""),284170.0)</f>
        <v>284170</v>
      </c>
      <c r="O164" s="3">
        <f>IFERROR(__xludf.DUMMYFUNCTION("""COMPUTED_VALUE"""),2.3871809E7)</f>
        <v>23871809</v>
      </c>
      <c r="P164" s="2" t="str">
        <f>IFERROR(__xludf.DUMMYFUNCTION("""COMPUTED_VALUE"""),"Asia")</f>
        <v>Asia</v>
      </c>
      <c r="Q164" s="3">
        <f>IFERROR(__xludf.DUMMYFUNCTION("""COMPUTED_VALUE"""),1464.0)</f>
        <v>1464</v>
      </c>
      <c r="R164" s="3">
        <f>IFERROR(__xludf.DUMMYFUNCTION("""COMPUTED_VALUE"""),28217.0)</f>
        <v>28217</v>
      </c>
      <c r="S164" s="2">
        <f>IFERROR(__xludf.DUMMYFUNCTION("""COMPUTED_VALUE"""),4.0)</f>
        <v>4</v>
      </c>
      <c r="T164" s="2">
        <f>IFERROR(__xludf.DUMMYFUNCTION("""COMPUTED_VALUE"""),0.2)</f>
        <v>0.2</v>
      </c>
      <c r="U164" s="2"/>
      <c r="V164" s="2">
        <f>IFERROR(__xludf.DUMMYFUNCTION("""COMPUTED_VALUE"""),6.0)</f>
        <v>6</v>
      </c>
    </row>
    <row r="165" ht="15.75" customHeight="1">
      <c r="A165" s="2">
        <f>IFERROR(__xludf.DUMMYFUNCTION("""COMPUTED_VALUE"""),156.0)</f>
        <v>156</v>
      </c>
      <c r="B165" s="2" t="str">
        <f>IFERROR(__xludf.DUMMYFUNCTION("""COMPUTED_VALUE"""),"Mauritius")</f>
        <v>Mauritius</v>
      </c>
      <c r="C165" s="3">
        <f>IFERROR(__xludf.DUMMYFUNCTION("""COMPUTED_VALUE"""),16291.0)</f>
        <v>16291</v>
      </c>
      <c r="D165" s="2"/>
      <c r="E165" s="2">
        <f>IFERROR(__xludf.DUMMYFUNCTION("""COMPUTED_VALUE"""),110.0)</f>
        <v>110</v>
      </c>
      <c r="F165" s="2"/>
      <c r="G165" s="3">
        <f>IFERROR(__xludf.DUMMYFUNCTION("""COMPUTED_VALUE"""),1854.0)</f>
        <v>1854</v>
      </c>
      <c r="H165" s="2"/>
      <c r="I165" s="3">
        <f>IFERROR(__xludf.DUMMYFUNCTION("""COMPUTED_VALUE"""),14327.0)</f>
        <v>14327</v>
      </c>
      <c r="J165" s="2"/>
      <c r="K165" s="3">
        <f>IFERROR(__xludf.DUMMYFUNCTION("""COMPUTED_VALUE"""),12783.0)</f>
        <v>12783</v>
      </c>
      <c r="L165" s="2">
        <f>IFERROR(__xludf.DUMMYFUNCTION("""COMPUTED_VALUE"""),86.0)</f>
        <v>86</v>
      </c>
      <c r="M165" s="3">
        <f>IFERROR(__xludf.DUMMYFUNCTION("""COMPUTED_VALUE"""),358675.0)</f>
        <v>358675</v>
      </c>
      <c r="N165" s="3">
        <f>IFERROR(__xludf.DUMMYFUNCTION("""COMPUTED_VALUE"""),281432.0)</f>
        <v>281432</v>
      </c>
      <c r="O165" s="3">
        <f>IFERROR(__xludf.DUMMYFUNCTION("""COMPUTED_VALUE"""),1274462.0)</f>
        <v>1274462</v>
      </c>
      <c r="P165" s="2" t="str">
        <f>IFERROR(__xludf.DUMMYFUNCTION("""COMPUTED_VALUE"""),"Africa")</f>
        <v>Africa</v>
      </c>
      <c r="Q165" s="2">
        <f>IFERROR(__xludf.DUMMYFUNCTION("""COMPUTED_VALUE"""),78.0)</f>
        <v>78</v>
      </c>
      <c r="R165" s="3">
        <f>IFERROR(__xludf.DUMMYFUNCTION("""COMPUTED_VALUE"""),11586.0)</f>
        <v>11586</v>
      </c>
      <c r="S165" s="2">
        <f>IFERROR(__xludf.DUMMYFUNCTION("""COMPUTED_VALUE"""),4.0)</f>
        <v>4</v>
      </c>
      <c r="T165" s="2"/>
      <c r="U165" s="2"/>
      <c r="V165" s="3">
        <f>IFERROR(__xludf.DUMMYFUNCTION("""COMPUTED_VALUE"""),11242.0)</f>
        <v>11242</v>
      </c>
    </row>
    <row r="166" ht="15.75" customHeight="1">
      <c r="A166" s="2">
        <f>IFERROR(__xludf.DUMMYFUNCTION("""COMPUTED_VALUE"""),157.0)</f>
        <v>157</v>
      </c>
      <c r="B166" s="2" t="str">
        <f>IFERROR(__xludf.DUMMYFUNCTION("""COMPUTED_VALUE"""),"Aruba")</f>
        <v>Aruba</v>
      </c>
      <c r="C166" s="3">
        <f>IFERROR(__xludf.DUMMYFUNCTION("""COMPUTED_VALUE"""),15645.0)</f>
        <v>15645</v>
      </c>
      <c r="D166" s="2"/>
      <c r="E166" s="2">
        <f>IFERROR(__xludf.DUMMYFUNCTION("""COMPUTED_VALUE"""),170.0)</f>
        <v>170</v>
      </c>
      <c r="F166" s="2"/>
      <c r="G166" s="3">
        <f>IFERROR(__xludf.DUMMYFUNCTION("""COMPUTED_VALUE"""),15324.0)</f>
        <v>15324</v>
      </c>
      <c r="H166" s="2"/>
      <c r="I166" s="2">
        <f>IFERROR(__xludf.DUMMYFUNCTION("""COMPUTED_VALUE"""),151.0)</f>
        <v>151</v>
      </c>
      <c r="J166" s="2">
        <f>IFERROR(__xludf.DUMMYFUNCTION("""COMPUTED_VALUE"""),7.0)</f>
        <v>7</v>
      </c>
      <c r="K166" s="3">
        <f>IFERROR(__xludf.DUMMYFUNCTION("""COMPUTED_VALUE"""),145745.0)</f>
        <v>145745</v>
      </c>
      <c r="L166" s="3">
        <f>IFERROR(__xludf.DUMMYFUNCTION("""COMPUTED_VALUE"""),1584.0)</f>
        <v>1584</v>
      </c>
      <c r="M166" s="3">
        <f>IFERROR(__xludf.DUMMYFUNCTION("""COMPUTED_VALUE"""),177885.0)</f>
        <v>177885</v>
      </c>
      <c r="N166" s="3">
        <f>IFERROR(__xludf.DUMMYFUNCTION("""COMPUTED_VALUE"""),1657134.0)</f>
        <v>1657134</v>
      </c>
      <c r="O166" s="3">
        <f>IFERROR(__xludf.DUMMYFUNCTION("""COMPUTED_VALUE"""),107345.0)</f>
        <v>107345</v>
      </c>
      <c r="P166" s="2" t="str">
        <f>IFERROR(__xludf.DUMMYFUNCTION("""COMPUTED_VALUE"""),"North America")</f>
        <v>North America</v>
      </c>
      <c r="Q166" s="2">
        <f>IFERROR(__xludf.DUMMYFUNCTION("""COMPUTED_VALUE"""),7.0)</f>
        <v>7</v>
      </c>
      <c r="R166" s="2">
        <f>IFERROR(__xludf.DUMMYFUNCTION("""COMPUTED_VALUE"""),631.0)</f>
        <v>631</v>
      </c>
      <c r="S166" s="2">
        <f>IFERROR(__xludf.DUMMYFUNCTION("""COMPUTED_VALUE"""),1.0)</f>
        <v>1</v>
      </c>
      <c r="T166" s="2"/>
      <c r="U166" s="2"/>
      <c r="V166" s="3">
        <f>IFERROR(__xludf.DUMMYFUNCTION("""COMPUTED_VALUE"""),1407.0)</f>
        <v>1407</v>
      </c>
    </row>
    <row r="167" ht="15.75" customHeight="1">
      <c r="A167" s="2">
        <f>IFERROR(__xludf.DUMMYFUNCTION("""COMPUTED_VALUE"""),158.0)</f>
        <v>158</v>
      </c>
      <c r="B167" s="2" t="str">
        <f>IFERROR(__xludf.DUMMYFUNCTION("""COMPUTED_VALUE"""),"Mali")</f>
        <v>Mali</v>
      </c>
      <c r="C167" s="3">
        <f>IFERROR(__xludf.DUMMYFUNCTION("""COMPUTED_VALUE"""),15511.0)</f>
        <v>15511</v>
      </c>
      <c r="D167" s="2" t="str">
        <f>IFERROR(__xludf.DUMMYFUNCTION("""COMPUTED_VALUE"""),"+21")</f>
        <v>+21</v>
      </c>
      <c r="E167" s="2">
        <f>IFERROR(__xludf.DUMMYFUNCTION("""COMPUTED_VALUE"""),554.0)</f>
        <v>554</v>
      </c>
      <c r="F167" s="2" t="str">
        <f>IFERROR(__xludf.DUMMYFUNCTION("""COMPUTED_VALUE"""),"+1")</f>
        <v>+1</v>
      </c>
      <c r="G167" s="3">
        <f>IFERROR(__xludf.DUMMYFUNCTION("""COMPUTED_VALUE"""),14392.0)</f>
        <v>14392</v>
      </c>
      <c r="H167" s="2" t="str">
        <f>IFERROR(__xludf.DUMMYFUNCTION("""COMPUTED_VALUE"""),"+10")</f>
        <v>+10</v>
      </c>
      <c r="I167" s="2">
        <f>IFERROR(__xludf.DUMMYFUNCTION("""COMPUTED_VALUE"""),565.0)</f>
        <v>565</v>
      </c>
      <c r="J167" s="2"/>
      <c r="K167" s="2">
        <f>IFERROR(__xludf.DUMMYFUNCTION("""COMPUTED_VALUE"""),739.0)</f>
        <v>739</v>
      </c>
      <c r="L167" s="2">
        <f>IFERROR(__xludf.DUMMYFUNCTION("""COMPUTED_VALUE"""),26.0)</f>
        <v>26</v>
      </c>
      <c r="M167" s="3">
        <f>IFERROR(__xludf.DUMMYFUNCTION("""COMPUTED_VALUE"""),433257.0)</f>
        <v>433257</v>
      </c>
      <c r="N167" s="3">
        <f>IFERROR(__xludf.DUMMYFUNCTION("""COMPUTED_VALUE"""),20639.0)</f>
        <v>20639</v>
      </c>
      <c r="O167" s="3">
        <f>IFERROR(__xludf.DUMMYFUNCTION("""COMPUTED_VALUE"""),2.0992576E7)</f>
        <v>20992576</v>
      </c>
      <c r="P167" s="2" t="str">
        <f>IFERROR(__xludf.DUMMYFUNCTION("""COMPUTED_VALUE"""),"Africa")</f>
        <v>Africa</v>
      </c>
      <c r="Q167" s="3">
        <f>IFERROR(__xludf.DUMMYFUNCTION("""COMPUTED_VALUE"""),1353.0)</f>
        <v>1353</v>
      </c>
      <c r="R167" s="3">
        <f>IFERROR(__xludf.DUMMYFUNCTION("""COMPUTED_VALUE"""),37893.0)</f>
        <v>37893</v>
      </c>
      <c r="S167" s="2">
        <f>IFERROR(__xludf.DUMMYFUNCTION("""COMPUTED_VALUE"""),48.0)</f>
        <v>48</v>
      </c>
      <c r="T167" s="2">
        <f>IFERROR(__xludf.DUMMYFUNCTION("""COMPUTED_VALUE"""),1.0)</f>
        <v>1</v>
      </c>
      <c r="U167" s="2">
        <f>IFERROR(__xludf.DUMMYFUNCTION("""COMPUTED_VALUE"""),0.05)</f>
        <v>0.05</v>
      </c>
      <c r="V167" s="2">
        <f>IFERROR(__xludf.DUMMYFUNCTION("""COMPUTED_VALUE"""),27.0)</f>
        <v>27</v>
      </c>
    </row>
    <row r="168" ht="15.75" customHeight="1">
      <c r="A168" s="2">
        <f>IFERROR(__xludf.DUMMYFUNCTION("""COMPUTED_VALUE"""),159.0)</f>
        <v>159</v>
      </c>
      <c r="B168" s="2" t="str">
        <f>IFERROR(__xludf.DUMMYFUNCTION("""COMPUTED_VALUE"""),"Andorra")</f>
        <v>Andorra</v>
      </c>
      <c r="C168" s="3">
        <f>IFERROR(__xludf.DUMMYFUNCTION("""COMPUTED_VALUE"""),15307.0)</f>
        <v>15307</v>
      </c>
      <c r="D168" s="2"/>
      <c r="E168" s="2">
        <f>IFERROR(__xludf.DUMMYFUNCTION("""COMPUTED_VALUE"""),130.0)</f>
        <v>130</v>
      </c>
      <c r="F168" s="2"/>
      <c r="G168" s="3">
        <f>IFERROR(__xludf.DUMMYFUNCTION("""COMPUTED_VALUE"""),15098.0)</f>
        <v>15098</v>
      </c>
      <c r="H168" s="2"/>
      <c r="I168" s="2">
        <f>IFERROR(__xludf.DUMMYFUNCTION("""COMPUTED_VALUE"""),79.0)</f>
        <v>79</v>
      </c>
      <c r="J168" s="2">
        <f>IFERROR(__xludf.DUMMYFUNCTION("""COMPUTED_VALUE"""),4.0)</f>
        <v>4</v>
      </c>
      <c r="K168" s="3">
        <f>IFERROR(__xludf.DUMMYFUNCTION("""COMPUTED_VALUE"""),197706.0)</f>
        <v>197706</v>
      </c>
      <c r="L168" s="3">
        <f>IFERROR(__xludf.DUMMYFUNCTION("""COMPUTED_VALUE"""),1679.0)</f>
        <v>1679</v>
      </c>
      <c r="M168" s="3">
        <f>IFERROR(__xludf.DUMMYFUNCTION("""COMPUTED_VALUE"""),193595.0)</f>
        <v>193595</v>
      </c>
      <c r="N168" s="3">
        <f>IFERROR(__xludf.DUMMYFUNCTION("""COMPUTED_VALUE"""),2500484.0)</f>
        <v>2500484</v>
      </c>
      <c r="O168" s="3">
        <f>IFERROR(__xludf.DUMMYFUNCTION("""COMPUTED_VALUE"""),77423.0)</f>
        <v>77423</v>
      </c>
      <c r="P168" s="2" t="str">
        <f>IFERROR(__xludf.DUMMYFUNCTION("""COMPUTED_VALUE"""),"Europe")</f>
        <v>Europe</v>
      </c>
      <c r="Q168" s="2">
        <f>IFERROR(__xludf.DUMMYFUNCTION("""COMPUTED_VALUE"""),5.0)</f>
        <v>5</v>
      </c>
      <c r="R168" s="2">
        <f>IFERROR(__xludf.DUMMYFUNCTION("""COMPUTED_VALUE"""),596.0)</f>
        <v>596</v>
      </c>
      <c r="S168" s="2">
        <f>IFERROR(__xludf.DUMMYFUNCTION("""COMPUTED_VALUE"""),0.0)</f>
        <v>0</v>
      </c>
      <c r="T168" s="2"/>
      <c r="U168" s="2"/>
      <c r="V168" s="3">
        <f>IFERROR(__xludf.DUMMYFUNCTION("""COMPUTED_VALUE"""),1020.0)</f>
        <v>1020</v>
      </c>
    </row>
    <row r="169" ht="15.75" customHeight="1">
      <c r="A169" s="2">
        <f>IFERROR(__xludf.DUMMYFUNCTION("""COMPUTED_VALUE"""),160.0)</f>
        <v>160</v>
      </c>
      <c r="B169" s="2" t="str">
        <f>IFERROR(__xludf.DUMMYFUNCTION("""COMPUTED_VALUE"""),"Nicaragua")</f>
        <v>Nicaragua</v>
      </c>
      <c r="C169" s="3">
        <f>IFERROR(__xludf.DUMMYFUNCTION("""COMPUTED_VALUE"""),15134.0)</f>
        <v>15134</v>
      </c>
      <c r="D169" s="2"/>
      <c r="E169" s="2">
        <f>IFERROR(__xludf.DUMMYFUNCTION("""COMPUTED_VALUE"""),205.0)</f>
        <v>205</v>
      </c>
      <c r="F169" s="2"/>
      <c r="G169" s="3">
        <f>IFERROR(__xludf.DUMMYFUNCTION("""COMPUTED_VALUE"""),4225.0)</f>
        <v>4225</v>
      </c>
      <c r="H169" s="2"/>
      <c r="I169" s="3">
        <f>IFERROR(__xludf.DUMMYFUNCTION("""COMPUTED_VALUE"""),10704.0)</f>
        <v>10704</v>
      </c>
      <c r="J169" s="2"/>
      <c r="K169" s="3">
        <f>IFERROR(__xludf.DUMMYFUNCTION("""COMPUTED_VALUE"""),2250.0)</f>
        <v>2250</v>
      </c>
      <c r="L169" s="2">
        <f>IFERROR(__xludf.DUMMYFUNCTION("""COMPUTED_VALUE"""),30.0)</f>
        <v>30</v>
      </c>
      <c r="M169" s="2"/>
      <c r="N169" s="2"/>
      <c r="O169" s="3">
        <f>IFERROR(__xludf.DUMMYFUNCTION("""COMPUTED_VALUE"""),6725051.0)</f>
        <v>6725051</v>
      </c>
      <c r="P169" s="2" t="str">
        <f>IFERROR(__xludf.DUMMYFUNCTION("""COMPUTED_VALUE"""),"North America")</f>
        <v>North America</v>
      </c>
      <c r="Q169" s="2">
        <f>IFERROR(__xludf.DUMMYFUNCTION("""COMPUTED_VALUE"""),444.0)</f>
        <v>444</v>
      </c>
      <c r="R169" s="3">
        <f>IFERROR(__xludf.DUMMYFUNCTION("""COMPUTED_VALUE"""),32805.0)</f>
        <v>32805</v>
      </c>
      <c r="S169" s="2"/>
      <c r="T169" s="2"/>
      <c r="U169" s="2"/>
      <c r="V169" s="3">
        <f>IFERROR(__xludf.DUMMYFUNCTION("""COMPUTED_VALUE"""),1592.0)</f>
        <v>1592</v>
      </c>
    </row>
    <row r="170" ht="15.75" customHeight="1">
      <c r="A170" s="2">
        <f>IFERROR(__xludf.DUMMYFUNCTION("""COMPUTED_VALUE"""),161.0)</f>
        <v>161</v>
      </c>
      <c r="B170" s="2" t="str">
        <f>IFERROR(__xludf.DUMMYFUNCTION("""COMPUTED_VALUE"""),"Congo")</f>
        <v>Congo</v>
      </c>
      <c r="C170" s="3">
        <f>IFERROR(__xludf.DUMMYFUNCTION("""COMPUTED_VALUE"""),14833.0)</f>
        <v>14833</v>
      </c>
      <c r="D170" s="2"/>
      <c r="E170" s="2">
        <f>IFERROR(__xludf.DUMMYFUNCTION("""COMPUTED_VALUE"""),206.0)</f>
        <v>206</v>
      </c>
      <c r="F170" s="2"/>
      <c r="G170" s="3">
        <f>IFERROR(__xludf.DUMMYFUNCTION("""COMPUTED_VALUE"""),12421.0)</f>
        <v>12421</v>
      </c>
      <c r="H170" s="2"/>
      <c r="I170" s="3">
        <f>IFERROR(__xludf.DUMMYFUNCTION("""COMPUTED_VALUE"""),2206.0)</f>
        <v>2206</v>
      </c>
      <c r="J170" s="2"/>
      <c r="K170" s="3">
        <f>IFERROR(__xludf.DUMMYFUNCTION("""COMPUTED_VALUE"""),2606.0)</f>
        <v>2606</v>
      </c>
      <c r="L170" s="2">
        <f>IFERROR(__xludf.DUMMYFUNCTION("""COMPUTED_VALUE"""),36.0)</f>
        <v>36</v>
      </c>
      <c r="M170" s="3">
        <f>IFERROR(__xludf.DUMMYFUNCTION("""COMPUTED_VALUE"""),188207.0)</f>
        <v>188207</v>
      </c>
      <c r="N170" s="3">
        <f>IFERROR(__xludf.DUMMYFUNCTION("""COMPUTED_VALUE"""),33071.0)</f>
        <v>33071</v>
      </c>
      <c r="O170" s="3">
        <f>IFERROR(__xludf.DUMMYFUNCTION("""COMPUTED_VALUE"""),5690925.0)</f>
        <v>5690925</v>
      </c>
      <c r="P170" s="2" t="str">
        <f>IFERROR(__xludf.DUMMYFUNCTION("""COMPUTED_VALUE"""),"Africa")</f>
        <v>Africa</v>
      </c>
      <c r="Q170" s="2">
        <f>IFERROR(__xludf.DUMMYFUNCTION("""COMPUTED_VALUE"""),384.0)</f>
        <v>384</v>
      </c>
      <c r="R170" s="3">
        <f>IFERROR(__xludf.DUMMYFUNCTION("""COMPUTED_VALUE"""),27626.0)</f>
        <v>27626</v>
      </c>
      <c r="S170" s="2">
        <f>IFERROR(__xludf.DUMMYFUNCTION("""COMPUTED_VALUE"""),30.0)</f>
        <v>30</v>
      </c>
      <c r="T170" s="2"/>
      <c r="U170" s="2"/>
      <c r="V170" s="2">
        <f>IFERROR(__xludf.DUMMYFUNCTION("""COMPUTED_VALUE"""),388.0)</f>
        <v>388</v>
      </c>
    </row>
    <row r="171" ht="15.75" customHeight="1">
      <c r="A171" s="2">
        <f>IFERROR(__xludf.DUMMYFUNCTION("""COMPUTED_VALUE"""),162.0)</f>
        <v>162</v>
      </c>
      <c r="B171" s="2" t="str">
        <f>IFERROR(__xludf.DUMMYFUNCTION("""COMPUTED_VALUE"""),"Burkina Faso")</f>
        <v>Burkina Faso</v>
      </c>
      <c r="C171" s="3">
        <f>IFERROR(__xludf.DUMMYFUNCTION("""COMPUTED_VALUE"""),14516.0)</f>
        <v>14516</v>
      </c>
      <c r="D171" s="2"/>
      <c r="E171" s="2">
        <f>IFERROR(__xludf.DUMMYFUNCTION("""COMPUTED_VALUE"""),195.0)</f>
        <v>195</v>
      </c>
      <c r="F171" s="2"/>
      <c r="G171" s="3">
        <f>IFERROR(__xludf.DUMMYFUNCTION("""COMPUTED_VALUE"""),14028.0)</f>
        <v>14028</v>
      </c>
      <c r="H171" s="2"/>
      <c r="I171" s="2">
        <f>IFERROR(__xludf.DUMMYFUNCTION("""COMPUTED_VALUE"""),293.0)</f>
        <v>293</v>
      </c>
      <c r="J171" s="2"/>
      <c r="K171" s="2">
        <f>IFERROR(__xludf.DUMMYFUNCTION("""COMPUTED_VALUE"""),671.0)</f>
        <v>671</v>
      </c>
      <c r="L171" s="2">
        <f>IFERROR(__xludf.DUMMYFUNCTION("""COMPUTED_VALUE"""),9.0)</f>
        <v>9</v>
      </c>
      <c r="M171" s="3">
        <f>IFERROR(__xludf.DUMMYFUNCTION("""COMPUTED_VALUE"""),219552.0)</f>
        <v>219552</v>
      </c>
      <c r="N171" s="3">
        <f>IFERROR(__xludf.DUMMYFUNCTION("""COMPUTED_VALUE"""),10149.0)</f>
        <v>10149</v>
      </c>
      <c r="O171" s="3">
        <f>IFERROR(__xludf.DUMMYFUNCTION("""COMPUTED_VALUE"""),2.1632339E7)</f>
        <v>21632339</v>
      </c>
      <c r="P171" s="2" t="str">
        <f>IFERROR(__xludf.DUMMYFUNCTION("""COMPUTED_VALUE"""),"Africa")</f>
        <v>Africa</v>
      </c>
      <c r="Q171" s="3">
        <f>IFERROR(__xludf.DUMMYFUNCTION("""COMPUTED_VALUE"""),1490.0)</f>
        <v>1490</v>
      </c>
      <c r="R171" s="3">
        <f>IFERROR(__xludf.DUMMYFUNCTION("""COMPUTED_VALUE"""),110935.0)</f>
        <v>110935</v>
      </c>
      <c r="S171" s="2">
        <f>IFERROR(__xludf.DUMMYFUNCTION("""COMPUTED_VALUE"""),99.0)</f>
        <v>99</v>
      </c>
      <c r="T171" s="2"/>
      <c r="U171" s="2"/>
      <c r="V171" s="2">
        <f>IFERROR(__xludf.DUMMYFUNCTION("""COMPUTED_VALUE"""),14.0)</f>
        <v>14</v>
      </c>
    </row>
    <row r="172" ht="15.75" customHeight="1">
      <c r="A172" s="2">
        <f>IFERROR(__xludf.DUMMYFUNCTION("""COMPUTED_VALUE"""),163.0)</f>
        <v>163</v>
      </c>
      <c r="B172" s="2" t="str">
        <f>IFERROR(__xludf.DUMMYFUNCTION("""COMPUTED_VALUE"""),"Djibouti")</f>
        <v>Djibouti</v>
      </c>
      <c r="C172" s="3">
        <f>IFERROR(__xludf.DUMMYFUNCTION("""COMPUTED_VALUE"""),13269.0)</f>
        <v>13269</v>
      </c>
      <c r="D172" s="2"/>
      <c r="E172" s="2">
        <f>IFERROR(__xludf.DUMMYFUNCTION("""COMPUTED_VALUE"""),177.0)</f>
        <v>177</v>
      </c>
      <c r="F172" s="2"/>
      <c r="G172" s="3">
        <f>IFERROR(__xludf.DUMMYFUNCTION("""COMPUTED_VALUE"""),12849.0)</f>
        <v>12849</v>
      </c>
      <c r="H172" s="2"/>
      <c r="I172" s="2">
        <f>IFERROR(__xludf.DUMMYFUNCTION("""COMPUTED_VALUE"""),243.0)</f>
        <v>243</v>
      </c>
      <c r="J172" s="2"/>
      <c r="K172" s="3">
        <f>IFERROR(__xludf.DUMMYFUNCTION("""COMPUTED_VALUE"""),13186.0)</f>
        <v>13186</v>
      </c>
      <c r="L172" s="2">
        <f>IFERROR(__xludf.DUMMYFUNCTION("""COMPUTED_VALUE"""),176.0)</f>
        <v>176</v>
      </c>
      <c r="M172" s="3">
        <f>IFERROR(__xludf.DUMMYFUNCTION("""COMPUTED_VALUE"""),227614.0)</f>
        <v>227614</v>
      </c>
      <c r="N172" s="3">
        <f>IFERROR(__xludf.DUMMYFUNCTION("""COMPUTED_VALUE"""),226186.0)</f>
        <v>226186</v>
      </c>
      <c r="O172" s="3">
        <f>IFERROR(__xludf.DUMMYFUNCTION("""COMPUTED_VALUE"""),1006313.0)</f>
        <v>1006313</v>
      </c>
      <c r="P172" s="2" t="str">
        <f>IFERROR(__xludf.DUMMYFUNCTION("""COMPUTED_VALUE"""),"Africa")</f>
        <v>Africa</v>
      </c>
      <c r="Q172" s="2">
        <f>IFERROR(__xludf.DUMMYFUNCTION("""COMPUTED_VALUE"""),76.0)</f>
        <v>76</v>
      </c>
      <c r="R172" s="3">
        <f>IFERROR(__xludf.DUMMYFUNCTION("""COMPUTED_VALUE"""),5685.0)</f>
        <v>5685</v>
      </c>
      <c r="S172" s="2">
        <f>IFERROR(__xludf.DUMMYFUNCTION("""COMPUTED_VALUE"""),4.0)</f>
        <v>4</v>
      </c>
      <c r="T172" s="2"/>
      <c r="U172" s="2"/>
      <c r="V172" s="2">
        <f>IFERROR(__xludf.DUMMYFUNCTION("""COMPUTED_VALUE"""),241.0)</f>
        <v>241</v>
      </c>
    </row>
    <row r="173" ht="15.75" customHeight="1">
      <c r="A173" s="2">
        <f>IFERROR(__xludf.DUMMYFUNCTION("""COMPUTED_VALUE"""),164.0)</f>
        <v>164</v>
      </c>
      <c r="B173" s="2" t="str">
        <f>IFERROR(__xludf.DUMMYFUNCTION("""COMPUTED_VALUE"""),"Equatorial Guinea")</f>
        <v>Equatorial Guinea</v>
      </c>
      <c r="C173" s="3">
        <f>IFERROR(__xludf.DUMMYFUNCTION("""COMPUTED_VALUE"""),12786.0)</f>
        <v>12786</v>
      </c>
      <c r="D173" s="2"/>
      <c r="E173" s="2">
        <f>IFERROR(__xludf.DUMMYFUNCTION("""COMPUTED_VALUE"""),155.0)</f>
        <v>155</v>
      </c>
      <c r="F173" s="2"/>
      <c r="G173" s="3">
        <f>IFERROR(__xludf.DUMMYFUNCTION("""COMPUTED_VALUE"""),12032.0)</f>
        <v>12032</v>
      </c>
      <c r="H173" s="2"/>
      <c r="I173" s="2">
        <f>IFERROR(__xludf.DUMMYFUNCTION("""COMPUTED_VALUE"""),599.0)</f>
        <v>599</v>
      </c>
      <c r="J173" s="2">
        <f>IFERROR(__xludf.DUMMYFUNCTION("""COMPUTED_VALUE"""),1.0)</f>
        <v>1</v>
      </c>
      <c r="K173" s="3">
        <f>IFERROR(__xludf.DUMMYFUNCTION("""COMPUTED_VALUE"""),8748.0)</f>
        <v>8748</v>
      </c>
      <c r="L173" s="2">
        <f>IFERROR(__xludf.DUMMYFUNCTION("""COMPUTED_VALUE"""),106.0)</f>
        <v>106</v>
      </c>
      <c r="M173" s="3">
        <f>IFERROR(__xludf.DUMMYFUNCTION("""COMPUTED_VALUE"""),195087.0)</f>
        <v>195087</v>
      </c>
      <c r="N173" s="3">
        <f>IFERROR(__xludf.DUMMYFUNCTION("""COMPUTED_VALUE"""),133479.0)</f>
        <v>133479</v>
      </c>
      <c r="O173" s="3">
        <f>IFERROR(__xludf.DUMMYFUNCTION("""COMPUTED_VALUE"""),1461561.0)</f>
        <v>1461561</v>
      </c>
      <c r="P173" s="2" t="str">
        <f>IFERROR(__xludf.DUMMYFUNCTION("""COMPUTED_VALUE"""),"Africa")</f>
        <v>Africa</v>
      </c>
      <c r="Q173" s="2">
        <f>IFERROR(__xludf.DUMMYFUNCTION("""COMPUTED_VALUE"""),114.0)</f>
        <v>114</v>
      </c>
      <c r="R173" s="3">
        <f>IFERROR(__xludf.DUMMYFUNCTION("""COMPUTED_VALUE"""),9429.0)</f>
        <v>9429</v>
      </c>
      <c r="S173" s="2">
        <f>IFERROR(__xludf.DUMMYFUNCTION("""COMPUTED_VALUE"""),7.0)</f>
        <v>7</v>
      </c>
      <c r="T173" s="2"/>
      <c r="U173" s="2"/>
      <c r="V173" s="2">
        <f>IFERROR(__xludf.DUMMYFUNCTION("""COMPUTED_VALUE"""),410.0)</f>
        <v>410</v>
      </c>
    </row>
    <row r="174" ht="15.75" customHeight="1">
      <c r="A174" s="2">
        <f>IFERROR(__xludf.DUMMYFUNCTION("""COMPUTED_VALUE"""),165.0)</f>
        <v>165</v>
      </c>
      <c r="B174" s="2" t="str">
        <f>IFERROR(__xludf.DUMMYFUNCTION("""COMPUTED_VALUE"""),"Iceland")</f>
        <v>Iceland</v>
      </c>
      <c r="C174" s="3">
        <f>IFERROR(__xludf.DUMMYFUNCTION("""COMPUTED_VALUE"""),12287.0)</f>
        <v>12287</v>
      </c>
      <c r="D174" s="2" t="str">
        <f>IFERROR(__xludf.DUMMYFUNCTION("""COMPUTED_VALUE"""),"+44")</f>
        <v>+44</v>
      </c>
      <c r="E174" s="2">
        <f>IFERROR(__xludf.DUMMYFUNCTION("""COMPUTED_VALUE"""),33.0)</f>
        <v>33</v>
      </c>
      <c r="F174" s="2"/>
      <c r="G174" s="3">
        <f>IFERROR(__xludf.DUMMYFUNCTION("""COMPUTED_VALUE"""),11806.0)</f>
        <v>11806</v>
      </c>
      <c r="H174" s="2" t="str">
        <f>IFERROR(__xludf.DUMMYFUNCTION("""COMPUTED_VALUE"""),"+44")</f>
        <v>+44</v>
      </c>
      <c r="I174" s="2">
        <f>IFERROR(__xludf.DUMMYFUNCTION("""COMPUTED_VALUE"""),448.0)</f>
        <v>448</v>
      </c>
      <c r="J174" s="2"/>
      <c r="K174" s="3">
        <f>IFERROR(__xludf.DUMMYFUNCTION("""COMPUTED_VALUE"""),35711.0)</f>
        <v>35711</v>
      </c>
      <c r="L174" s="2">
        <f>IFERROR(__xludf.DUMMYFUNCTION("""COMPUTED_VALUE"""),96.0)</f>
        <v>96</v>
      </c>
      <c r="M174" s="3">
        <f>IFERROR(__xludf.DUMMYFUNCTION("""COMPUTED_VALUE"""),1090596.0)</f>
        <v>1090596</v>
      </c>
      <c r="N174" s="3">
        <f>IFERROR(__xludf.DUMMYFUNCTION("""COMPUTED_VALUE"""),3169701.0)</f>
        <v>3169701</v>
      </c>
      <c r="O174" s="3">
        <f>IFERROR(__xludf.DUMMYFUNCTION("""COMPUTED_VALUE"""),344069.0)</f>
        <v>344069</v>
      </c>
      <c r="P174" s="2" t="str">
        <f>IFERROR(__xludf.DUMMYFUNCTION("""COMPUTED_VALUE"""),"Europe")</f>
        <v>Europe</v>
      </c>
      <c r="Q174" s="2">
        <f>IFERROR(__xludf.DUMMYFUNCTION("""COMPUTED_VALUE"""),28.0)</f>
        <v>28</v>
      </c>
      <c r="R174" s="3">
        <f>IFERROR(__xludf.DUMMYFUNCTION("""COMPUTED_VALUE"""),10426.0)</f>
        <v>10426</v>
      </c>
      <c r="S174" s="2">
        <f>IFERROR(__xludf.DUMMYFUNCTION("""COMPUTED_VALUE"""),0.0)</f>
        <v>0</v>
      </c>
      <c r="T174" s="2">
        <f>IFERROR(__xludf.DUMMYFUNCTION("""COMPUTED_VALUE"""),128.0)</f>
        <v>128</v>
      </c>
      <c r="U174" s="2"/>
      <c r="V174" s="3">
        <f>IFERROR(__xludf.DUMMYFUNCTION("""COMPUTED_VALUE"""),1302.0)</f>
        <v>1302</v>
      </c>
    </row>
    <row r="175" ht="15.75" customHeight="1">
      <c r="A175" s="2">
        <f>IFERROR(__xludf.DUMMYFUNCTION("""COMPUTED_VALUE"""),166.0)</f>
        <v>166</v>
      </c>
      <c r="B175" s="2" t="str">
        <f>IFERROR(__xludf.DUMMYFUNCTION("""COMPUTED_VALUE"""),"Hong Kong")</f>
        <v>Hong Kong</v>
      </c>
      <c r="C175" s="3">
        <f>IFERROR(__xludf.DUMMYFUNCTION("""COMPUTED_VALUE"""),12273.0)</f>
        <v>12273</v>
      </c>
      <c r="D175" s="2" t="str">
        <f>IFERROR(__xludf.DUMMYFUNCTION("""COMPUTED_VALUE"""),"+4")</f>
        <v>+4</v>
      </c>
      <c r="E175" s="2">
        <f>IFERROR(__xludf.DUMMYFUNCTION("""COMPUTED_VALUE"""),213.0)</f>
        <v>213</v>
      </c>
      <c r="F175" s="2"/>
      <c r="G175" s="3">
        <f>IFERROR(__xludf.DUMMYFUNCTION("""COMPUTED_VALUE"""),11956.0)</f>
        <v>11956</v>
      </c>
      <c r="H175" s="2" t="str">
        <f>IFERROR(__xludf.DUMMYFUNCTION("""COMPUTED_VALUE"""),"+3")</f>
        <v>+3</v>
      </c>
      <c r="I175" s="2">
        <f>IFERROR(__xludf.DUMMYFUNCTION("""COMPUTED_VALUE"""),104.0)</f>
        <v>104</v>
      </c>
      <c r="J175" s="2"/>
      <c r="K175" s="3">
        <f>IFERROR(__xludf.DUMMYFUNCTION("""COMPUTED_VALUE"""),1620.0)</f>
        <v>1620</v>
      </c>
      <c r="L175" s="2">
        <f>IFERROR(__xludf.DUMMYFUNCTION("""COMPUTED_VALUE"""),28.0)</f>
        <v>28</v>
      </c>
      <c r="M175" s="3">
        <f>IFERROR(__xludf.DUMMYFUNCTION("""COMPUTED_VALUE"""),2.5906063E7)</f>
        <v>25906063</v>
      </c>
      <c r="N175" s="3">
        <f>IFERROR(__xludf.DUMMYFUNCTION("""COMPUTED_VALUE"""),3420134.0)</f>
        <v>3420134</v>
      </c>
      <c r="O175" s="3">
        <f>IFERROR(__xludf.DUMMYFUNCTION("""COMPUTED_VALUE"""),7574576.0)</f>
        <v>7574576</v>
      </c>
      <c r="P175" s="2" t="str">
        <f>IFERROR(__xludf.DUMMYFUNCTION("""COMPUTED_VALUE"""),"Asia")</f>
        <v>Asia</v>
      </c>
      <c r="Q175" s="2">
        <f>IFERROR(__xludf.DUMMYFUNCTION("""COMPUTED_VALUE"""),617.0)</f>
        <v>617</v>
      </c>
      <c r="R175" s="3">
        <f>IFERROR(__xludf.DUMMYFUNCTION("""COMPUTED_VALUE"""),35561.0)</f>
        <v>35561</v>
      </c>
      <c r="S175" s="2">
        <f>IFERROR(__xludf.DUMMYFUNCTION("""COMPUTED_VALUE"""),0.0)</f>
        <v>0</v>
      </c>
      <c r="T175" s="2">
        <f>IFERROR(__xludf.DUMMYFUNCTION("""COMPUTED_VALUE"""),0.5)</f>
        <v>0.5</v>
      </c>
      <c r="U175" s="2"/>
      <c r="V175" s="3">
        <f>IFERROR(__xludf.DUMMYFUNCTION("""COMPUTED_VALUE"""),14.0)</f>
        <v>14</v>
      </c>
    </row>
    <row r="176" ht="15.75" customHeight="1">
      <c r="A176" s="2">
        <f>IFERROR(__xludf.DUMMYFUNCTION("""COMPUTED_VALUE"""),167.0)</f>
        <v>167</v>
      </c>
      <c r="B176" s="2" t="str">
        <f>IFERROR(__xludf.DUMMYFUNCTION("""COMPUTED_VALUE"""),"South Sudan")</f>
        <v>South Sudan</v>
      </c>
      <c r="C176" s="3">
        <f>IFERROR(__xludf.DUMMYFUNCTION("""COMPUTED_VALUE"""),12134.0)</f>
        <v>12134</v>
      </c>
      <c r="D176" s="2"/>
      <c r="E176" s="2">
        <f>IFERROR(__xludf.DUMMYFUNCTION("""COMPUTED_VALUE"""),130.0)</f>
        <v>130</v>
      </c>
      <c r="F176" s="2"/>
      <c r="G176" s="3">
        <f>IFERROR(__xludf.DUMMYFUNCTION("""COMPUTED_VALUE"""),11617.0)</f>
        <v>11617</v>
      </c>
      <c r="H176" s="2"/>
      <c r="I176" s="2">
        <f>IFERROR(__xludf.DUMMYFUNCTION("""COMPUTED_VALUE"""),387.0)</f>
        <v>387</v>
      </c>
      <c r="J176" s="2">
        <f>IFERROR(__xludf.DUMMYFUNCTION("""COMPUTED_VALUE"""),2.0)</f>
        <v>2</v>
      </c>
      <c r="K176" s="3">
        <f>IFERROR(__xludf.DUMMYFUNCTION("""COMPUTED_VALUE"""),1068.0)</f>
        <v>1068</v>
      </c>
      <c r="L176" s="2">
        <f>IFERROR(__xludf.DUMMYFUNCTION("""COMPUTED_VALUE"""),11.0)</f>
        <v>11</v>
      </c>
      <c r="M176" s="3">
        <f>IFERROR(__xludf.DUMMYFUNCTION("""COMPUTED_VALUE"""),238490.0)</f>
        <v>238490</v>
      </c>
      <c r="N176" s="3">
        <f>IFERROR(__xludf.DUMMYFUNCTION("""COMPUTED_VALUE"""),20992.0)</f>
        <v>20992</v>
      </c>
      <c r="O176" s="3">
        <f>IFERROR(__xludf.DUMMYFUNCTION("""COMPUTED_VALUE"""),1.1361067E7)</f>
        <v>11361067</v>
      </c>
      <c r="P176" s="2" t="str">
        <f>IFERROR(__xludf.DUMMYFUNCTION("""COMPUTED_VALUE"""),"Africa")</f>
        <v>Africa</v>
      </c>
      <c r="Q176" s="2">
        <f>IFERROR(__xludf.DUMMYFUNCTION("""COMPUTED_VALUE"""),936.0)</f>
        <v>936</v>
      </c>
      <c r="R176" s="3">
        <f>IFERROR(__xludf.DUMMYFUNCTION("""COMPUTED_VALUE"""),87393.0)</f>
        <v>87393</v>
      </c>
      <c r="S176" s="2">
        <f>IFERROR(__xludf.DUMMYFUNCTION("""COMPUTED_VALUE"""),48.0)</f>
        <v>48</v>
      </c>
      <c r="T176" s="2"/>
      <c r="U176" s="2"/>
      <c r="V176" s="2">
        <f>IFERROR(__xludf.DUMMYFUNCTION("""COMPUTED_VALUE"""),34.0)</f>
        <v>34</v>
      </c>
    </row>
    <row r="177" ht="15.75" customHeight="1">
      <c r="A177" s="2">
        <f>IFERROR(__xludf.DUMMYFUNCTION("""COMPUTED_VALUE"""),168.0)</f>
        <v>168</v>
      </c>
      <c r="B177" s="2" t="str">
        <f>IFERROR(__xludf.DUMMYFUNCTION("""COMPUTED_VALUE"""),"Saint Lucia")</f>
        <v>Saint Lucia</v>
      </c>
      <c r="C177" s="3">
        <f>IFERROR(__xludf.DUMMYFUNCTION("""COMPUTED_VALUE"""),12017.0)</f>
        <v>12017</v>
      </c>
      <c r="D177" s="2"/>
      <c r="E177" s="2">
        <f>IFERROR(__xludf.DUMMYFUNCTION("""COMPUTED_VALUE"""),224.0)</f>
        <v>224</v>
      </c>
      <c r="F177" s="2"/>
      <c r="G177" s="3">
        <f>IFERROR(__xludf.DUMMYFUNCTION("""COMPUTED_VALUE"""),10953.0)</f>
        <v>10953</v>
      </c>
      <c r="H177" s="2"/>
      <c r="I177" s="3">
        <f>IFERROR(__xludf.DUMMYFUNCTION("""COMPUTED_VALUE"""),840.0)</f>
        <v>840</v>
      </c>
      <c r="J177" s="2">
        <f>IFERROR(__xludf.DUMMYFUNCTION("""COMPUTED_VALUE"""),11.0)</f>
        <v>11</v>
      </c>
      <c r="K177" s="3">
        <f>IFERROR(__xludf.DUMMYFUNCTION("""COMPUTED_VALUE"""),65063.0)</f>
        <v>65063</v>
      </c>
      <c r="L177" s="3">
        <f>IFERROR(__xludf.DUMMYFUNCTION("""COMPUTED_VALUE"""),1213.0)</f>
        <v>1213</v>
      </c>
      <c r="M177" s="3">
        <f>IFERROR(__xludf.DUMMYFUNCTION("""COMPUTED_VALUE"""),82160.0)</f>
        <v>82160</v>
      </c>
      <c r="N177" s="3">
        <f>IFERROR(__xludf.DUMMYFUNCTION("""COMPUTED_VALUE"""),444834.0)</f>
        <v>444834</v>
      </c>
      <c r="O177" s="3">
        <f>IFERROR(__xludf.DUMMYFUNCTION("""COMPUTED_VALUE"""),184698.0)</f>
        <v>184698</v>
      </c>
      <c r="P177" s="2" t="str">
        <f>IFERROR(__xludf.DUMMYFUNCTION("""COMPUTED_VALUE"""),"North America")</f>
        <v>North America</v>
      </c>
      <c r="Q177" s="2">
        <f>IFERROR(__xludf.DUMMYFUNCTION("""COMPUTED_VALUE"""),15.0)</f>
        <v>15</v>
      </c>
      <c r="R177" s="2">
        <f>IFERROR(__xludf.DUMMYFUNCTION("""COMPUTED_VALUE"""),825.0)</f>
        <v>825</v>
      </c>
      <c r="S177" s="2">
        <f>IFERROR(__xludf.DUMMYFUNCTION("""COMPUTED_VALUE"""),2.0)</f>
        <v>2</v>
      </c>
      <c r="T177" s="2"/>
      <c r="U177" s="2"/>
      <c r="V177" s="3">
        <f>IFERROR(__xludf.DUMMYFUNCTION("""COMPUTED_VALUE"""),4548.0)</f>
        <v>4548</v>
      </c>
    </row>
    <row r="178" ht="15.75" customHeight="1">
      <c r="A178" s="2">
        <f>IFERROR(__xludf.DUMMYFUNCTION("""COMPUTED_VALUE"""),169.0)</f>
        <v>169</v>
      </c>
      <c r="B178" s="2" t="str">
        <f>IFERROR(__xludf.DUMMYFUNCTION("""COMPUTED_VALUE"""),"Channel Islands")</f>
        <v>Channel Islands</v>
      </c>
      <c r="C178" s="3">
        <f>IFERROR(__xludf.DUMMYFUNCTION("""COMPUTED_VALUE"""),11968.0)</f>
        <v>11968</v>
      </c>
      <c r="D178" s="2"/>
      <c r="E178" s="2">
        <f>IFERROR(__xludf.DUMMYFUNCTION("""COMPUTED_VALUE"""),98.0)</f>
        <v>98</v>
      </c>
      <c r="F178" s="2"/>
      <c r="G178" s="3">
        <f>IFERROR(__xludf.DUMMYFUNCTION("""COMPUTED_VALUE"""),11544.0)</f>
        <v>11544</v>
      </c>
      <c r="H178" s="2"/>
      <c r="I178" s="2">
        <f>IFERROR(__xludf.DUMMYFUNCTION("""COMPUTED_VALUE"""),326.0)</f>
        <v>326</v>
      </c>
      <c r="J178" s="2"/>
      <c r="K178" s="3">
        <f>IFERROR(__xludf.DUMMYFUNCTION("""COMPUTED_VALUE"""),68036.0)</f>
        <v>68036</v>
      </c>
      <c r="L178" s="2">
        <f>IFERROR(__xludf.DUMMYFUNCTION("""COMPUTED_VALUE"""),557.0)</f>
        <v>557</v>
      </c>
      <c r="M178" s="3">
        <f>IFERROR(__xludf.DUMMYFUNCTION("""COMPUTED_VALUE"""),947210.0)</f>
        <v>947210</v>
      </c>
      <c r="N178" s="3">
        <f>IFERROR(__xludf.DUMMYFUNCTION("""COMPUTED_VALUE"""),5384720.0)</f>
        <v>5384720</v>
      </c>
      <c r="O178" s="3">
        <f>IFERROR(__xludf.DUMMYFUNCTION("""COMPUTED_VALUE"""),175907.0)</f>
        <v>175907</v>
      </c>
      <c r="P178" s="2" t="str">
        <f>IFERROR(__xludf.DUMMYFUNCTION("""COMPUTED_VALUE"""),"Europe")</f>
        <v>Europe</v>
      </c>
      <c r="Q178" s="2">
        <f>IFERROR(__xludf.DUMMYFUNCTION("""COMPUTED_VALUE"""),15.0)</f>
        <v>15</v>
      </c>
      <c r="R178" s="3">
        <f>IFERROR(__xludf.DUMMYFUNCTION("""COMPUTED_VALUE"""),1795.0)</f>
        <v>1795</v>
      </c>
      <c r="S178" s="2">
        <f>IFERROR(__xludf.DUMMYFUNCTION("""COMPUTED_VALUE"""),0.0)</f>
        <v>0</v>
      </c>
      <c r="T178" s="2"/>
      <c r="U178" s="2"/>
      <c r="V178" s="3">
        <f>IFERROR(__xludf.DUMMYFUNCTION("""COMPUTED_VALUE"""),1853.0)</f>
        <v>1853</v>
      </c>
    </row>
    <row r="179" ht="15.75" customHeight="1">
      <c r="A179" s="2">
        <f>IFERROR(__xludf.DUMMYFUNCTION("""COMPUTED_VALUE"""),170.0)</f>
        <v>170</v>
      </c>
      <c r="B179" s="2" t="str">
        <f>IFERROR(__xludf.DUMMYFUNCTION("""COMPUTED_VALUE"""),"CAR")</f>
        <v>CAR</v>
      </c>
      <c r="C179" s="3">
        <f>IFERROR(__xludf.DUMMYFUNCTION("""COMPUTED_VALUE"""),11401.0)</f>
        <v>11401</v>
      </c>
      <c r="D179" s="2"/>
      <c r="E179" s="2">
        <f>IFERROR(__xludf.DUMMYFUNCTION("""COMPUTED_VALUE"""),100.0)</f>
        <v>100</v>
      </c>
      <c r="F179" s="2"/>
      <c r="G179" s="3">
        <f>IFERROR(__xludf.DUMMYFUNCTION("""COMPUTED_VALUE"""),6859.0)</f>
        <v>6859</v>
      </c>
      <c r="H179" s="2"/>
      <c r="I179" s="3">
        <f>IFERROR(__xludf.DUMMYFUNCTION("""COMPUTED_VALUE"""),4442.0)</f>
        <v>4442</v>
      </c>
      <c r="J179" s="2">
        <f>IFERROR(__xludf.DUMMYFUNCTION("""COMPUTED_VALUE"""),2.0)</f>
        <v>2</v>
      </c>
      <c r="K179" s="3">
        <f>IFERROR(__xludf.DUMMYFUNCTION("""COMPUTED_VALUE"""),2309.0)</f>
        <v>2309</v>
      </c>
      <c r="L179" s="2">
        <f>IFERROR(__xludf.DUMMYFUNCTION("""COMPUTED_VALUE"""),20.0)</f>
        <v>20</v>
      </c>
      <c r="M179" s="3">
        <f>IFERROR(__xludf.DUMMYFUNCTION("""COMPUTED_VALUE"""),60228.0)</f>
        <v>60228</v>
      </c>
      <c r="N179" s="3">
        <f>IFERROR(__xludf.DUMMYFUNCTION("""COMPUTED_VALUE"""),12200.0)</f>
        <v>12200</v>
      </c>
      <c r="O179" s="3">
        <f>IFERROR(__xludf.DUMMYFUNCTION("""COMPUTED_VALUE"""),4936751.0)</f>
        <v>4936751</v>
      </c>
      <c r="P179" s="2" t="str">
        <f>IFERROR(__xludf.DUMMYFUNCTION("""COMPUTED_VALUE"""),"Africa")</f>
        <v>Africa</v>
      </c>
      <c r="Q179" s="2">
        <f>IFERROR(__xludf.DUMMYFUNCTION("""COMPUTED_VALUE"""),433.0)</f>
        <v>433</v>
      </c>
      <c r="R179" s="3">
        <f>IFERROR(__xludf.DUMMYFUNCTION("""COMPUTED_VALUE"""),49368.0)</f>
        <v>49368</v>
      </c>
      <c r="S179" s="2">
        <f>IFERROR(__xludf.DUMMYFUNCTION("""COMPUTED_VALUE"""),82.0)</f>
        <v>82</v>
      </c>
      <c r="T179" s="2"/>
      <c r="U179" s="2"/>
      <c r="V179" s="2">
        <f>IFERROR(__xludf.DUMMYFUNCTION("""COMPUTED_VALUE"""),900.0)</f>
        <v>900</v>
      </c>
    </row>
    <row r="180" ht="15.75" customHeight="1">
      <c r="A180" s="2">
        <f>IFERROR(__xludf.DUMMYFUNCTION("""COMPUTED_VALUE"""),171.0)</f>
        <v>171</v>
      </c>
      <c r="B180" s="2" t="str">
        <f>IFERROR(__xludf.DUMMYFUNCTION("""COMPUTED_VALUE"""),"Barbados")</f>
        <v>Barbados</v>
      </c>
      <c r="C180" s="3">
        <f>IFERROR(__xludf.DUMMYFUNCTION("""COMPUTED_VALUE"""),11132.0)</f>
        <v>11132</v>
      </c>
      <c r="D180" s="2"/>
      <c r="E180" s="2">
        <f>IFERROR(__xludf.DUMMYFUNCTION("""COMPUTED_VALUE"""),98.0)</f>
        <v>98</v>
      </c>
      <c r="F180" s="2"/>
      <c r="G180" s="3">
        <f>IFERROR(__xludf.DUMMYFUNCTION("""COMPUTED_VALUE"""),8935.0)</f>
        <v>8935</v>
      </c>
      <c r="H180" s="2"/>
      <c r="I180" s="3">
        <f>IFERROR(__xludf.DUMMYFUNCTION("""COMPUTED_VALUE"""),2099.0)</f>
        <v>2099</v>
      </c>
      <c r="J180" s="2"/>
      <c r="K180" s="3">
        <f>IFERROR(__xludf.DUMMYFUNCTION("""COMPUTED_VALUE"""),38676.0)</f>
        <v>38676</v>
      </c>
      <c r="L180" s="2">
        <f>IFERROR(__xludf.DUMMYFUNCTION("""COMPUTED_VALUE"""),340.0)</f>
        <v>340</v>
      </c>
      <c r="M180" s="3">
        <f>IFERROR(__xludf.DUMMYFUNCTION("""COMPUTED_VALUE"""),342465.0)</f>
        <v>342465</v>
      </c>
      <c r="N180" s="3">
        <f>IFERROR(__xludf.DUMMYFUNCTION("""COMPUTED_VALUE"""),1189842.0)</f>
        <v>1189842</v>
      </c>
      <c r="O180" s="3">
        <f>IFERROR(__xludf.DUMMYFUNCTION("""COMPUTED_VALUE"""),287824.0)</f>
        <v>287824</v>
      </c>
      <c r="P180" s="2" t="str">
        <f>IFERROR(__xludf.DUMMYFUNCTION("""COMPUTED_VALUE"""),"North America")</f>
        <v>North America</v>
      </c>
      <c r="Q180" s="2">
        <f>IFERROR(__xludf.DUMMYFUNCTION("""COMPUTED_VALUE"""),26.0)</f>
        <v>26</v>
      </c>
      <c r="R180" s="3">
        <f>IFERROR(__xludf.DUMMYFUNCTION("""COMPUTED_VALUE"""),2937.0)</f>
        <v>2937</v>
      </c>
      <c r="S180" s="2">
        <f>IFERROR(__xludf.DUMMYFUNCTION("""COMPUTED_VALUE"""),1.0)</f>
        <v>1</v>
      </c>
      <c r="T180" s="2"/>
      <c r="U180" s="2"/>
      <c r="V180" s="3">
        <f>IFERROR(__xludf.DUMMYFUNCTION("""COMPUTED_VALUE"""),7293.0)</f>
        <v>7293</v>
      </c>
    </row>
    <row r="181" ht="15.75" customHeight="1">
      <c r="A181" s="2">
        <f>IFERROR(__xludf.DUMMYFUNCTION("""COMPUTED_VALUE"""),172.0)</f>
        <v>172</v>
      </c>
      <c r="B181" s="2" t="str">
        <f>IFERROR(__xludf.DUMMYFUNCTION("""COMPUTED_VALUE"""),"Gambia")</f>
        <v>Gambia</v>
      </c>
      <c r="C181" s="3">
        <f>IFERROR(__xludf.DUMMYFUNCTION("""COMPUTED_VALUE"""),9941.0)</f>
        <v>9941</v>
      </c>
      <c r="D181" s="2"/>
      <c r="E181" s="2">
        <f>IFERROR(__xludf.DUMMYFUNCTION("""COMPUTED_VALUE"""),339.0)</f>
        <v>339</v>
      </c>
      <c r="F181" s="2"/>
      <c r="G181" s="3">
        <f>IFERROR(__xludf.DUMMYFUNCTION("""COMPUTED_VALUE"""),9594.0)</f>
        <v>9594</v>
      </c>
      <c r="H181" s="2"/>
      <c r="I181" s="2">
        <f>IFERROR(__xludf.DUMMYFUNCTION("""COMPUTED_VALUE"""),8.0)</f>
        <v>8</v>
      </c>
      <c r="J181" s="2">
        <f>IFERROR(__xludf.DUMMYFUNCTION("""COMPUTED_VALUE"""),3.0)</f>
        <v>3</v>
      </c>
      <c r="K181" s="3">
        <f>IFERROR(__xludf.DUMMYFUNCTION("""COMPUTED_VALUE"""),3972.0)</f>
        <v>3972</v>
      </c>
      <c r="L181" s="2">
        <f>IFERROR(__xludf.DUMMYFUNCTION("""COMPUTED_VALUE"""),135.0)</f>
        <v>135</v>
      </c>
      <c r="M181" s="3">
        <f>IFERROR(__xludf.DUMMYFUNCTION("""COMPUTED_VALUE"""),103187.0)</f>
        <v>103187</v>
      </c>
      <c r="N181" s="3">
        <f>IFERROR(__xludf.DUMMYFUNCTION("""COMPUTED_VALUE"""),41225.0)</f>
        <v>41225</v>
      </c>
      <c r="O181" s="3">
        <f>IFERROR(__xludf.DUMMYFUNCTION("""COMPUTED_VALUE"""),2503016.0)</f>
        <v>2503016</v>
      </c>
      <c r="P181" s="2" t="str">
        <f>IFERROR(__xludf.DUMMYFUNCTION("""COMPUTED_VALUE"""),"Africa")</f>
        <v>Africa</v>
      </c>
      <c r="Q181" s="2">
        <f>IFERROR(__xludf.DUMMYFUNCTION("""COMPUTED_VALUE"""),252.0)</f>
        <v>252</v>
      </c>
      <c r="R181" s="3">
        <f>IFERROR(__xludf.DUMMYFUNCTION("""COMPUTED_VALUE"""),7384.0)</f>
        <v>7384</v>
      </c>
      <c r="S181" s="2">
        <f>IFERROR(__xludf.DUMMYFUNCTION("""COMPUTED_VALUE"""),24.0)</f>
        <v>24</v>
      </c>
      <c r="T181" s="2"/>
      <c r="U181" s="2"/>
      <c r="V181" s="2">
        <f>IFERROR(__xludf.DUMMYFUNCTION("""COMPUTED_VALUE"""),3.0)</f>
        <v>3</v>
      </c>
    </row>
    <row r="182" ht="15.75" customHeight="1">
      <c r="A182" s="2">
        <f>IFERROR(__xludf.DUMMYFUNCTION("""COMPUTED_VALUE"""),173.0)</f>
        <v>173</v>
      </c>
      <c r="B182" s="2" t="str">
        <f>IFERROR(__xludf.DUMMYFUNCTION("""COMPUTED_VALUE"""),"Brunei")</f>
        <v>Brunei</v>
      </c>
      <c r="C182" s="3">
        <f>IFERROR(__xludf.DUMMYFUNCTION("""COMPUTED_VALUE"""),9472.0)</f>
        <v>9472</v>
      </c>
      <c r="D182" s="2" t="str">
        <f>IFERROR(__xludf.DUMMYFUNCTION("""COMPUTED_VALUE"""),"+305")</f>
        <v>+305</v>
      </c>
      <c r="E182" s="3">
        <f>IFERROR(__xludf.DUMMYFUNCTION("""COMPUTED_VALUE"""),64.0)</f>
        <v>64</v>
      </c>
      <c r="F182" s="2"/>
      <c r="G182" s="3">
        <f>IFERROR(__xludf.DUMMYFUNCTION("""COMPUTED_VALUE"""),7097.0)</f>
        <v>7097</v>
      </c>
      <c r="H182" s="2" t="str">
        <f>IFERROR(__xludf.DUMMYFUNCTION("""COMPUTED_VALUE"""),"+217")</f>
        <v>+217</v>
      </c>
      <c r="I182" s="3">
        <f>IFERROR(__xludf.DUMMYFUNCTION("""COMPUTED_VALUE"""),2311.0)</f>
        <v>2311</v>
      </c>
      <c r="J182" s="2">
        <f>IFERROR(__xludf.DUMMYFUNCTION("""COMPUTED_VALUE"""),26.0)</f>
        <v>26</v>
      </c>
      <c r="K182" s="3">
        <f>IFERROR(__xludf.DUMMYFUNCTION("""COMPUTED_VALUE"""),21390.0)</f>
        <v>21390</v>
      </c>
      <c r="L182" s="2">
        <f>IFERROR(__xludf.DUMMYFUNCTION("""COMPUTED_VALUE"""),145.0)</f>
        <v>145</v>
      </c>
      <c r="M182" s="3">
        <f>IFERROR(__xludf.DUMMYFUNCTION("""COMPUTED_VALUE"""),413169.0)</f>
        <v>413169</v>
      </c>
      <c r="N182" s="3">
        <f>IFERROR(__xludf.DUMMYFUNCTION("""COMPUTED_VALUE"""),933036.0)</f>
        <v>933036</v>
      </c>
      <c r="O182" s="3">
        <f>IFERROR(__xludf.DUMMYFUNCTION("""COMPUTED_VALUE"""),442822.0)</f>
        <v>442822</v>
      </c>
      <c r="P182" s="2" t="str">
        <f>IFERROR(__xludf.DUMMYFUNCTION("""COMPUTED_VALUE"""),"Asia")</f>
        <v>Asia</v>
      </c>
      <c r="Q182" s="3">
        <f>IFERROR(__xludf.DUMMYFUNCTION("""COMPUTED_VALUE"""),47.0)</f>
        <v>47</v>
      </c>
      <c r="R182" s="3">
        <f>IFERROR(__xludf.DUMMYFUNCTION("""COMPUTED_VALUE"""),6919.0)</f>
        <v>6919</v>
      </c>
      <c r="S182" s="2">
        <f>IFERROR(__xludf.DUMMYFUNCTION("""COMPUTED_VALUE"""),1.0)</f>
        <v>1</v>
      </c>
      <c r="T182" s="2">
        <f>IFERROR(__xludf.DUMMYFUNCTION("""COMPUTED_VALUE"""),689.0)</f>
        <v>689</v>
      </c>
      <c r="U182" s="2"/>
      <c r="V182" s="3">
        <f>IFERROR(__xludf.DUMMYFUNCTION("""COMPUTED_VALUE"""),5219.0)</f>
        <v>5219</v>
      </c>
    </row>
    <row r="183" ht="15.75" customHeight="1">
      <c r="A183" s="2">
        <f>IFERROR(__xludf.DUMMYFUNCTION("""COMPUTED_VALUE"""),174.0)</f>
        <v>174</v>
      </c>
      <c r="B183" s="2" t="str">
        <f>IFERROR(__xludf.DUMMYFUNCTION("""COMPUTED_VALUE"""),"Yemen")</f>
        <v>Yemen</v>
      </c>
      <c r="C183" s="3">
        <f>IFERROR(__xludf.DUMMYFUNCTION("""COMPUTED_VALUE"""),9412.0)</f>
        <v>9412</v>
      </c>
      <c r="D183" s="2" t="str">
        <f>IFERROR(__xludf.DUMMYFUNCTION("""COMPUTED_VALUE"""),"+10")</f>
        <v>+10</v>
      </c>
      <c r="E183" s="3">
        <f>IFERROR(__xludf.DUMMYFUNCTION("""COMPUTED_VALUE"""),1787.0)</f>
        <v>1787</v>
      </c>
      <c r="F183" s="2" t="str">
        <f>IFERROR(__xludf.DUMMYFUNCTION("""COMPUTED_VALUE"""),"+5")</f>
        <v>+5</v>
      </c>
      <c r="G183" s="3">
        <f>IFERROR(__xludf.DUMMYFUNCTION("""COMPUTED_VALUE"""),5948.0)</f>
        <v>5948</v>
      </c>
      <c r="H183" s="2" t="str">
        <f>IFERROR(__xludf.DUMMYFUNCTION("""COMPUTED_VALUE"""),"+18")</f>
        <v>+18</v>
      </c>
      <c r="I183" s="3">
        <f>IFERROR(__xludf.DUMMYFUNCTION("""COMPUTED_VALUE"""),1677.0)</f>
        <v>1677</v>
      </c>
      <c r="J183" s="2">
        <f>IFERROR(__xludf.DUMMYFUNCTION("""COMPUTED_VALUE"""),23.0)</f>
        <v>23</v>
      </c>
      <c r="K183" s="3">
        <f>IFERROR(__xludf.DUMMYFUNCTION("""COMPUTED_VALUE"""),307.0)</f>
        <v>307</v>
      </c>
      <c r="L183" s="2">
        <f>IFERROR(__xludf.DUMMYFUNCTION("""COMPUTED_VALUE"""),58.0)</f>
        <v>58</v>
      </c>
      <c r="M183" s="3">
        <f>IFERROR(__xludf.DUMMYFUNCTION("""COMPUTED_VALUE"""),265253.0)</f>
        <v>265253</v>
      </c>
      <c r="N183" s="3">
        <f>IFERROR(__xludf.DUMMYFUNCTION("""COMPUTED_VALUE"""),8651.0)</f>
        <v>8651</v>
      </c>
      <c r="O183" s="3">
        <f>IFERROR(__xludf.DUMMYFUNCTION("""COMPUTED_VALUE"""),3.0662242E7)</f>
        <v>30662242</v>
      </c>
      <c r="P183" s="2" t="str">
        <f>IFERROR(__xludf.DUMMYFUNCTION("""COMPUTED_VALUE"""),"Asia")</f>
        <v>Asia</v>
      </c>
      <c r="Q183" s="3">
        <f>IFERROR(__xludf.DUMMYFUNCTION("""COMPUTED_VALUE"""),3258.0)</f>
        <v>3258</v>
      </c>
      <c r="R183" s="3">
        <f>IFERROR(__xludf.DUMMYFUNCTION("""COMPUTED_VALUE"""),17159.0)</f>
        <v>17159</v>
      </c>
      <c r="S183" s="2">
        <f>IFERROR(__xludf.DUMMYFUNCTION("""COMPUTED_VALUE"""),116.0)</f>
        <v>116</v>
      </c>
      <c r="T183" s="2">
        <f>IFERROR(__xludf.DUMMYFUNCTION("""COMPUTED_VALUE"""),0.3)</f>
        <v>0.3</v>
      </c>
      <c r="U183" s="2">
        <f>IFERROR(__xludf.DUMMYFUNCTION("""COMPUTED_VALUE"""),0.2)</f>
        <v>0.2</v>
      </c>
      <c r="V183" s="3">
        <f>IFERROR(__xludf.DUMMYFUNCTION("""COMPUTED_VALUE"""),55.0)</f>
        <v>55</v>
      </c>
    </row>
    <row r="184" ht="15.75" customHeight="1">
      <c r="A184" s="2">
        <f>IFERROR(__xludf.DUMMYFUNCTION("""COMPUTED_VALUE"""),175.0)</f>
        <v>175</v>
      </c>
      <c r="B184" s="2" t="str">
        <f>IFERROR(__xludf.DUMMYFUNCTION("""COMPUTED_VALUE"""),"New Caledonia")</f>
        <v>New Caledonia</v>
      </c>
      <c r="C184" s="3">
        <f>IFERROR(__xludf.DUMMYFUNCTION("""COMPUTED_VALUE"""),9186.0)</f>
        <v>9186</v>
      </c>
      <c r="D184" s="2"/>
      <c r="E184" s="2">
        <f>IFERROR(__xludf.DUMMYFUNCTION("""COMPUTED_VALUE"""),201.0)</f>
        <v>201</v>
      </c>
      <c r="F184" s="2"/>
      <c r="G184" s="3">
        <f>IFERROR(__xludf.DUMMYFUNCTION("""COMPUTED_VALUE"""),55.0)</f>
        <v>55</v>
      </c>
      <c r="H184" s="2"/>
      <c r="I184" s="3">
        <f>IFERROR(__xludf.DUMMYFUNCTION("""COMPUTED_VALUE"""),8930.0)</f>
        <v>8930</v>
      </c>
      <c r="J184" s="2">
        <f>IFERROR(__xludf.DUMMYFUNCTION("""COMPUTED_VALUE"""),52.0)</f>
        <v>52</v>
      </c>
      <c r="K184" s="3">
        <f>IFERROR(__xludf.DUMMYFUNCTION("""COMPUTED_VALUE"""),31786.0)</f>
        <v>31786</v>
      </c>
      <c r="L184" s="2">
        <f>IFERROR(__xludf.DUMMYFUNCTION("""COMPUTED_VALUE"""),696.0)</f>
        <v>696</v>
      </c>
      <c r="M184" s="3">
        <f>IFERROR(__xludf.DUMMYFUNCTION("""COMPUTED_VALUE"""),42756.0)</f>
        <v>42756</v>
      </c>
      <c r="N184" s="3">
        <f>IFERROR(__xludf.DUMMYFUNCTION("""COMPUTED_VALUE"""),147945.0)</f>
        <v>147945</v>
      </c>
      <c r="O184" s="3">
        <f>IFERROR(__xludf.DUMMYFUNCTION("""COMPUTED_VALUE"""),288999.0)</f>
        <v>288999</v>
      </c>
      <c r="P184" s="2" t="str">
        <f>IFERROR(__xludf.DUMMYFUNCTION("""COMPUTED_VALUE"""),"Australia/Oceania")</f>
        <v>Australia/Oceania</v>
      </c>
      <c r="Q184" s="2">
        <f>IFERROR(__xludf.DUMMYFUNCTION("""COMPUTED_VALUE"""),31.0)</f>
        <v>31</v>
      </c>
      <c r="R184" s="3">
        <f>IFERROR(__xludf.DUMMYFUNCTION("""COMPUTED_VALUE"""),1438.0)</f>
        <v>1438</v>
      </c>
      <c r="S184" s="2">
        <f>IFERROR(__xludf.DUMMYFUNCTION("""COMPUTED_VALUE"""),7.0)</f>
        <v>7</v>
      </c>
      <c r="T184" s="2"/>
      <c r="U184" s="2"/>
      <c r="V184" s="3">
        <f>IFERROR(__xludf.DUMMYFUNCTION("""COMPUTED_VALUE"""),30900.0)</f>
        <v>30900</v>
      </c>
    </row>
    <row r="185" ht="15.75" customHeight="1">
      <c r="A185" s="2">
        <f>IFERROR(__xludf.DUMMYFUNCTION("""COMPUTED_VALUE"""),176.0)</f>
        <v>176</v>
      </c>
      <c r="B185" s="2" t="str">
        <f>IFERROR(__xludf.DUMMYFUNCTION("""COMPUTED_VALUE"""),"Isle of Man")</f>
        <v>Isle of Man</v>
      </c>
      <c r="C185" s="3">
        <f>IFERROR(__xludf.DUMMYFUNCTION("""COMPUTED_VALUE"""),8121.0)</f>
        <v>8121</v>
      </c>
      <c r="D185" s="2"/>
      <c r="E185" s="2">
        <f>IFERROR(__xludf.DUMMYFUNCTION("""COMPUTED_VALUE"""),54.0)</f>
        <v>54</v>
      </c>
      <c r="F185" s="2"/>
      <c r="G185" s="3">
        <f>IFERROR(__xludf.DUMMYFUNCTION("""COMPUTED_VALUE"""),7591.0)</f>
        <v>7591</v>
      </c>
      <c r="H185" s="2"/>
      <c r="I185" s="2">
        <f>IFERROR(__xludf.DUMMYFUNCTION("""COMPUTED_VALUE"""),476.0)</f>
        <v>476</v>
      </c>
      <c r="J185" s="2">
        <f>IFERROR(__xludf.DUMMYFUNCTION("""COMPUTED_VALUE"""),1.0)</f>
        <v>1</v>
      </c>
      <c r="K185" s="3">
        <f>IFERROR(__xludf.DUMMYFUNCTION("""COMPUTED_VALUE"""),94864.0)</f>
        <v>94864</v>
      </c>
      <c r="L185" s="2">
        <f>IFERROR(__xludf.DUMMYFUNCTION("""COMPUTED_VALUE"""),631.0)</f>
        <v>631</v>
      </c>
      <c r="M185" s="3">
        <f>IFERROR(__xludf.DUMMYFUNCTION("""COMPUTED_VALUE"""),125320.0)</f>
        <v>125320</v>
      </c>
      <c r="N185" s="3">
        <f>IFERROR(__xludf.DUMMYFUNCTION("""COMPUTED_VALUE"""),1463899.0)</f>
        <v>1463899</v>
      </c>
      <c r="O185" s="3">
        <f>IFERROR(__xludf.DUMMYFUNCTION("""COMPUTED_VALUE"""),85607.0)</f>
        <v>85607</v>
      </c>
      <c r="P185" s="2" t="str">
        <f>IFERROR(__xludf.DUMMYFUNCTION("""COMPUTED_VALUE"""),"Europe")</f>
        <v>Europe</v>
      </c>
      <c r="Q185" s="2">
        <f>IFERROR(__xludf.DUMMYFUNCTION("""COMPUTED_VALUE"""),11.0)</f>
        <v>11</v>
      </c>
      <c r="R185" s="3">
        <f>IFERROR(__xludf.DUMMYFUNCTION("""COMPUTED_VALUE"""),1585.0)</f>
        <v>1585</v>
      </c>
      <c r="S185" s="2">
        <f>IFERROR(__xludf.DUMMYFUNCTION("""COMPUTED_VALUE"""),1.0)</f>
        <v>1</v>
      </c>
      <c r="T185" s="2"/>
      <c r="U185" s="2"/>
      <c r="V185" s="3">
        <f>IFERROR(__xludf.DUMMYFUNCTION("""COMPUTED_VALUE"""),5560.0)</f>
        <v>5560</v>
      </c>
    </row>
    <row r="186" ht="15.75" customHeight="1">
      <c r="A186" s="2">
        <f>IFERROR(__xludf.DUMMYFUNCTION("""COMPUTED_VALUE"""),177.0)</f>
        <v>177</v>
      </c>
      <c r="B186" s="2" t="str">
        <f>IFERROR(__xludf.DUMMYFUNCTION("""COMPUTED_VALUE"""),"Eritrea")</f>
        <v>Eritrea</v>
      </c>
      <c r="C186" s="3">
        <f>IFERROR(__xludf.DUMMYFUNCTION("""COMPUTED_VALUE"""),6755.0)</f>
        <v>6755</v>
      </c>
      <c r="D186" s="2"/>
      <c r="E186" s="2">
        <f>IFERROR(__xludf.DUMMYFUNCTION("""COMPUTED_VALUE"""),43.0)</f>
        <v>43</v>
      </c>
      <c r="F186" s="2"/>
      <c r="G186" s="3">
        <f>IFERROR(__xludf.DUMMYFUNCTION("""COMPUTED_VALUE"""),6669.0)</f>
        <v>6669</v>
      </c>
      <c r="H186" s="2"/>
      <c r="I186" s="2">
        <f>IFERROR(__xludf.DUMMYFUNCTION("""COMPUTED_VALUE"""),43.0)</f>
        <v>43</v>
      </c>
      <c r="J186" s="2"/>
      <c r="K186" s="3">
        <f>IFERROR(__xludf.DUMMYFUNCTION("""COMPUTED_VALUE"""),1872.0)</f>
        <v>1872</v>
      </c>
      <c r="L186" s="2">
        <f>IFERROR(__xludf.DUMMYFUNCTION("""COMPUTED_VALUE"""),12.0)</f>
        <v>12</v>
      </c>
      <c r="M186" s="3">
        <f>IFERROR(__xludf.DUMMYFUNCTION("""COMPUTED_VALUE"""),23693.0)</f>
        <v>23693</v>
      </c>
      <c r="N186" s="3">
        <f>IFERROR(__xludf.DUMMYFUNCTION("""COMPUTED_VALUE"""),6565.0)</f>
        <v>6565</v>
      </c>
      <c r="O186" s="3">
        <f>IFERROR(__xludf.DUMMYFUNCTION("""COMPUTED_VALUE"""),3608989.0)</f>
        <v>3608989</v>
      </c>
      <c r="P186" s="2" t="str">
        <f>IFERROR(__xludf.DUMMYFUNCTION("""COMPUTED_VALUE"""),"Africa")</f>
        <v>Africa</v>
      </c>
      <c r="Q186" s="2">
        <f>IFERROR(__xludf.DUMMYFUNCTION("""COMPUTED_VALUE"""),534.0)</f>
        <v>534</v>
      </c>
      <c r="R186" s="3">
        <f>IFERROR(__xludf.DUMMYFUNCTION("""COMPUTED_VALUE"""),83930.0)</f>
        <v>83930</v>
      </c>
      <c r="S186" s="2">
        <f>IFERROR(__xludf.DUMMYFUNCTION("""COMPUTED_VALUE"""),152.0)</f>
        <v>152</v>
      </c>
      <c r="T186" s="2"/>
      <c r="U186" s="2"/>
      <c r="V186" s="2">
        <f>IFERROR(__xludf.DUMMYFUNCTION("""COMPUTED_VALUE"""),12.0)</f>
        <v>12</v>
      </c>
    </row>
    <row r="187" ht="15.75" customHeight="1">
      <c r="A187" s="2">
        <f>IFERROR(__xludf.DUMMYFUNCTION("""COMPUTED_VALUE"""),178.0)</f>
        <v>178</v>
      </c>
      <c r="B187" s="2" t="str">
        <f>IFERROR(__xludf.DUMMYFUNCTION("""COMPUTED_VALUE"""),"Sierra Leone")</f>
        <v>Sierra Leone</v>
      </c>
      <c r="C187" s="3">
        <f>IFERROR(__xludf.DUMMYFUNCTION("""COMPUTED_VALUE"""),6396.0)</f>
        <v>6396</v>
      </c>
      <c r="D187" s="2"/>
      <c r="E187" s="2">
        <f>IFERROR(__xludf.DUMMYFUNCTION("""COMPUTED_VALUE"""),121.0)</f>
        <v>121</v>
      </c>
      <c r="F187" s="2"/>
      <c r="G187" s="3">
        <f>IFERROR(__xludf.DUMMYFUNCTION("""COMPUTED_VALUE"""),4393.0)</f>
        <v>4393</v>
      </c>
      <c r="H187" s="2"/>
      <c r="I187" s="3">
        <f>IFERROR(__xludf.DUMMYFUNCTION("""COMPUTED_VALUE"""),1882.0)</f>
        <v>1882</v>
      </c>
      <c r="J187" s="2"/>
      <c r="K187" s="2">
        <f>IFERROR(__xludf.DUMMYFUNCTION("""COMPUTED_VALUE"""),782.0)</f>
        <v>782</v>
      </c>
      <c r="L187" s="2">
        <f>IFERROR(__xludf.DUMMYFUNCTION("""COMPUTED_VALUE"""),15.0)</f>
        <v>15</v>
      </c>
      <c r="M187" s="3">
        <f>IFERROR(__xludf.DUMMYFUNCTION("""COMPUTED_VALUE"""),160729.0)</f>
        <v>160729</v>
      </c>
      <c r="N187" s="3">
        <f>IFERROR(__xludf.DUMMYFUNCTION("""COMPUTED_VALUE"""),19640.0)</f>
        <v>19640</v>
      </c>
      <c r="O187" s="3">
        <f>IFERROR(__xludf.DUMMYFUNCTION("""COMPUTED_VALUE"""),8183556.0)</f>
        <v>8183556</v>
      </c>
      <c r="P187" s="2" t="str">
        <f>IFERROR(__xludf.DUMMYFUNCTION("""COMPUTED_VALUE"""),"Africa")</f>
        <v>Africa</v>
      </c>
      <c r="Q187" s="3">
        <f>IFERROR(__xludf.DUMMYFUNCTION("""COMPUTED_VALUE"""),1279.0)</f>
        <v>1279</v>
      </c>
      <c r="R187" s="3">
        <f>IFERROR(__xludf.DUMMYFUNCTION("""COMPUTED_VALUE"""),67633.0)</f>
        <v>67633</v>
      </c>
      <c r="S187" s="2">
        <f>IFERROR(__xludf.DUMMYFUNCTION("""COMPUTED_VALUE"""),51.0)</f>
        <v>51</v>
      </c>
      <c r="T187" s="2"/>
      <c r="U187" s="2"/>
      <c r="V187" s="2">
        <f>IFERROR(__xludf.DUMMYFUNCTION("""COMPUTED_VALUE"""),230.0)</f>
        <v>230</v>
      </c>
    </row>
    <row r="188" ht="15.75" customHeight="1">
      <c r="A188" s="2">
        <f>IFERROR(__xludf.DUMMYFUNCTION("""COMPUTED_VALUE"""),179.0)</f>
        <v>179</v>
      </c>
      <c r="B188" s="2" t="str">
        <f>IFERROR(__xludf.DUMMYFUNCTION("""COMPUTED_VALUE"""),"Guinea-Bissau")</f>
        <v>Guinea-Bissau</v>
      </c>
      <c r="C188" s="3">
        <f>IFERROR(__xludf.DUMMYFUNCTION("""COMPUTED_VALUE"""),6119.0)</f>
        <v>6119</v>
      </c>
      <c r="D188" s="2"/>
      <c r="E188" s="2">
        <f>IFERROR(__xludf.DUMMYFUNCTION("""COMPUTED_VALUE"""),141.0)</f>
        <v>141</v>
      </c>
      <c r="F188" s="2"/>
      <c r="G188" s="3">
        <f>IFERROR(__xludf.DUMMYFUNCTION("""COMPUTED_VALUE"""),5362.0)</f>
        <v>5362</v>
      </c>
      <c r="H188" s="2"/>
      <c r="I188" s="2">
        <f>IFERROR(__xludf.DUMMYFUNCTION("""COMPUTED_VALUE"""),616.0)</f>
        <v>616</v>
      </c>
      <c r="J188" s="2"/>
      <c r="K188" s="3">
        <f>IFERROR(__xludf.DUMMYFUNCTION("""COMPUTED_VALUE"""),3018.0)</f>
        <v>3018</v>
      </c>
      <c r="L188" s="2">
        <f>IFERROR(__xludf.DUMMYFUNCTION("""COMPUTED_VALUE"""),70.0)</f>
        <v>70</v>
      </c>
      <c r="M188" s="3">
        <f>IFERROR(__xludf.DUMMYFUNCTION("""COMPUTED_VALUE"""),99530.0)</f>
        <v>99530</v>
      </c>
      <c r="N188" s="3">
        <f>IFERROR(__xludf.DUMMYFUNCTION("""COMPUTED_VALUE"""),49097.0)</f>
        <v>49097</v>
      </c>
      <c r="O188" s="3">
        <f>IFERROR(__xludf.DUMMYFUNCTION("""COMPUTED_VALUE"""),2027201.0)</f>
        <v>2027201</v>
      </c>
      <c r="P188" s="2" t="str">
        <f>IFERROR(__xludf.DUMMYFUNCTION("""COMPUTED_VALUE"""),"Africa")</f>
        <v>Africa</v>
      </c>
      <c r="Q188" s="2">
        <f>IFERROR(__xludf.DUMMYFUNCTION("""COMPUTED_VALUE"""),331.0)</f>
        <v>331</v>
      </c>
      <c r="R188" s="3">
        <f>IFERROR(__xludf.DUMMYFUNCTION("""COMPUTED_VALUE"""),14377.0)</f>
        <v>14377</v>
      </c>
      <c r="S188" s="2">
        <f>IFERROR(__xludf.DUMMYFUNCTION("""COMPUTED_VALUE"""),20.0)</f>
        <v>20</v>
      </c>
      <c r="T188" s="2"/>
      <c r="U188" s="2"/>
      <c r="V188" s="2">
        <f>IFERROR(__xludf.DUMMYFUNCTION("""COMPUTED_VALUE"""),304.0)</f>
        <v>304</v>
      </c>
    </row>
    <row r="189" ht="15.75" customHeight="1">
      <c r="A189" s="2">
        <f>IFERROR(__xludf.DUMMYFUNCTION("""COMPUTED_VALUE"""),180.0)</f>
        <v>180</v>
      </c>
      <c r="B189" s="2" t="str">
        <f>IFERROR(__xludf.DUMMYFUNCTION("""COMPUTED_VALUE"""),"Niger")</f>
        <v>Niger</v>
      </c>
      <c r="C189" s="3">
        <f>IFERROR(__xludf.DUMMYFUNCTION("""COMPUTED_VALUE"""),6115.0)</f>
        <v>6115</v>
      </c>
      <c r="D189" s="2"/>
      <c r="E189" s="2">
        <f>IFERROR(__xludf.DUMMYFUNCTION("""COMPUTED_VALUE"""),204.0)</f>
        <v>204</v>
      </c>
      <c r="F189" s="2"/>
      <c r="G189" s="3">
        <f>IFERROR(__xludf.DUMMYFUNCTION("""COMPUTED_VALUE"""),5799.0)</f>
        <v>5799</v>
      </c>
      <c r="H189" s="2"/>
      <c r="I189" s="2">
        <f>IFERROR(__xludf.DUMMYFUNCTION("""COMPUTED_VALUE"""),112.0)</f>
        <v>112</v>
      </c>
      <c r="J189" s="2"/>
      <c r="K189" s="2">
        <f>IFERROR(__xludf.DUMMYFUNCTION("""COMPUTED_VALUE"""),242.0)</f>
        <v>242</v>
      </c>
      <c r="L189" s="2">
        <f>IFERROR(__xludf.DUMMYFUNCTION("""COMPUTED_VALUE"""),8.0)</f>
        <v>8</v>
      </c>
      <c r="M189" s="3">
        <f>IFERROR(__xludf.DUMMYFUNCTION("""COMPUTED_VALUE"""),162213.0)</f>
        <v>162213</v>
      </c>
      <c r="N189" s="3">
        <f>IFERROR(__xludf.DUMMYFUNCTION("""COMPUTED_VALUE"""),6407.0)</f>
        <v>6407</v>
      </c>
      <c r="O189" s="3">
        <f>IFERROR(__xludf.DUMMYFUNCTION("""COMPUTED_VALUE"""),2.5319595E7)</f>
        <v>25319595</v>
      </c>
      <c r="P189" s="2" t="str">
        <f>IFERROR(__xludf.DUMMYFUNCTION("""COMPUTED_VALUE"""),"Africa")</f>
        <v>Africa</v>
      </c>
      <c r="Q189" s="3">
        <f>IFERROR(__xludf.DUMMYFUNCTION("""COMPUTED_VALUE"""),4141.0)</f>
        <v>4141</v>
      </c>
      <c r="R189" s="3">
        <f>IFERROR(__xludf.DUMMYFUNCTION("""COMPUTED_VALUE"""),124116.0)</f>
        <v>124116</v>
      </c>
      <c r="S189" s="2">
        <f>IFERROR(__xludf.DUMMYFUNCTION("""COMPUTED_VALUE"""),156.0)</f>
        <v>156</v>
      </c>
      <c r="T189" s="2"/>
      <c r="U189" s="2"/>
      <c r="V189" s="2">
        <f>IFERROR(__xludf.DUMMYFUNCTION("""COMPUTED_VALUE"""),4.0)</f>
        <v>4</v>
      </c>
    </row>
    <row r="190" ht="15.75" customHeight="1">
      <c r="A190" s="2">
        <f>IFERROR(__xludf.DUMMYFUNCTION("""COMPUTED_VALUE"""),181.0)</f>
        <v>181</v>
      </c>
      <c r="B190" s="2" t="str">
        <f>IFERROR(__xludf.DUMMYFUNCTION("""COMPUTED_VALUE"""),"Liberia")</f>
        <v>Liberia</v>
      </c>
      <c r="C190" s="3">
        <f>IFERROR(__xludf.DUMMYFUNCTION("""COMPUTED_VALUE"""),5801.0)</f>
        <v>5801</v>
      </c>
      <c r="D190" s="2"/>
      <c r="E190" s="2">
        <f>IFERROR(__xludf.DUMMYFUNCTION("""COMPUTED_VALUE"""),286.0)</f>
        <v>286</v>
      </c>
      <c r="F190" s="2"/>
      <c r="G190" s="3">
        <f>IFERROR(__xludf.DUMMYFUNCTION("""COMPUTED_VALUE"""),5458.0)</f>
        <v>5458</v>
      </c>
      <c r="H190" s="2"/>
      <c r="I190" s="2">
        <f>IFERROR(__xludf.DUMMYFUNCTION("""COMPUTED_VALUE"""),57.0)</f>
        <v>57</v>
      </c>
      <c r="J190" s="2">
        <f>IFERROR(__xludf.DUMMYFUNCTION("""COMPUTED_VALUE"""),2.0)</f>
        <v>2</v>
      </c>
      <c r="K190" s="3">
        <f>IFERROR(__xludf.DUMMYFUNCTION("""COMPUTED_VALUE"""),1114.0)</f>
        <v>1114</v>
      </c>
      <c r="L190" s="2">
        <f>IFERROR(__xludf.DUMMYFUNCTION("""COMPUTED_VALUE"""),55.0)</f>
        <v>55</v>
      </c>
      <c r="M190" s="3">
        <f>IFERROR(__xludf.DUMMYFUNCTION("""COMPUTED_VALUE"""),128246.0)</f>
        <v>128246</v>
      </c>
      <c r="N190" s="3">
        <f>IFERROR(__xludf.DUMMYFUNCTION("""COMPUTED_VALUE"""),24620.0)</f>
        <v>24620</v>
      </c>
      <c r="O190" s="3">
        <f>IFERROR(__xludf.DUMMYFUNCTION("""COMPUTED_VALUE"""),5208981.0)</f>
        <v>5208981</v>
      </c>
      <c r="P190" s="2" t="str">
        <f>IFERROR(__xludf.DUMMYFUNCTION("""COMPUTED_VALUE"""),"Africa")</f>
        <v>Africa</v>
      </c>
      <c r="Q190" s="2">
        <f>IFERROR(__xludf.DUMMYFUNCTION("""COMPUTED_VALUE"""),898.0)</f>
        <v>898</v>
      </c>
      <c r="R190" s="3">
        <f>IFERROR(__xludf.DUMMYFUNCTION("""COMPUTED_VALUE"""),18213.0)</f>
        <v>18213</v>
      </c>
      <c r="S190" s="2">
        <f>IFERROR(__xludf.DUMMYFUNCTION("""COMPUTED_VALUE"""),41.0)</f>
        <v>41</v>
      </c>
      <c r="T190" s="2"/>
      <c r="U190" s="2"/>
      <c r="V190" s="2">
        <f>IFERROR(__xludf.DUMMYFUNCTION("""COMPUTED_VALUE"""),11.0)</f>
        <v>11</v>
      </c>
    </row>
    <row r="191" ht="15.75" customHeight="1">
      <c r="A191" s="2">
        <f>IFERROR(__xludf.DUMMYFUNCTION("""COMPUTED_VALUE"""),182.0)</f>
        <v>182</v>
      </c>
      <c r="B191" s="2" t="str">
        <f>IFERROR(__xludf.DUMMYFUNCTION("""COMPUTED_VALUE"""),"Gibraltar")</f>
        <v>Gibraltar</v>
      </c>
      <c r="C191" s="3">
        <f>IFERROR(__xludf.DUMMYFUNCTION("""COMPUTED_VALUE"""),5682.0)</f>
        <v>5682</v>
      </c>
      <c r="D191" s="2" t="str">
        <f>IFERROR(__xludf.DUMMYFUNCTION("""COMPUTED_VALUE"""),"+25")</f>
        <v>+25</v>
      </c>
      <c r="E191" s="2">
        <f>IFERROR(__xludf.DUMMYFUNCTION("""COMPUTED_VALUE"""),97.0)</f>
        <v>97</v>
      </c>
      <c r="F191" s="2"/>
      <c r="G191" s="3">
        <f>IFERROR(__xludf.DUMMYFUNCTION("""COMPUTED_VALUE"""),5456.0)</f>
        <v>5456</v>
      </c>
      <c r="H191" s="2" t="str">
        <f>IFERROR(__xludf.DUMMYFUNCTION("""COMPUTED_VALUE"""),"+5")</f>
        <v>+5</v>
      </c>
      <c r="I191" s="2">
        <f>IFERROR(__xludf.DUMMYFUNCTION("""COMPUTED_VALUE"""),129.0)</f>
        <v>129</v>
      </c>
      <c r="J191" s="2">
        <f>IFERROR(__xludf.DUMMYFUNCTION("""COMPUTED_VALUE"""),4.0)</f>
        <v>4</v>
      </c>
      <c r="K191" s="3">
        <f>IFERROR(__xludf.DUMMYFUNCTION("""COMPUTED_VALUE"""),168715.0)</f>
        <v>168715</v>
      </c>
      <c r="L191" s="3">
        <f>IFERROR(__xludf.DUMMYFUNCTION("""COMPUTED_VALUE"""),2880.0)</f>
        <v>2880</v>
      </c>
      <c r="M191" s="3">
        <f>IFERROR(__xludf.DUMMYFUNCTION("""COMPUTED_VALUE"""),370800.0)</f>
        <v>370800</v>
      </c>
      <c r="N191" s="3">
        <f>IFERROR(__xludf.DUMMYFUNCTION("""COMPUTED_VALUE"""),1.1010155E7)</f>
        <v>11010155</v>
      </c>
      <c r="O191" s="3">
        <f>IFERROR(__xludf.DUMMYFUNCTION("""COMPUTED_VALUE"""),33678.0)</f>
        <v>33678</v>
      </c>
      <c r="P191" s="2" t="str">
        <f>IFERROR(__xludf.DUMMYFUNCTION("""COMPUTED_VALUE"""),"Europe")</f>
        <v>Europe</v>
      </c>
      <c r="Q191" s="2">
        <f>IFERROR(__xludf.DUMMYFUNCTION("""COMPUTED_VALUE"""),6.0)</f>
        <v>6</v>
      </c>
      <c r="R191" s="2">
        <f>IFERROR(__xludf.DUMMYFUNCTION("""COMPUTED_VALUE"""),347.0)</f>
        <v>347</v>
      </c>
      <c r="S191" s="2">
        <f>IFERROR(__xludf.DUMMYFUNCTION("""COMPUTED_VALUE"""),0.0)</f>
        <v>0</v>
      </c>
      <c r="T191" s="2">
        <f>IFERROR(__xludf.DUMMYFUNCTION("""COMPUTED_VALUE"""),742.0)</f>
        <v>742</v>
      </c>
      <c r="U191" s="2"/>
      <c r="V191" s="3">
        <f>IFERROR(__xludf.DUMMYFUNCTION("""COMPUTED_VALUE"""),3830.0)</f>
        <v>3830</v>
      </c>
    </row>
    <row r="192" ht="15.75" customHeight="1">
      <c r="A192" s="2">
        <f>IFERROR(__xludf.DUMMYFUNCTION("""COMPUTED_VALUE"""),183.0)</f>
        <v>183</v>
      </c>
      <c r="B192" s="2" t="str">
        <f>IFERROR(__xludf.DUMMYFUNCTION("""COMPUTED_VALUE"""),"Grenada")</f>
        <v>Grenada</v>
      </c>
      <c r="C192" s="3">
        <f>IFERROR(__xludf.DUMMYFUNCTION("""COMPUTED_VALUE"""),5653.0)</f>
        <v>5653</v>
      </c>
      <c r="D192" s="2" t="str">
        <f>IFERROR(__xludf.DUMMYFUNCTION("""COMPUTED_VALUE"""),"+27")</f>
        <v>+27</v>
      </c>
      <c r="E192" s="2">
        <f>IFERROR(__xludf.DUMMYFUNCTION("""COMPUTED_VALUE"""),183.0)</f>
        <v>183</v>
      </c>
      <c r="F192" s="2" t="str">
        <f>IFERROR(__xludf.DUMMYFUNCTION("""COMPUTED_VALUE"""),"+3")</f>
        <v>+3</v>
      </c>
      <c r="G192" s="3">
        <f>IFERROR(__xludf.DUMMYFUNCTION("""COMPUTED_VALUE"""),5149.0)</f>
        <v>5149</v>
      </c>
      <c r="H192" s="2" t="str">
        <f>IFERROR(__xludf.DUMMYFUNCTION("""COMPUTED_VALUE"""),"+71")</f>
        <v>+71</v>
      </c>
      <c r="I192" s="2">
        <f>IFERROR(__xludf.DUMMYFUNCTION("""COMPUTED_VALUE"""),321.0)</f>
        <v>321</v>
      </c>
      <c r="J192" s="2"/>
      <c r="K192" s="3">
        <f>IFERROR(__xludf.DUMMYFUNCTION("""COMPUTED_VALUE"""),49943.0)</f>
        <v>49943</v>
      </c>
      <c r="L192" s="3">
        <f>IFERROR(__xludf.DUMMYFUNCTION("""COMPUTED_VALUE"""),1617.0)</f>
        <v>1617</v>
      </c>
      <c r="M192" s="3">
        <f>IFERROR(__xludf.DUMMYFUNCTION("""COMPUTED_VALUE"""),75017.0)</f>
        <v>75017</v>
      </c>
      <c r="N192" s="3">
        <f>IFERROR(__xludf.DUMMYFUNCTION("""COMPUTED_VALUE"""),662765.0)</f>
        <v>662765</v>
      </c>
      <c r="O192" s="3">
        <f>IFERROR(__xludf.DUMMYFUNCTION("""COMPUTED_VALUE"""),113188.0)</f>
        <v>113188</v>
      </c>
      <c r="P192" s="2" t="str">
        <f>IFERROR(__xludf.DUMMYFUNCTION("""COMPUTED_VALUE"""),"North America")</f>
        <v>North America</v>
      </c>
      <c r="Q192" s="2">
        <f>IFERROR(__xludf.DUMMYFUNCTION("""COMPUTED_VALUE"""),20.0)</f>
        <v>20</v>
      </c>
      <c r="R192" s="2">
        <f>IFERROR(__xludf.DUMMYFUNCTION("""COMPUTED_VALUE"""),619.0)</f>
        <v>619</v>
      </c>
      <c r="S192" s="2">
        <f>IFERROR(__xludf.DUMMYFUNCTION("""COMPUTED_VALUE"""),2.0)</f>
        <v>2</v>
      </c>
      <c r="T192" s="2">
        <f>IFERROR(__xludf.DUMMYFUNCTION("""COMPUTED_VALUE"""),239.0)</f>
        <v>239</v>
      </c>
      <c r="U192" s="2">
        <f>IFERROR(__xludf.DUMMYFUNCTION("""COMPUTED_VALUE"""),27.0)</f>
        <v>27</v>
      </c>
      <c r="V192" s="3">
        <f>IFERROR(__xludf.DUMMYFUNCTION("""COMPUTED_VALUE"""),2836.0)</f>
        <v>2836</v>
      </c>
    </row>
    <row r="193" ht="15.75" customHeight="1">
      <c r="A193" s="2">
        <f>IFERROR(__xludf.DUMMYFUNCTION("""COMPUTED_VALUE"""),184.0)</f>
        <v>184</v>
      </c>
      <c r="B193" s="2" t="str">
        <f>IFERROR(__xludf.DUMMYFUNCTION("""COMPUTED_VALUE"""),"Bermuda")</f>
        <v>Bermuda</v>
      </c>
      <c r="C193" s="3">
        <f>IFERROR(__xludf.DUMMYFUNCTION("""COMPUTED_VALUE"""),5501.0)</f>
        <v>5501</v>
      </c>
      <c r="D193" s="2"/>
      <c r="E193" s="2">
        <f>IFERROR(__xludf.DUMMYFUNCTION("""COMPUTED_VALUE"""),89.0)</f>
        <v>89</v>
      </c>
      <c r="F193" s="2"/>
      <c r="G193" s="3">
        <f>IFERROR(__xludf.DUMMYFUNCTION("""COMPUTED_VALUE"""),4600.0)</f>
        <v>4600</v>
      </c>
      <c r="H193" s="2"/>
      <c r="I193" s="2">
        <f>IFERROR(__xludf.DUMMYFUNCTION("""COMPUTED_VALUE"""),812.0)</f>
        <v>812</v>
      </c>
      <c r="J193" s="2">
        <f>IFERROR(__xludf.DUMMYFUNCTION("""COMPUTED_VALUE"""),1.0)</f>
        <v>1</v>
      </c>
      <c r="K193" s="3">
        <f>IFERROR(__xludf.DUMMYFUNCTION("""COMPUTED_VALUE"""),88749.0)</f>
        <v>88749</v>
      </c>
      <c r="L193" s="3">
        <f>IFERROR(__xludf.DUMMYFUNCTION("""COMPUTED_VALUE"""),1436.0)</f>
        <v>1436</v>
      </c>
      <c r="M193" s="3">
        <f>IFERROR(__xludf.DUMMYFUNCTION("""COMPUTED_VALUE"""),557923.0)</f>
        <v>557923</v>
      </c>
      <c r="N193" s="3">
        <f>IFERROR(__xludf.DUMMYFUNCTION("""COMPUTED_VALUE"""),9001081.0)</f>
        <v>9001081</v>
      </c>
      <c r="O193" s="3">
        <f>IFERROR(__xludf.DUMMYFUNCTION("""COMPUTED_VALUE"""),61984.0)</f>
        <v>61984</v>
      </c>
      <c r="P193" s="2" t="str">
        <f>IFERROR(__xludf.DUMMYFUNCTION("""COMPUTED_VALUE"""),"North America")</f>
        <v>North America</v>
      </c>
      <c r="Q193" s="2">
        <f>IFERROR(__xludf.DUMMYFUNCTION("""COMPUTED_VALUE"""),11.0)</f>
        <v>11</v>
      </c>
      <c r="R193" s="2">
        <f>IFERROR(__xludf.DUMMYFUNCTION("""COMPUTED_VALUE"""),696.0)</f>
        <v>696</v>
      </c>
      <c r="S193" s="2">
        <f>IFERROR(__xludf.DUMMYFUNCTION("""COMPUTED_VALUE"""),0.0)</f>
        <v>0</v>
      </c>
      <c r="T193" s="2"/>
      <c r="U193" s="2"/>
      <c r="V193" s="3">
        <f>IFERROR(__xludf.DUMMYFUNCTION("""COMPUTED_VALUE"""),13100.0)</f>
        <v>13100</v>
      </c>
    </row>
    <row r="194" ht="15.75" customHeight="1">
      <c r="A194" s="2">
        <f>IFERROR(__xludf.DUMMYFUNCTION("""COMPUTED_VALUE"""),185.0)</f>
        <v>185</v>
      </c>
      <c r="B194" s="2" t="str">
        <f>IFERROR(__xludf.DUMMYFUNCTION("""COMPUTED_VALUE"""),"San Marino")</f>
        <v>San Marino</v>
      </c>
      <c r="C194" s="3">
        <f>IFERROR(__xludf.DUMMYFUNCTION("""COMPUTED_VALUE"""),5470.0)</f>
        <v>5470</v>
      </c>
      <c r="D194" s="2"/>
      <c r="E194" s="2">
        <f>IFERROR(__xludf.DUMMYFUNCTION("""COMPUTED_VALUE"""),91.0)</f>
        <v>91</v>
      </c>
      <c r="F194" s="2"/>
      <c r="G194" s="3">
        <f>IFERROR(__xludf.DUMMYFUNCTION("""COMPUTED_VALUE"""),5343.0)</f>
        <v>5343</v>
      </c>
      <c r="H194" s="2"/>
      <c r="I194" s="2">
        <f>IFERROR(__xludf.DUMMYFUNCTION("""COMPUTED_VALUE"""),36.0)</f>
        <v>36</v>
      </c>
      <c r="J194" s="2">
        <f>IFERROR(__xludf.DUMMYFUNCTION("""COMPUTED_VALUE"""),2.0)</f>
        <v>2</v>
      </c>
      <c r="K194" s="3">
        <f>IFERROR(__xludf.DUMMYFUNCTION("""COMPUTED_VALUE"""),160778.0)</f>
        <v>160778</v>
      </c>
      <c r="L194" s="3">
        <f>IFERROR(__xludf.DUMMYFUNCTION("""COMPUTED_VALUE"""),2675.0)</f>
        <v>2675</v>
      </c>
      <c r="M194" s="3">
        <f>IFERROR(__xludf.DUMMYFUNCTION("""COMPUTED_VALUE"""),80733.0)</f>
        <v>80733</v>
      </c>
      <c r="N194" s="3">
        <f>IFERROR(__xludf.DUMMYFUNCTION("""COMPUTED_VALUE"""),2372965.0)</f>
        <v>2372965</v>
      </c>
      <c r="O194" s="3">
        <f>IFERROR(__xludf.DUMMYFUNCTION("""COMPUTED_VALUE"""),34022.0)</f>
        <v>34022</v>
      </c>
      <c r="P194" s="2" t="str">
        <f>IFERROR(__xludf.DUMMYFUNCTION("""COMPUTED_VALUE"""),"Europe")</f>
        <v>Europe</v>
      </c>
      <c r="Q194" s="2">
        <f>IFERROR(__xludf.DUMMYFUNCTION("""COMPUTED_VALUE"""),6.0)</f>
        <v>6</v>
      </c>
      <c r="R194" s="2">
        <f>IFERROR(__xludf.DUMMYFUNCTION("""COMPUTED_VALUE"""),374.0)</f>
        <v>374</v>
      </c>
      <c r="S194" s="2">
        <f>IFERROR(__xludf.DUMMYFUNCTION("""COMPUTED_VALUE"""),0.0)</f>
        <v>0</v>
      </c>
      <c r="T194" s="2"/>
      <c r="U194" s="2"/>
      <c r="V194" s="3">
        <f>IFERROR(__xludf.DUMMYFUNCTION("""COMPUTED_VALUE"""),1058.0)</f>
        <v>1058</v>
      </c>
    </row>
    <row r="195" ht="15.75" customHeight="1">
      <c r="A195" s="2">
        <f>IFERROR(__xludf.DUMMYFUNCTION("""COMPUTED_VALUE"""),186.0)</f>
        <v>186</v>
      </c>
      <c r="B195" s="2" t="str">
        <f>IFERROR(__xludf.DUMMYFUNCTION("""COMPUTED_VALUE"""),"Chad")</f>
        <v>Chad</v>
      </c>
      <c r="C195" s="3">
        <f>IFERROR(__xludf.DUMMYFUNCTION("""COMPUTED_VALUE"""),5061.0)</f>
        <v>5061</v>
      </c>
      <c r="D195" s="2" t="str">
        <f>IFERROR(__xludf.DUMMYFUNCTION("""COMPUTED_VALUE"""),"+2")</f>
        <v>+2</v>
      </c>
      <c r="E195" s="2">
        <f>IFERROR(__xludf.DUMMYFUNCTION("""COMPUTED_VALUE"""),174.0)</f>
        <v>174</v>
      </c>
      <c r="F195" s="2"/>
      <c r="G195" s="3">
        <f>IFERROR(__xludf.DUMMYFUNCTION("""COMPUTED_VALUE"""),4873.0)</f>
        <v>4873</v>
      </c>
      <c r="H195" s="2" t="str">
        <f>IFERROR(__xludf.DUMMYFUNCTION("""COMPUTED_VALUE"""),"+7")</f>
        <v>+7</v>
      </c>
      <c r="I195" s="2">
        <f>IFERROR(__xludf.DUMMYFUNCTION("""COMPUTED_VALUE"""),14.0)</f>
        <v>14</v>
      </c>
      <c r="J195" s="2"/>
      <c r="K195" s="2">
        <f>IFERROR(__xludf.DUMMYFUNCTION("""COMPUTED_VALUE"""),297.0)</f>
        <v>297</v>
      </c>
      <c r="L195" s="2">
        <f>IFERROR(__xludf.DUMMYFUNCTION("""COMPUTED_VALUE"""),10.0)</f>
        <v>10</v>
      </c>
      <c r="M195" s="3">
        <f>IFERROR(__xludf.DUMMYFUNCTION("""COMPUTED_VALUE"""),147854.0)</f>
        <v>147854</v>
      </c>
      <c r="N195" s="3">
        <f>IFERROR(__xludf.DUMMYFUNCTION("""COMPUTED_VALUE"""),8684.0)</f>
        <v>8684</v>
      </c>
      <c r="O195" s="3">
        <f>IFERROR(__xludf.DUMMYFUNCTION("""COMPUTED_VALUE"""),1.702526E7)</f>
        <v>17025260</v>
      </c>
      <c r="P195" s="2" t="str">
        <f>IFERROR(__xludf.DUMMYFUNCTION("""COMPUTED_VALUE"""),"Africa")</f>
        <v>Africa</v>
      </c>
      <c r="Q195" s="3">
        <f>IFERROR(__xludf.DUMMYFUNCTION("""COMPUTED_VALUE"""),3364.0)</f>
        <v>3364</v>
      </c>
      <c r="R195" s="3">
        <f>IFERROR(__xludf.DUMMYFUNCTION("""COMPUTED_VALUE"""),97846.0)</f>
        <v>97846</v>
      </c>
      <c r="S195" s="2">
        <f>IFERROR(__xludf.DUMMYFUNCTION("""COMPUTED_VALUE"""),115.0)</f>
        <v>115</v>
      </c>
      <c r="T195" s="2">
        <f>IFERROR(__xludf.DUMMYFUNCTION("""COMPUTED_VALUE"""),0.1)</f>
        <v>0.1</v>
      </c>
      <c r="U195" s="2"/>
      <c r="V195" s="2">
        <f>IFERROR(__xludf.DUMMYFUNCTION("""COMPUTED_VALUE"""),0.8)</f>
        <v>0.8</v>
      </c>
    </row>
    <row r="196" ht="15.75" customHeight="1">
      <c r="A196" s="2">
        <f>IFERROR(__xludf.DUMMYFUNCTION("""COMPUTED_VALUE"""),187.0)</f>
        <v>187</v>
      </c>
      <c r="B196" s="2" t="str">
        <f>IFERROR(__xludf.DUMMYFUNCTION("""COMPUTED_VALUE"""),"New Zealand")</f>
        <v>New Zealand</v>
      </c>
      <c r="C196" s="3">
        <f>IFERROR(__xludf.DUMMYFUNCTION("""COMPUTED_VALUE"""),4704.0)</f>
        <v>4704</v>
      </c>
      <c r="D196" s="2" t="str">
        <f>IFERROR(__xludf.DUMMYFUNCTION("""COMPUTED_VALUE"""),"+45")</f>
        <v>+45</v>
      </c>
      <c r="E196" s="2">
        <f>IFERROR(__xludf.DUMMYFUNCTION("""COMPUTED_VALUE"""),28.0)</f>
        <v>28</v>
      </c>
      <c r="F196" s="2"/>
      <c r="G196" s="3">
        <f>IFERROR(__xludf.DUMMYFUNCTION("""COMPUTED_VALUE"""),4182.0)</f>
        <v>4182</v>
      </c>
      <c r="H196" s="2" t="str">
        <f>IFERROR(__xludf.DUMMYFUNCTION("""COMPUTED_VALUE"""),"+20")</f>
        <v>+20</v>
      </c>
      <c r="I196" s="2">
        <f>IFERROR(__xludf.DUMMYFUNCTION("""COMPUTED_VALUE"""),494.0)</f>
        <v>494</v>
      </c>
      <c r="J196" s="2">
        <f>IFERROR(__xludf.DUMMYFUNCTION("""COMPUTED_VALUE"""),5.0)</f>
        <v>5</v>
      </c>
      <c r="K196" s="2">
        <f>IFERROR(__xludf.DUMMYFUNCTION("""COMPUTED_VALUE"""),940.0)</f>
        <v>940</v>
      </c>
      <c r="L196" s="2">
        <f>IFERROR(__xludf.DUMMYFUNCTION("""COMPUTED_VALUE"""),6.0)</f>
        <v>6</v>
      </c>
      <c r="M196" s="3">
        <f>IFERROR(__xludf.DUMMYFUNCTION("""COMPUTED_VALUE"""),3619154.0)</f>
        <v>3619154</v>
      </c>
      <c r="N196" s="3">
        <f>IFERROR(__xludf.DUMMYFUNCTION("""COMPUTED_VALUE"""),723527.0)</f>
        <v>723527</v>
      </c>
      <c r="O196" s="3">
        <f>IFERROR(__xludf.DUMMYFUNCTION("""COMPUTED_VALUE"""),5002100.0)</f>
        <v>5002100</v>
      </c>
      <c r="P196" s="2" t="str">
        <f>IFERROR(__xludf.DUMMYFUNCTION("""COMPUTED_VALUE"""),"Australia/Oceania")</f>
        <v>Australia/Oceania</v>
      </c>
      <c r="Q196" s="3">
        <f>IFERROR(__xludf.DUMMYFUNCTION("""COMPUTED_VALUE"""),1063.0)</f>
        <v>1063</v>
      </c>
      <c r="R196" s="3">
        <f>IFERROR(__xludf.DUMMYFUNCTION("""COMPUTED_VALUE"""),178646.0)</f>
        <v>178646</v>
      </c>
      <c r="S196" s="2">
        <f>IFERROR(__xludf.DUMMYFUNCTION("""COMPUTED_VALUE"""),1.0)</f>
        <v>1</v>
      </c>
      <c r="T196" s="2">
        <f>IFERROR(__xludf.DUMMYFUNCTION("""COMPUTED_VALUE"""),9.0)</f>
        <v>9</v>
      </c>
      <c r="U196" s="2"/>
      <c r="V196" s="2">
        <f>IFERROR(__xludf.DUMMYFUNCTION("""COMPUTED_VALUE"""),99.0)</f>
        <v>99</v>
      </c>
    </row>
    <row r="197" ht="15.75" customHeight="1">
      <c r="A197" s="2">
        <f>IFERROR(__xludf.DUMMYFUNCTION("""COMPUTED_VALUE"""),188.0)</f>
        <v>188</v>
      </c>
      <c r="B197" s="2" t="str">
        <f>IFERROR(__xludf.DUMMYFUNCTION("""COMPUTED_VALUE"""),"Sint Maarten")</f>
        <v>Sint Maarten</v>
      </c>
      <c r="C197" s="3">
        <f>IFERROR(__xludf.DUMMYFUNCTION("""COMPUTED_VALUE"""),4403.0)</f>
        <v>4403</v>
      </c>
      <c r="D197" s="2"/>
      <c r="E197" s="2">
        <f>IFERROR(__xludf.DUMMYFUNCTION("""COMPUTED_VALUE"""),69.0)</f>
        <v>69</v>
      </c>
      <c r="F197" s="2"/>
      <c r="G197" s="3">
        <f>IFERROR(__xludf.DUMMYFUNCTION("""COMPUTED_VALUE"""),4212.0)</f>
        <v>4212</v>
      </c>
      <c r="H197" s="2"/>
      <c r="I197" s="2">
        <f>IFERROR(__xludf.DUMMYFUNCTION("""COMPUTED_VALUE"""),122.0)</f>
        <v>122</v>
      </c>
      <c r="J197" s="2">
        <f>IFERROR(__xludf.DUMMYFUNCTION("""COMPUTED_VALUE"""),10.0)</f>
        <v>10</v>
      </c>
      <c r="K197" s="3">
        <f>IFERROR(__xludf.DUMMYFUNCTION("""COMPUTED_VALUE"""),101225.0)</f>
        <v>101225</v>
      </c>
      <c r="L197" s="3">
        <f>IFERROR(__xludf.DUMMYFUNCTION("""COMPUTED_VALUE"""),1586.0)</f>
        <v>1586</v>
      </c>
      <c r="M197" s="3">
        <f>IFERROR(__xludf.DUMMYFUNCTION("""COMPUTED_VALUE"""),53105.0)</f>
        <v>53105</v>
      </c>
      <c r="N197" s="3">
        <f>IFERROR(__xludf.DUMMYFUNCTION("""COMPUTED_VALUE"""),1220889.0)</f>
        <v>1220889</v>
      </c>
      <c r="O197" s="3">
        <f>IFERROR(__xludf.DUMMYFUNCTION("""COMPUTED_VALUE"""),43497.0)</f>
        <v>43497</v>
      </c>
      <c r="P197" s="2" t="str">
        <f>IFERROR(__xludf.DUMMYFUNCTION("""COMPUTED_VALUE"""),"North America")</f>
        <v>North America</v>
      </c>
      <c r="Q197" s="2">
        <f>IFERROR(__xludf.DUMMYFUNCTION("""COMPUTED_VALUE"""),10.0)</f>
        <v>10</v>
      </c>
      <c r="R197" s="2">
        <f>IFERROR(__xludf.DUMMYFUNCTION("""COMPUTED_VALUE"""),630.0)</f>
        <v>630</v>
      </c>
      <c r="S197" s="2">
        <f>IFERROR(__xludf.DUMMYFUNCTION("""COMPUTED_VALUE"""),1.0)</f>
        <v>1</v>
      </c>
      <c r="T197" s="2"/>
      <c r="U197" s="2"/>
      <c r="V197" s="3">
        <f>IFERROR(__xludf.DUMMYFUNCTION("""COMPUTED_VALUE"""),2805.0)</f>
        <v>2805</v>
      </c>
    </row>
    <row r="198" ht="15.75" customHeight="1">
      <c r="A198" s="2">
        <f>IFERROR(__xludf.DUMMYFUNCTION("""COMPUTED_VALUE"""),189.0)</f>
        <v>189</v>
      </c>
      <c r="B198" s="2" t="str">
        <f>IFERROR(__xludf.DUMMYFUNCTION("""COMPUTED_VALUE"""),"Comoros")</f>
        <v>Comoros</v>
      </c>
      <c r="C198" s="3">
        <f>IFERROR(__xludf.DUMMYFUNCTION("""COMPUTED_VALUE"""),4169.0)</f>
        <v>4169</v>
      </c>
      <c r="D198" s="2" t="str">
        <f>IFERROR(__xludf.DUMMYFUNCTION("""COMPUTED_VALUE"""),"+3")</f>
        <v>+3</v>
      </c>
      <c r="E198" s="2">
        <f>IFERROR(__xludf.DUMMYFUNCTION("""COMPUTED_VALUE"""),147.0)</f>
        <v>147</v>
      </c>
      <c r="F198" s="2"/>
      <c r="G198" s="3">
        <f>IFERROR(__xludf.DUMMYFUNCTION("""COMPUTED_VALUE"""),3998.0)</f>
        <v>3998</v>
      </c>
      <c r="H198" s="2" t="str">
        <f>IFERROR(__xludf.DUMMYFUNCTION("""COMPUTED_VALUE"""),"+1")</f>
        <v>+1</v>
      </c>
      <c r="I198" s="2">
        <f>IFERROR(__xludf.DUMMYFUNCTION("""COMPUTED_VALUE"""),24.0)</f>
        <v>24</v>
      </c>
      <c r="J198" s="2"/>
      <c r="K198" s="3">
        <f>IFERROR(__xludf.DUMMYFUNCTION("""COMPUTED_VALUE"""),4668.0)</f>
        <v>4668</v>
      </c>
      <c r="L198" s="2">
        <f>IFERROR(__xludf.DUMMYFUNCTION("""COMPUTED_VALUE"""),165.0)</f>
        <v>165</v>
      </c>
      <c r="M198" s="2"/>
      <c r="N198" s="2"/>
      <c r="O198" s="3">
        <f>IFERROR(__xludf.DUMMYFUNCTION("""COMPUTED_VALUE"""),893186.0)</f>
        <v>893186</v>
      </c>
      <c r="P198" s="2" t="str">
        <f>IFERROR(__xludf.DUMMYFUNCTION("""COMPUTED_VALUE"""),"Africa")</f>
        <v>Africa</v>
      </c>
      <c r="Q198" s="2">
        <f>IFERROR(__xludf.DUMMYFUNCTION("""COMPUTED_VALUE"""),214.0)</f>
        <v>214</v>
      </c>
      <c r="R198" s="3">
        <f>IFERROR(__xludf.DUMMYFUNCTION("""COMPUTED_VALUE"""),6076.0)</f>
        <v>6076</v>
      </c>
      <c r="S198" s="2"/>
      <c r="T198" s="2">
        <f>IFERROR(__xludf.DUMMYFUNCTION("""COMPUTED_VALUE"""),3.0)</f>
        <v>3</v>
      </c>
      <c r="U198" s="2"/>
      <c r="V198" s="2">
        <f>IFERROR(__xludf.DUMMYFUNCTION("""COMPUTED_VALUE"""),27.0)</f>
        <v>27</v>
      </c>
    </row>
    <row r="199" ht="15.75" customHeight="1">
      <c r="A199" s="2">
        <f>IFERROR(__xludf.DUMMYFUNCTION("""COMPUTED_VALUE"""),190.0)</f>
        <v>190</v>
      </c>
      <c r="B199" s="2" t="str">
        <f>IFERROR(__xludf.DUMMYFUNCTION("""COMPUTED_VALUE"""),"St. Vincent Grenadines")</f>
        <v>St. Vincent Grenadines</v>
      </c>
      <c r="C199" s="3">
        <f>IFERROR(__xludf.DUMMYFUNCTION("""COMPUTED_VALUE"""),4096.0)</f>
        <v>4096</v>
      </c>
      <c r="D199" s="2"/>
      <c r="E199" s="2">
        <f>IFERROR(__xludf.DUMMYFUNCTION("""COMPUTED_VALUE"""),38.0)</f>
        <v>38</v>
      </c>
      <c r="F199" s="2"/>
      <c r="G199" s="3">
        <f>IFERROR(__xludf.DUMMYFUNCTION("""COMPUTED_VALUE"""),2693.0)</f>
        <v>2693</v>
      </c>
      <c r="H199" s="2"/>
      <c r="I199" s="3">
        <f>IFERROR(__xludf.DUMMYFUNCTION("""COMPUTED_VALUE"""),1365.0)</f>
        <v>1365</v>
      </c>
      <c r="J199" s="2">
        <f>IFERROR(__xludf.DUMMYFUNCTION("""COMPUTED_VALUE"""),2.0)</f>
        <v>2</v>
      </c>
      <c r="K199" s="3">
        <f>IFERROR(__xludf.DUMMYFUNCTION("""COMPUTED_VALUE"""),36772.0)</f>
        <v>36772</v>
      </c>
      <c r="L199" s="2">
        <f>IFERROR(__xludf.DUMMYFUNCTION("""COMPUTED_VALUE"""),341.0)</f>
        <v>341</v>
      </c>
      <c r="M199" s="3">
        <f>IFERROR(__xludf.DUMMYFUNCTION("""COMPUTED_VALUE"""),80024.0)</f>
        <v>80024</v>
      </c>
      <c r="N199" s="3">
        <f>IFERROR(__xludf.DUMMYFUNCTION("""COMPUTED_VALUE"""),718413.0)</f>
        <v>718413</v>
      </c>
      <c r="O199" s="3">
        <f>IFERROR(__xludf.DUMMYFUNCTION("""COMPUTED_VALUE"""),111390.0)</f>
        <v>111390</v>
      </c>
      <c r="P199" s="2" t="str">
        <f>IFERROR(__xludf.DUMMYFUNCTION("""COMPUTED_VALUE"""),"North America")</f>
        <v>North America</v>
      </c>
      <c r="Q199" s="2">
        <f>IFERROR(__xludf.DUMMYFUNCTION("""COMPUTED_VALUE"""),27.0)</f>
        <v>27</v>
      </c>
      <c r="R199" s="3">
        <f>IFERROR(__xludf.DUMMYFUNCTION("""COMPUTED_VALUE"""),2931.0)</f>
        <v>2931</v>
      </c>
      <c r="S199" s="2">
        <f>IFERROR(__xludf.DUMMYFUNCTION("""COMPUTED_VALUE"""),1.0)</f>
        <v>1</v>
      </c>
      <c r="T199" s="2"/>
      <c r="U199" s="2"/>
      <c r="V199" s="3">
        <f>IFERROR(__xludf.DUMMYFUNCTION("""COMPUTED_VALUE"""),12254.0)</f>
        <v>12254</v>
      </c>
    </row>
    <row r="200" ht="15.75" customHeight="1">
      <c r="A200" s="2">
        <f>IFERROR(__xludf.DUMMYFUNCTION("""COMPUTED_VALUE"""),191.0)</f>
        <v>191</v>
      </c>
      <c r="B200" s="2" t="str">
        <f>IFERROR(__xludf.DUMMYFUNCTION("""COMPUTED_VALUE"""),"Dominica")</f>
        <v>Dominica</v>
      </c>
      <c r="C200" s="3">
        <f>IFERROR(__xludf.DUMMYFUNCTION("""COMPUTED_VALUE"""),4020.0)</f>
        <v>4020</v>
      </c>
      <c r="D200" s="2"/>
      <c r="E200" s="2">
        <f>IFERROR(__xludf.DUMMYFUNCTION("""COMPUTED_VALUE"""),26.0)</f>
        <v>26</v>
      </c>
      <c r="F200" s="2"/>
      <c r="G200" s="3">
        <f>IFERROR(__xludf.DUMMYFUNCTION("""COMPUTED_VALUE"""),3543.0)</f>
        <v>3543</v>
      </c>
      <c r="H200" s="2"/>
      <c r="I200" s="2">
        <f>IFERROR(__xludf.DUMMYFUNCTION("""COMPUTED_VALUE"""),451.0)</f>
        <v>451</v>
      </c>
      <c r="J200" s="2"/>
      <c r="K200" s="3">
        <f>IFERROR(__xludf.DUMMYFUNCTION("""COMPUTED_VALUE"""),55668.0)</f>
        <v>55668</v>
      </c>
      <c r="L200" s="2">
        <f>IFERROR(__xludf.DUMMYFUNCTION("""COMPUTED_VALUE"""),360.0)</f>
        <v>360</v>
      </c>
      <c r="M200" s="3">
        <f>IFERROR(__xludf.DUMMYFUNCTION("""COMPUTED_VALUE"""),80072.0)</f>
        <v>80072</v>
      </c>
      <c r="N200" s="3">
        <f>IFERROR(__xludf.DUMMYFUNCTION("""COMPUTED_VALUE"""),1108815.0)</f>
        <v>1108815</v>
      </c>
      <c r="O200" s="3">
        <f>IFERROR(__xludf.DUMMYFUNCTION("""COMPUTED_VALUE"""),72214.0)</f>
        <v>72214</v>
      </c>
      <c r="P200" s="2" t="str">
        <f>IFERROR(__xludf.DUMMYFUNCTION("""COMPUTED_VALUE"""),"North America")</f>
        <v>North America</v>
      </c>
      <c r="Q200" s="2">
        <f>IFERROR(__xludf.DUMMYFUNCTION("""COMPUTED_VALUE"""),18.0)</f>
        <v>18</v>
      </c>
      <c r="R200" s="3">
        <f>IFERROR(__xludf.DUMMYFUNCTION("""COMPUTED_VALUE"""),2777.0)</f>
        <v>2777</v>
      </c>
      <c r="S200" s="2">
        <f>IFERROR(__xludf.DUMMYFUNCTION("""COMPUTED_VALUE"""),1.0)</f>
        <v>1</v>
      </c>
      <c r="T200" s="2"/>
      <c r="U200" s="2"/>
      <c r="V200" s="3">
        <f>IFERROR(__xludf.DUMMYFUNCTION("""COMPUTED_VALUE"""),6245.0)</f>
        <v>6245</v>
      </c>
    </row>
    <row r="201" ht="15.75" customHeight="1">
      <c r="A201" s="2">
        <f>IFERROR(__xludf.DUMMYFUNCTION("""COMPUTED_VALUE"""),192.0)</f>
        <v>192</v>
      </c>
      <c r="B201" s="2" t="str">
        <f>IFERROR(__xludf.DUMMYFUNCTION("""COMPUTED_VALUE"""),"Saint Martin")</f>
        <v>Saint Martin</v>
      </c>
      <c r="C201" s="3">
        <f>IFERROR(__xludf.DUMMYFUNCTION("""COMPUTED_VALUE"""),3789.0)</f>
        <v>3789</v>
      </c>
      <c r="D201" s="2"/>
      <c r="E201" s="2">
        <f>IFERROR(__xludf.DUMMYFUNCTION("""COMPUTED_VALUE"""),55.0)</f>
        <v>55</v>
      </c>
      <c r="F201" s="2"/>
      <c r="G201" s="3">
        <f>IFERROR(__xludf.DUMMYFUNCTION("""COMPUTED_VALUE"""),1399.0)</f>
        <v>1399</v>
      </c>
      <c r="H201" s="2"/>
      <c r="I201" s="3">
        <f>IFERROR(__xludf.DUMMYFUNCTION("""COMPUTED_VALUE"""),2335.0)</f>
        <v>2335</v>
      </c>
      <c r="J201" s="2">
        <f>IFERROR(__xludf.DUMMYFUNCTION("""COMPUTED_VALUE"""),7.0)</f>
        <v>7</v>
      </c>
      <c r="K201" s="3">
        <f>IFERROR(__xludf.DUMMYFUNCTION("""COMPUTED_VALUE"""),95909.0)</f>
        <v>95909</v>
      </c>
      <c r="L201" s="3">
        <f>IFERROR(__xludf.DUMMYFUNCTION("""COMPUTED_VALUE"""),1392.0)</f>
        <v>1392</v>
      </c>
      <c r="M201" s="3">
        <f>IFERROR(__xludf.DUMMYFUNCTION("""COMPUTED_VALUE"""),54303.0)</f>
        <v>54303</v>
      </c>
      <c r="N201" s="3">
        <f>IFERROR(__xludf.DUMMYFUNCTION("""COMPUTED_VALUE"""),1374551.0)</f>
        <v>1374551</v>
      </c>
      <c r="O201" s="3">
        <f>IFERROR(__xludf.DUMMYFUNCTION("""COMPUTED_VALUE"""),39506.0)</f>
        <v>39506</v>
      </c>
      <c r="P201" s="2" t="str">
        <f>IFERROR(__xludf.DUMMYFUNCTION("""COMPUTED_VALUE"""),"North America")</f>
        <v>North America</v>
      </c>
      <c r="Q201" s="2">
        <f>IFERROR(__xludf.DUMMYFUNCTION("""COMPUTED_VALUE"""),10.0)</f>
        <v>10</v>
      </c>
      <c r="R201" s="2">
        <f>IFERROR(__xludf.DUMMYFUNCTION("""COMPUTED_VALUE"""),718.0)</f>
        <v>718</v>
      </c>
      <c r="S201" s="2">
        <f>IFERROR(__xludf.DUMMYFUNCTION("""COMPUTED_VALUE"""),1.0)</f>
        <v>1</v>
      </c>
      <c r="T201" s="2"/>
      <c r="U201" s="2"/>
      <c r="V201" s="3">
        <f>IFERROR(__xludf.DUMMYFUNCTION("""COMPUTED_VALUE"""),59105.0)</f>
        <v>59105</v>
      </c>
    </row>
    <row r="202" ht="15.75" customHeight="1">
      <c r="A202" s="2">
        <f>IFERROR(__xludf.DUMMYFUNCTION("""COMPUTED_VALUE"""),193.0)</f>
        <v>193</v>
      </c>
      <c r="B202" s="2" t="str">
        <f>IFERROR(__xludf.DUMMYFUNCTION("""COMPUTED_VALUE"""),"Antigua and Barbuda")</f>
        <v>Antigua and Barbuda</v>
      </c>
      <c r="C202" s="3">
        <f>IFERROR(__xludf.DUMMYFUNCTION("""COMPUTED_VALUE"""),3750.0)</f>
        <v>3750</v>
      </c>
      <c r="D202" s="2"/>
      <c r="E202" s="2">
        <f>IFERROR(__xludf.DUMMYFUNCTION("""COMPUTED_VALUE"""),93.0)</f>
        <v>93</v>
      </c>
      <c r="F202" s="2"/>
      <c r="G202" s="3">
        <f>IFERROR(__xludf.DUMMYFUNCTION("""COMPUTED_VALUE"""),2667.0)</f>
        <v>2667</v>
      </c>
      <c r="H202" s="2"/>
      <c r="I202" s="2">
        <f>IFERROR(__xludf.DUMMYFUNCTION("""COMPUTED_VALUE"""),990.0)</f>
        <v>990</v>
      </c>
      <c r="J202" s="2">
        <f>IFERROR(__xludf.DUMMYFUNCTION("""COMPUTED_VALUE"""),9.0)</f>
        <v>9</v>
      </c>
      <c r="K202" s="3">
        <f>IFERROR(__xludf.DUMMYFUNCTION("""COMPUTED_VALUE"""),37893.0)</f>
        <v>37893</v>
      </c>
      <c r="L202" s="2">
        <f>IFERROR(__xludf.DUMMYFUNCTION("""COMPUTED_VALUE"""),940.0)</f>
        <v>940</v>
      </c>
      <c r="M202" s="3">
        <f>IFERROR(__xludf.DUMMYFUNCTION("""COMPUTED_VALUE"""),17674.0)</f>
        <v>17674</v>
      </c>
      <c r="N202" s="3">
        <f>IFERROR(__xludf.DUMMYFUNCTION("""COMPUTED_VALUE"""),178592.0)</f>
        <v>178592</v>
      </c>
      <c r="O202" s="3">
        <f>IFERROR(__xludf.DUMMYFUNCTION("""COMPUTED_VALUE"""),98963.0)</f>
        <v>98963</v>
      </c>
      <c r="P202" s="2" t="str">
        <f>IFERROR(__xludf.DUMMYFUNCTION("""COMPUTED_VALUE"""),"North America")</f>
        <v>North America</v>
      </c>
      <c r="Q202" s="2">
        <f>IFERROR(__xludf.DUMMYFUNCTION("""COMPUTED_VALUE"""),26.0)</f>
        <v>26</v>
      </c>
      <c r="R202" s="3">
        <f>IFERROR(__xludf.DUMMYFUNCTION("""COMPUTED_VALUE"""),1064.0)</f>
        <v>1064</v>
      </c>
      <c r="S202" s="2">
        <f>IFERROR(__xludf.DUMMYFUNCTION("""COMPUTED_VALUE"""),6.0)</f>
        <v>6</v>
      </c>
      <c r="T202" s="2"/>
      <c r="U202" s="2"/>
      <c r="V202" s="3">
        <f>IFERROR(__xludf.DUMMYFUNCTION("""COMPUTED_VALUE"""),10004.0)</f>
        <v>10004</v>
      </c>
    </row>
    <row r="203" ht="15.75" customHeight="1">
      <c r="A203" s="2">
        <f>IFERROR(__xludf.DUMMYFUNCTION("""COMPUTED_VALUE"""),194.0)</f>
        <v>194</v>
      </c>
      <c r="B203" s="2" t="str">
        <f>IFERROR(__xludf.DUMMYFUNCTION("""COMPUTED_VALUE"""),"Sao Tome and Principe")</f>
        <v>Sao Tome and Principe</v>
      </c>
      <c r="C203" s="3">
        <f>IFERROR(__xludf.DUMMYFUNCTION("""COMPUTED_VALUE"""),3629.0)</f>
        <v>3629</v>
      </c>
      <c r="D203" s="2"/>
      <c r="E203" s="2">
        <f>IFERROR(__xludf.DUMMYFUNCTION("""COMPUTED_VALUE"""),56.0)</f>
        <v>56</v>
      </c>
      <c r="F203" s="2"/>
      <c r="G203" s="3">
        <f>IFERROR(__xludf.DUMMYFUNCTION("""COMPUTED_VALUE"""),3017.0)</f>
        <v>3017</v>
      </c>
      <c r="H203" s="2"/>
      <c r="I203" s="2">
        <f>IFERROR(__xludf.DUMMYFUNCTION("""COMPUTED_VALUE"""),556.0)</f>
        <v>556</v>
      </c>
      <c r="J203" s="2"/>
      <c r="K203" s="3">
        <f>IFERROR(__xludf.DUMMYFUNCTION("""COMPUTED_VALUE"""),16176.0)</f>
        <v>16176</v>
      </c>
      <c r="L203" s="2">
        <f>IFERROR(__xludf.DUMMYFUNCTION("""COMPUTED_VALUE"""),250.0)</f>
        <v>250</v>
      </c>
      <c r="M203" s="3">
        <f>IFERROR(__xludf.DUMMYFUNCTION("""COMPUTED_VALUE"""),14689.0)</f>
        <v>14689</v>
      </c>
      <c r="N203" s="3">
        <f>IFERROR(__xludf.DUMMYFUNCTION("""COMPUTED_VALUE"""),65476.0)</f>
        <v>65476</v>
      </c>
      <c r="O203" s="3">
        <f>IFERROR(__xludf.DUMMYFUNCTION("""COMPUTED_VALUE"""),224343.0)</f>
        <v>224343</v>
      </c>
      <c r="P203" s="2" t="str">
        <f>IFERROR(__xludf.DUMMYFUNCTION("""COMPUTED_VALUE"""),"Africa")</f>
        <v>Africa</v>
      </c>
      <c r="Q203" s="2">
        <f>IFERROR(__xludf.DUMMYFUNCTION("""COMPUTED_VALUE"""),62.0)</f>
        <v>62</v>
      </c>
      <c r="R203" s="3">
        <f>IFERROR(__xludf.DUMMYFUNCTION("""COMPUTED_VALUE"""),4006.0)</f>
        <v>4006</v>
      </c>
      <c r="S203" s="2">
        <f>IFERROR(__xludf.DUMMYFUNCTION("""COMPUTED_VALUE"""),15.0)</f>
        <v>15</v>
      </c>
      <c r="T203" s="2"/>
      <c r="U203" s="2"/>
      <c r="V203" s="3">
        <f>IFERROR(__xludf.DUMMYFUNCTION("""COMPUTED_VALUE"""),2478.0)</f>
        <v>2478</v>
      </c>
    </row>
    <row r="204" ht="15.75" customHeight="1">
      <c r="A204" s="2">
        <f>IFERROR(__xludf.DUMMYFUNCTION("""COMPUTED_VALUE"""),195.0)</f>
        <v>195</v>
      </c>
      <c r="B204" s="2" t="str">
        <f>IFERROR(__xludf.DUMMYFUNCTION("""COMPUTED_VALUE"""),"Liechtenstein")</f>
        <v>Liechtenstein</v>
      </c>
      <c r="C204" s="3">
        <f>IFERROR(__xludf.DUMMYFUNCTION("""COMPUTED_VALUE"""),3463.0)</f>
        <v>3463</v>
      </c>
      <c r="D204" s="2"/>
      <c r="E204" s="2">
        <f>IFERROR(__xludf.DUMMYFUNCTION("""COMPUTED_VALUE"""),60.0)</f>
        <v>60</v>
      </c>
      <c r="F204" s="2"/>
      <c r="G204" s="3">
        <f>IFERROR(__xludf.DUMMYFUNCTION("""COMPUTED_VALUE"""),3384.0)</f>
        <v>3384</v>
      </c>
      <c r="H204" s="2"/>
      <c r="I204" s="2">
        <f>IFERROR(__xludf.DUMMYFUNCTION("""COMPUTED_VALUE"""),19.0)</f>
        <v>19</v>
      </c>
      <c r="J204" s="2">
        <f>IFERROR(__xludf.DUMMYFUNCTION("""COMPUTED_VALUE"""),1.0)</f>
        <v>1</v>
      </c>
      <c r="K204" s="3">
        <f>IFERROR(__xludf.DUMMYFUNCTION("""COMPUTED_VALUE"""),90493.0)</f>
        <v>90493</v>
      </c>
      <c r="L204" s="3">
        <f>IFERROR(__xludf.DUMMYFUNCTION("""COMPUTED_VALUE"""),1568.0)</f>
        <v>1568</v>
      </c>
      <c r="M204" s="3">
        <f>IFERROR(__xludf.DUMMYFUNCTION("""COMPUTED_VALUE"""),49126.0)</f>
        <v>49126</v>
      </c>
      <c r="N204" s="3">
        <f>IFERROR(__xludf.DUMMYFUNCTION("""COMPUTED_VALUE"""),1283736.0)</f>
        <v>1283736</v>
      </c>
      <c r="O204" s="3">
        <f>IFERROR(__xludf.DUMMYFUNCTION("""COMPUTED_VALUE"""),38268.0)</f>
        <v>38268</v>
      </c>
      <c r="P204" s="2" t="str">
        <f>IFERROR(__xludf.DUMMYFUNCTION("""COMPUTED_VALUE"""),"Europe")</f>
        <v>Europe</v>
      </c>
      <c r="Q204" s="2">
        <f>IFERROR(__xludf.DUMMYFUNCTION("""COMPUTED_VALUE"""),11.0)</f>
        <v>11</v>
      </c>
      <c r="R204" s="2">
        <f>IFERROR(__xludf.DUMMYFUNCTION("""COMPUTED_VALUE"""),638.0)</f>
        <v>638</v>
      </c>
      <c r="S204" s="2">
        <f>IFERROR(__xludf.DUMMYFUNCTION("""COMPUTED_VALUE"""),1.0)</f>
        <v>1</v>
      </c>
      <c r="T204" s="2"/>
      <c r="U204" s="2"/>
      <c r="V204" s="2">
        <f>IFERROR(__xludf.DUMMYFUNCTION("""COMPUTED_VALUE"""),496.0)</f>
        <v>496</v>
      </c>
    </row>
    <row r="205" ht="15.75" customHeight="1">
      <c r="A205" s="2">
        <f>IFERROR(__xludf.DUMMYFUNCTION("""COMPUTED_VALUE"""),196.0)</f>
        <v>196</v>
      </c>
      <c r="B205" s="2" t="str">
        <f>IFERROR(__xludf.DUMMYFUNCTION("""COMPUTED_VALUE"""),"Monaco")</f>
        <v>Monaco</v>
      </c>
      <c r="C205" s="3">
        <f>IFERROR(__xludf.DUMMYFUNCTION("""COMPUTED_VALUE"""),3337.0)</f>
        <v>3337</v>
      </c>
      <c r="D205" s="2" t="str">
        <f>IFERROR(__xludf.DUMMYFUNCTION("""COMPUTED_VALUE"""),"+1")</f>
        <v>+1</v>
      </c>
      <c r="E205" s="2">
        <f>IFERROR(__xludf.DUMMYFUNCTION("""COMPUTED_VALUE"""),33.0)</f>
        <v>33</v>
      </c>
      <c r="F205" s="2"/>
      <c r="G205" s="3">
        <f>IFERROR(__xludf.DUMMYFUNCTION("""COMPUTED_VALUE"""),3278.0)</f>
        <v>3278</v>
      </c>
      <c r="H205" s="2" t="str">
        <f>IFERROR(__xludf.DUMMYFUNCTION("""COMPUTED_VALUE"""),"+1")</f>
        <v>+1</v>
      </c>
      <c r="I205" s="2">
        <f>IFERROR(__xludf.DUMMYFUNCTION("""COMPUTED_VALUE"""),26.0)</f>
        <v>26</v>
      </c>
      <c r="J205" s="2">
        <f>IFERROR(__xludf.DUMMYFUNCTION("""COMPUTED_VALUE"""),2.0)</f>
        <v>2</v>
      </c>
      <c r="K205" s="3">
        <f>IFERROR(__xludf.DUMMYFUNCTION("""COMPUTED_VALUE"""),84274.0)</f>
        <v>84274</v>
      </c>
      <c r="L205" s="2">
        <f>IFERROR(__xludf.DUMMYFUNCTION("""COMPUTED_VALUE"""),833.0)</f>
        <v>833</v>
      </c>
      <c r="M205" s="3">
        <f>IFERROR(__xludf.DUMMYFUNCTION("""COMPUTED_VALUE"""),54960.0)</f>
        <v>54960</v>
      </c>
      <c r="N205" s="3">
        <f>IFERROR(__xludf.DUMMYFUNCTION("""COMPUTED_VALUE"""),1387984.0)</f>
        <v>1387984</v>
      </c>
      <c r="O205" s="3">
        <f>IFERROR(__xludf.DUMMYFUNCTION("""COMPUTED_VALUE"""),39597.0)</f>
        <v>39597</v>
      </c>
      <c r="P205" s="2" t="str">
        <f>IFERROR(__xludf.DUMMYFUNCTION("""COMPUTED_VALUE"""),"Europe")</f>
        <v>Europe</v>
      </c>
      <c r="Q205" s="2">
        <f>IFERROR(__xludf.DUMMYFUNCTION("""COMPUTED_VALUE"""),12.0)</f>
        <v>12</v>
      </c>
      <c r="R205" s="3">
        <f>IFERROR(__xludf.DUMMYFUNCTION("""COMPUTED_VALUE"""),1200.0)</f>
        <v>1200</v>
      </c>
      <c r="S205" s="2">
        <f>IFERROR(__xludf.DUMMYFUNCTION("""COMPUTED_VALUE"""),1.0)</f>
        <v>1</v>
      </c>
      <c r="T205" s="2">
        <f>IFERROR(__xludf.DUMMYFUNCTION("""COMPUTED_VALUE"""),25.0)</f>
        <v>25</v>
      </c>
      <c r="U205" s="2"/>
      <c r="V205" s="2">
        <f>IFERROR(__xludf.DUMMYFUNCTION("""COMPUTED_VALUE"""),657.0)</f>
        <v>657</v>
      </c>
    </row>
    <row r="206" ht="15.75" customHeight="1">
      <c r="A206" s="2">
        <f>IFERROR(__xludf.DUMMYFUNCTION("""COMPUTED_VALUE"""),197.0)</f>
        <v>197</v>
      </c>
      <c r="B206" s="2" t="str">
        <f>IFERROR(__xludf.DUMMYFUNCTION("""COMPUTED_VALUE"""),"Turks and Caicos")</f>
        <v>Turks and Caicos</v>
      </c>
      <c r="C206" s="3">
        <f>IFERROR(__xludf.DUMMYFUNCTION("""COMPUTED_VALUE"""),2898.0)</f>
        <v>2898</v>
      </c>
      <c r="D206" s="2"/>
      <c r="E206" s="2">
        <f>IFERROR(__xludf.DUMMYFUNCTION("""COMPUTED_VALUE"""),23.0)</f>
        <v>23</v>
      </c>
      <c r="F206" s="2"/>
      <c r="G206" s="3">
        <f>IFERROR(__xludf.DUMMYFUNCTION("""COMPUTED_VALUE"""),2819.0)</f>
        <v>2819</v>
      </c>
      <c r="H206" s="2"/>
      <c r="I206" s="2">
        <f>IFERROR(__xludf.DUMMYFUNCTION("""COMPUTED_VALUE"""),56.0)</f>
        <v>56</v>
      </c>
      <c r="J206" s="2">
        <f>IFERROR(__xludf.DUMMYFUNCTION("""COMPUTED_VALUE"""),1.0)</f>
        <v>1</v>
      </c>
      <c r="K206" s="3">
        <f>IFERROR(__xludf.DUMMYFUNCTION("""COMPUTED_VALUE"""),73581.0)</f>
        <v>73581</v>
      </c>
      <c r="L206" s="2">
        <f>IFERROR(__xludf.DUMMYFUNCTION("""COMPUTED_VALUE"""),584.0)</f>
        <v>584</v>
      </c>
      <c r="M206" s="3">
        <f>IFERROR(__xludf.DUMMYFUNCTION("""COMPUTED_VALUE"""),94789.0)</f>
        <v>94789</v>
      </c>
      <c r="N206" s="3">
        <f>IFERROR(__xludf.DUMMYFUNCTION("""COMPUTED_VALUE"""),2406728.0)</f>
        <v>2406728</v>
      </c>
      <c r="O206" s="3">
        <f>IFERROR(__xludf.DUMMYFUNCTION("""COMPUTED_VALUE"""),39385.0)</f>
        <v>39385</v>
      </c>
      <c r="P206" s="2" t="str">
        <f>IFERROR(__xludf.DUMMYFUNCTION("""COMPUTED_VALUE"""),"North America")</f>
        <v>North America</v>
      </c>
      <c r="Q206" s="2">
        <f>IFERROR(__xludf.DUMMYFUNCTION("""COMPUTED_VALUE"""),14.0)</f>
        <v>14</v>
      </c>
      <c r="R206" s="3">
        <f>IFERROR(__xludf.DUMMYFUNCTION("""COMPUTED_VALUE"""),1712.0)</f>
        <v>1712</v>
      </c>
      <c r="S206" s="2">
        <f>IFERROR(__xludf.DUMMYFUNCTION("""COMPUTED_VALUE"""),0.0)</f>
        <v>0</v>
      </c>
      <c r="T206" s="2"/>
      <c r="U206" s="2"/>
      <c r="V206" s="3">
        <f>IFERROR(__xludf.DUMMYFUNCTION("""COMPUTED_VALUE"""),1422.0)</f>
        <v>1422</v>
      </c>
    </row>
    <row r="207" ht="15.75" customHeight="1">
      <c r="A207" s="2">
        <f>IFERROR(__xludf.DUMMYFUNCTION("""COMPUTED_VALUE"""),198.0)</f>
        <v>198</v>
      </c>
      <c r="B207" s="2" t="str">
        <f>IFERROR(__xludf.DUMMYFUNCTION("""COMPUTED_VALUE"""),"British Virgin Islands")</f>
        <v>British Virgin Islands</v>
      </c>
      <c r="C207" s="3">
        <f>IFERROR(__xludf.DUMMYFUNCTION("""COMPUTED_VALUE"""),2725.0)</f>
        <v>2725</v>
      </c>
      <c r="D207" s="2"/>
      <c r="E207" s="2">
        <f>IFERROR(__xludf.DUMMYFUNCTION("""COMPUTED_VALUE"""),37.0)</f>
        <v>37</v>
      </c>
      <c r="F207" s="2"/>
      <c r="G207" s="3">
        <f>IFERROR(__xludf.DUMMYFUNCTION("""COMPUTED_VALUE"""),2649.0)</f>
        <v>2649</v>
      </c>
      <c r="H207" s="2"/>
      <c r="I207" s="2">
        <f>IFERROR(__xludf.DUMMYFUNCTION("""COMPUTED_VALUE"""),39.0)</f>
        <v>39</v>
      </c>
      <c r="J207" s="2">
        <f>IFERROR(__xludf.DUMMYFUNCTION("""COMPUTED_VALUE"""),7.0)</f>
        <v>7</v>
      </c>
      <c r="K207" s="3">
        <f>IFERROR(__xludf.DUMMYFUNCTION("""COMPUTED_VALUE"""),89379.0)</f>
        <v>89379</v>
      </c>
      <c r="L207" s="3">
        <f>IFERROR(__xludf.DUMMYFUNCTION("""COMPUTED_VALUE"""),1214.0)</f>
        <v>1214</v>
      </c>
      <c r="M207" s="3">
        <f>IFERROR(__xludf.DUMMYFUNCTION("""COMPUTED_VALUE"""),82570.0)</f>
        <v>82570</v>
      </c>
      <c r="N207" s="3">
        <f>IFERROR(__xludf.DUMMYFUNCTION("""COMPUTED_VALUE"""),2708279.0)</f>
        <v>2708279</v>
      </c>
      <c r="O207" s="3">
        <f>IFERROR(__xludf.DUMMYFUNCTION("""COMPUTED_VALUE"""),30488.0)</f>
        <v>30488</v>
      </c>
      <c r="P207" s="2" t="str">
        <f>IFERROR(__xludf.DUMMYFUNCTION("""COMPUTED_VALUE"""),"North America")</f>
        <v>North America</v>
      </c>
      <c r="Q207" s="2">
        <f>IFERROR(__xludf.DUMMYFUNCTION("""COMPUTED_VALUE"""),11.0)</f>
        <v>11</v>
      </c>
      <c r="R207" s="2">
        <f>IFERROR(__xludf.DUMMYFUNCTION("""COMPUTED_VALUE"""),824.0)</f>
        <v>824</v>
      </c>
      <c r="S207" s="2">
        <f>IFERROR(__xludf.DUMMYFUNCTION("""COMPUTED_VALUE"""),0.0)</f>
        <v>0</v>
      </c>
      <c r="T207" s="2"/>
      <c r="U207" s="2"/>
      <c r="V207" s="3">
        <f>IFERROR(__xludf.DUMMYFUNCTION("""COMPUTED_VALUE"""),1279.0)</f>
        <v>1279</v>
      </c>
    </row>
    <row r="208" ht="15.75" customHeight="1">
      <c r="A208" s="2">
        <f>IFERROR(__xludf.DUMMYFUNCTION("""COMPUTED_VALUE"""),199.0)</f>
        <v>199</v>
      </c>
      <c r="B208" s="2" t="str">
        <f>IFERROR(__xludf.DUMMYFUNCTION("""COMPUTED_VALUE"""),"Bhutan")</f>
        <v>Bhutan</v>
      </c>
      <c r="C208" s="3">
        <f>IFERROR(__xludf.DUMMYFUNCTION("""COMPUTED_VALUE"""),2613.0)</f>
        <v>2613</v>
      </c>
      <c r="D208" s="2"/>
      <c r="E208" s="2">
        <f>IFERROR(__xludf.DUMMYFUNCTION("""COMPUTED_VALUE"""),3.0)</f>
        <v>3</v>
      </c>
      <c r="F208" s="2"/>
      <c r="G208" s="3">
        <f>IFERROR(__xludf.DUMMYFUNCTION("""COMPUTED_VALUE"""),2605.0)</f>
        <v>2605</v>
      </c>
      <c r="H208" s="2" t="str">
        <f>IFERROR(__xludf.DUMMYFUNCTION("""COMPUTED_VALUE"""),"+2")</f>
        <v>+2</v>
      </c>
      <c r="I208" s="2">
        <f>IFERROR(__xludf.DUMMYFUNCTION("""COMPUTED_VALUE"""),5.0)</f>
        <v>5</v>
      </c>
      <c r="J208" s="2"/>
      <c r="K208" s="3">
        <f>IFERROR(__xludf.DUMMYFUNCTION("""COMPUTED_VALUE"""),3340.0)</f>
        <v>3340</v>
      </c>
      <c r="L208" s="2">
        <f>IFERROR(__xludf.DUMMYFUNCTION("""COMPUTED_VALUE"""),4.0)</f>
        <v>4</v>
      </c>
      <c r="M208" s="3">
        <f>IFERROR(__xludf.DUMMYFUNCTION("""COMPUTED_VALUE"""),1171208.0)</f>
        <v>1171208</v>
      </c>
      <c r="N208" s="3">
        <f>IFERROR(__xludf.DUMMYFUNCTION("""COMPUTED_VALUE"""),1496860.0)</f>
        <v>1496860</v>
      </c>
      <c r="O208" s="3">
        <f>IFERROR(__xludf.DUMMYFUNCTION("""COMPUTED_VALUE"""),782443.0)</f>
        <v>782443</v>
      </c>
      <c r="P208" s="2" t="str">
        <f>IFERROR(__xludf.DUMMYFUNCTION("""COMPUTED_VALUE"""),"Asia")</f>
        <v>Asia</v>
      </c>
      <c r="Q208" s="2">
        <f>IFERROR(__xludf.DUMMYFUNCTION("""COMPUTED_VALUE"""),299.0)</f>
        <v>299</v>
      </c>
      <c r="R208" s="3">
        <f>IFERROR(__xludf.DUMMYFUNCTION("""COMPUTED_VALUE"""),260814.0)</f>
        <v>260814</v>
      </c>
      <c r="S208" s="2">
        <f>IFERROR(__xludf.DUMMYFUNCTION("""COMPUTED_VALUE"""),1.0)</f>
        <v>1</v>
      </c>
      <c r="T208" s="2"/>
      <c r="U208" s="2"/>
      <c r="V208" s="2">
        <f>IFERROR(__xludf.DUMMYFUNCTION("""COMPUTED_VALUE"""),6.0)</f>
        <v>6</v>
      </c>
    </row>
    <row r="209" ht="15.75" customHeight="1">
      <c r="A209" s="2">
        <f>IFERROR(__xludf.DUMMYFUNCTION("""COMPUTED_VALUE"""),200.0)</f>
        <v>200</v>
      </c>
      <c r="B209" s="2" t="str">
        <f>IFERROR(__xludf.DUMMYFUNCTION("""COMPUTED_VALUE"""),"Saint Kitts and Nevis")</f>
        <v>Saint Kitts and Nevis</v>
      </c>
      <c r="C209" s="3">
        <f>IFERROR(__xludf.DUMMYFUNCTION("""COMPUTED_VALUE"""),2412.0)</f>
        <v>2412</v>
      </c>
      <c r="D209" s="2"/>
      <c r="E209" s="2">
        <f>IFERROR(__xludf.DUMMYFUNCTION("""COMPUTED_VALUE"""),19.0)</f>
        <v>19</v>
      </c>
      <c r="F209" s="2"/>
      <c r="G209" s="3">
        <f>IFERROR(__xludf.DUMMYFUNCTION("""COMPUTED_VALUE"""),1347.0)</f>
        <v>1347</v>
      </c>
      <c r="H209" s="2"/>
      <c r="I209" s="3">
        <f>IFERROR(__xludf.DUMMYFUNCTION("""COMPUTED_VALUE"""),1046.0)</f>
        <v>1046</v>
      </c>
      <c r="J209" s="2">
        <f>IFERROR(__xludf.DUMMYFUNCTION("""COMPUTED_VALUE"""),1.0)</f>
        <v>1</v>
      </c>
      <c r="K209" s="3">
        <f>IFERROR(__xludf.DUMMYFUNCTION("""COMPUTED_VALUE"""),44934.0)</f>
        <v>44934</v>
      </c>
      <c r="L209" s="2">
        <f>IFERROR(__xludf.DUMMYFUNCTION("""COMPUTED_VALUE"""),354.0)</f>
        <v>354</v>
      </c>
      <c r="M209" s="3">
        <f>IFERROR(__xludf.DUMMYFUNCTION("""COMPUTED_VALUE"""),46717.0)</f>
        <v>46717</v>
      </c>
      <c r="N209" s="3">
        <f>IFERROR(__xludf.DUMMYFUNCTION("""COMPUTED_VALUE"""),870303.0)</f>
        <v>870303</v>
      </c>
      <c r="O209" s="3">
        <f>IFERROR(__xludf.DUMMYFUNCTION("""COMPUTED_VALUE"""),53679.0)</f>
        <v>53679</v>
      </c>
      <c r="P209" s="2" t="str">
        <f>IFERROR(__xludf.DUMMYFUNCTION("""COMPUTED_VALUE"""),"North America")</f>
        <v>North America</v>
      </c>
      <c r="Q209" s="2">
        <f>IFERROR(__xludf.DUMMYFUNCTION("""COMPUTED_VALUE"""),22.0)</f>
        <v>22</v>
      </c>
      <c r="R209" s="3">
        <f>IFERROR(__xludf.DUMMYFUNCTION("""COMPUTED_VALUE"""),2825.0)</f>
        <v>2825</v>
      </c>
      <c r="S209" s="2">
        <f>IFERROR(__xludf.DUMMYFUNCTION("""COMPUTED_VALUE"""),1.0)</f>
        <v>1</v>
      </c>
      <c r="T209" s="2"/>
      <c r="U209" s="2"/>
      <c r="V209" s="3">
        <f>IFERROR(__xludf.DUMMYFUNCTION("""COMPUTED_VALUE"""),19486.0)</f>
        <v>19486</v>
      </c>
    </row>
    <row r="210" ht="15.75" customHeight="1">
      <c r="A210" s="2">
        <f>IFERROR(__xludf.DUMMYFUNCTION("""COMPUTED_VALUE"""),201.0)</f>
        <v>201</v>
      </c>
      <c r="B210" s="2" t="str">
        <f>IFERROR(__xludf.DUMMYFUNCTION("""COMPUTED_VALUE"""),"Caribbean Netherlands")</f>
        <v>Caribbean Netherlands</v>
      </c>
      <c r="C210" s="3">
        <f>IFERROR(__xludf.DUMMYFUNCTION("""COMPUTED_VALUE"""),2257.0)</f>
        <v>2257</v>
      </c>
      <c r="D210" s="2"/>
      <c r="E210" s="2">
        <f>IFERROR(__xludf.DUMMYFUNCTION("""COMPUTED_VALUE"""),19.0)</f>
        <v>19</v>
      </c>
      <c r="F210" s="2"/>
      <c r="G210" s="3">
        <f>IFERROR(__xludf.DUMMYFUNCTION("""COMPUTED_VALUE"""),2064.0)</f>
        <v>2064</v>
      </c>
      <c r="H210" s="2"/>
      <c r="I210" s="2">
        <f>IFERROR(__xludf.DUMMYFUNCTION("""COMPUTED_VALUE"""),174.0)</f>
        <v>174</v>
      </c>
      <c r="J210" s="2"/>
      <c r="K210" s="3">
        <f>IFERROR(__xludf.DUMMYFUNCTION("""COMPUTED_VALUE"""),85061.0)</f>
        <v>85061</v>
      </c>
      <c r="L210" s="2">
        <f>IFERROR(__xludf.DUMMYFUNCTION("""COMPUTED_VALUE"""),716.0)</f>
        <v>716</v>
      </c>
      <c r="M210" s="3">
        <f>IFERROR(__xludf.DUMMYFUNCTION("""COMPUTED_VALUE"""),25579.0)</f>
        <v>25579</v>
      </c>
      <c r="N210" s="3">
        <f>IFERROR(__xludf.DUMMYFUNCTION("""COMPUTED_VALUE"""),964008.0)</f>
        <v>964008</v>
      </c>
      <c r="O210" s="3">
        <f>IFERROR(__xludf.DUMMYFUNCTION("""COMPUTED_VALUE"""),26534.0)</f>
        <v>26534</v>
      </c>
      <c r="P210" s="2" t="str">
        <f>IFERROR(__xludf.DUMMYFUNCTION("""COMPUTED_VALUE"""),"North America")</f>
        <v>North America</v>
      </c>
      <c r="Q210" s="2">
        <f>IFERROR(__xludf.DUMMYFUNCTION("""COMPUTED_VALUE"""),12.0)</f>
        <v>12</v>
      </c>
      <c r="R210" s="3">
        <f>IFERROR(__xludf.DUMMYFUNCTION("""COMPUTED_VALUE"""),1397.0)</f>
        <v>1397</v>
      </c>
      <c r="S210" s="2">
        <f>IFERROR(__xludf.DUMMYFUNCTION("""COMPUTED_VALUE"""),1.0)</f>
        <v>1</v>
      </c>
      <c r="T210" s="2"/>
      <c r="U210" s="2"/>
      <c r="V210" s="3">
        <f>IFERROR(__xludf.DUMMYFUNCTION("""COMPUTED_VALUE"""),6558.0)</f>
        <v>6558</v>
      </c>
    </row>
    <row r="211" ht="15.75" customHeight="1">
      <c r="A211" s="2">
        <f>IFERROR(__xludf.DUMMYFUNCTION("""COMPUTED_VALUE"""),202.0)</f>
        <v>202</v>
      </c>
      <c r="B211" s="2" t="str">
        <f>IFERROR(__xludf.DUMMYFUNCTION("""COMPUTED_VALUE"""),"St. Barth")</f>
        <v>St. Barth</v>
      </c>
      <c r="C211" s="3">
        <f>IFERROR(__xludf.DUMMYFUNCTION("""COMPUTED_VALUE"""),1587.0)</f>
        <v>1587</v>
      </c>
      <c r="D211" s="2"/>
      <c r="E211" s="2">
        <f>IFERROR(__xludf.DUMMYFUNCTION("""COMPUTED_VALUE"""),6.0)</f>
        <v>6</v>
      </c>
      <c r="F211" s="2"/>
      <c r="G211" s="2">
        <f>IFERROR(__xludf.DUMMYFUNCTION("""COMPUTED_VALUE"""),462.0)</f>
        <v>462</v>
      </c>
      <c r="H211" s="2"/>
      <c r="I211" s="3">
        <f>IFERROR(__xludf.DUMMYFUNCTION("""COMPUTED_VALUE"""),1119.0)</f>
        <v>1119</v>
      </c>
      <c r="J211" s="2"/>
      <c r="K211" s="3">
        <f>IFERROR(__xludf.DUMMYFUNCTION("""COMPUTED_VALUE"""),160061.0)</f>
        <v>160061</v>
      </c>
      <c r="L211" s="2">
        <f>IFERROR(__xludf.DUMMYFUNCTION("""COMPUTED_VALUE"""),605.0)</f>
        <v>605</v>
      </c>
      <c r="M211" s="3">
        <f>IFERROR(__xludf.DUMMYFUNCTION("""COMPUTED_VALUE"""),38369.0)</f>
        <v>38369</v>
      </c>
      <c r="N211" s="3">
        <f>IFERROR(__xludf.DUMMYFUNCTION("""COMPUTED_VALUE"""),3869793.0)</f>
        <v>3869793</v>
      </c>
      <c r="O211" s="3">
        <f>IFERROR(__xludf.DUMMYFUNCTION("""COMPUTED_VALUE"""),9915.0)</f>
        <v>9915</v>
      </c>
      <c r="P211" s="2" t="str">
        <f>IFERROR(__xludf.DUMMYFUNCTION("""COMPUTED_VALUE"""),"North America")</f>
        <v>North America</v>
      </c>
      <c r="Q211" s="2">
        <f>IFERROR(__xludf.DUMMYFUNCTION("""COMPUTED_VALUE"""),6.0)</f>
        <v>6</v>
      </c>
      <c r="R211" s="3">
        <f>IFERROR(__xludf.DUMMYFUNCTION("""COMPUTED_VALUE"""),1653.0)</f>
        <v>1653</v>
      </c>
      <c r="S211" s="2">
        <f>IFERROR(__xludf.DUMMYFUNCTION("""COMPUTED_VALUE"""),0.0)</f>
        <v>0</v>
      </c>
      <c r="T211" s="2"/>
      <c r="U211" s="2"/>
      <c r="V211" s="3">
        <f>IFERROR(__xludf.DUMMYFUNCTION("""COMPUTED_VALUE"""),112859.0)</f>
        <v>112859</v>
      </c>
    </row>
    <row r="212" ht="15.75" customHeight="1">
      <c r="A212" s="2">
        <f>IFERROR(__xludf.DUMMYFUNCTION("""COMPUTED_VALUE"""),203.0)</f>
        <v>203</v>
      </c>
      <c r="B212" s="2" t="str">
        <f>IFERROR(__xludf.DUMMYFUNCTION("""COMPUTED_VALUE"""),"Faeroe Islands")</f>
        <v>Faeroe Islands</v>
      </c>
      <c r="C212" s="3">
        <f>IFERROR(__xludf.DUMMYFUNCTION("""COMPUTED_VALUE"""),1301.0)</f>
        <v>1301</v>
      </c>
      <c r="D212" s="2"/>
      <c r="E212" s="2">
        <f>IFERROR(__xludf.DUMMYFUNCTION("""COMPUTED_VALUE"""),2.0)</f>
        <v>2</v>
      </c>
      <c r="F212" s="2"/>
      <c r="G212" s="3">
        <f>IFERROR(__xludf.DUMMYFUNCTION("""COMPUTED_VALUE"""),1185.0)</f>
        <v>1185</v>
      </c>
      <c r="H212" s="2"/>
      <c r="I212" s="2">
        <f>IFERROR(__xludf.DUMMYFUNCTION("""COMPUTED_VALUE"""),114.0)</f>
        <v>114</v>
      </c>
      <c r="J212" s="2"/>
      <c r="K212" s="3">
        <f>IFERROR(__xludf.DUMMYFUNCTION("""COMPUTED_VALUE"""),26497.0)</f>
        <v>26497</v>
      </c>
      <c r="L212" s="2">
        <f>IFERROR(__xludf.DUMMYFUNCTION("""COMPUTED_VALUE"""),41.0)</f>
        <v>41</v>
      </c>
      <c r="M212" s="3">
        <f>IFERROR(__xludf.DUMMYFUNCTION("""COMPUTED_VALUE"""),447000.0)</f>
        <v>447000</v>
      </c>
      <c r="N212" s="3">
        <f>IFERROR(__xludf.DUMMYFUNCTION("""COMPUTED_VALUE"""),9103870.0)</f>
        <v>9103870</v>
      </c>
      <c r="O212" s="3">
        <f>IFERROR(__xludf.DUMMYFUNCTION("""COMPUTED_VALUE"""),49100.0)</f>
        <v>49100</v>
      </c>
      <c r="P212" s="2" t="str">
        <f>IFERROR(__xludf.DUMMYFUNCTION("""COMPUTED_VALUE"""),"Europe")</f>
        <v>Europe</v>
      </c>
      <c r="Q212" s="2">
        <f>IFERROR(__xludf.DUMMYFUNCTION("""COMPUTED_VALUE"""),38.0)</f>
        <v>38</v>
      </c>
      <c r="R212" s="3">
        <f>IFERROR(__xludf.DUMMYFUNCTION("""COMPUTED_VALUE"""),24550.0)</f>
        <v>24550</v>
      </c>
      <c r="S212" s="2">
        <f>IFERROR(__xludf.DUMMYFUNCTION("""COMPUTED_VALUE"""),0.0)</f>
        <v>0</v>
      </c>
      <c r="T212" s="2"/>
      <c r="U212" s="2"/>
      <c r="V212" s="3">
        <f>IFERROR(__xludf.DUMMYFUNCTION("""COMPUTED_VALUE"""),2322.0)</f>
        <v>2322</v>
      </c>
    </row>
    <row r="213" ht="15.75" customHeight="1">
      <c r="A213" s="2">
        <f>IFERROR(__xludf.DUMMYFUNCTION("""COMPUTED_VALUE"""),204.0)</f>
        <v>204</v>
      </c>
      <c r="B213" s="2" t="str">
        <f>IFERROR(__xludf.DUMMYFUNCTION("""COMPUTED_VALUE"""),"Cayman Islands")</f>
        <v>Cayman Islands</v>
      </c>
      <c r="C213" s="2">
        <f>IFERROR(__xludf.DUMMYFUNCTION("""COMPUTED_VALUE"""),983.0)</f>
        <v>983</v>
      </c>
      <c r="D213" s="2"/>
      <c r="E213" s="2">
        <f>IFERROR(__xludf.DUMMYFUNCTION("""COMPUTED_VALUE"""),2.0)</f>
        <v>2</v>
      </c>
      <c r="F213" s="2"/>
      <c r="G213" s="2">
        <f>IFERROR(__xludf.DUMMYFUNCTION("""COMPUTED_VALUE"""),814.0)</f>
        <v>814</v>
      </c>
      <c r="H213" s="2"/>
      <c r="I213" s="2">
        <f>IFERROR(__xludf.DUMMYFUNCTION("""COMPUTED_VALUE"""),167.0)</f>
        <v>167</v>
      </c>
      <c r="J213" s="2"/>
      <c r="K213" s="3">
        <f>IFERROR(__xludf.DUMMYFUNCTION("""COMPUTED_VALUE"""),14736.0)</f>
        <v>14736</v>
      </c>
      <c r="L213" s="2">
        <f>IFERROR(__xludf.DUMMYFUNCTION("""COMPUTED_VALUE"""),30.0)</f>
        <v>30</v>
      </c>
      <c r="M213" s="3">
        <f>IFERROR(__xludf.DUMMYFUNCTION("""COMPUTED_VALUE"""),136206.0)</f>
        <v>136206</v>
      </c>
      <c r="N213" s="3">
        <f>IFERROR(__xludf.DUMMYFUNCTION("""COMPUTED_VALUE"""),2041885.0)</f>
        <v>2041885</v>
      </c>
      <c r="O213" s="3">
        <f>IFERROR(__xludf.DUMMYFUNCTION("""COMPUTED_VALUE"""),66706.0)</f>
        <v>66706</v>
      </c>
      <c r="P213" s="2" t="str">
        <f>IFERROR(__xludf.DUMMYFUNCTION("""COMPUTED_VALUE"""),"North America")</f>
        <v>North America</v>
      </c>
      <c r="Q213" s="2">
        <f>IFERROR(__xludf.DUMMYFUNCTION("""COMPUTED_VALUE"""),68.0)</f>
        <v>68</v>
      </c>
      <c r="R213" s="3">
        <f>IFERROR(__xludf.DUMMYFUNCTION("""COMPUTED_VALUE"""),33353.0)</f>
        <v>33353</v>
      </c>
      <c r="S213" s="2">
        <f>IFERROR(__xludf.DUMMYFUNCTION("""COMPUTED_VALUE"""),0.0)</f>
        <v>0</v>
      </c>
      <c r="T213" s="2"/>
      <c r="U213" s="2"/>
      <c r="V213" s="3">
        <f>IFERROR(__xludf.DUMMYFUNCTION("""COMPUTED_VALUE"""),2504.0)</f>
        <v>2504</v>
      </c>
    </row>
    <row r="214" ht="15.75" customHeight="1">
      <c r="A214" s="2">
        <f>IFERROR(__xludf.DUMMYFUNCTION("""COMPUTED_VALUE"""),205.0)</f>
        <v>205</v>
      </c>
      <c r="B214" s="2" t="str">
        <f>IFERROR(__xludf.DUMMYFUNCTION("""COMPUTED_VALUE"""),"Diamond Princess")</f>
        <v>Diamond Princess</v>
      </c>
      <c r="C214" s="2">
        <f>IFERROR(__xludf.DUMMYFUNCTION("""COMPUTED_VALUE"""),712.0)</f>
        <v>712</v>
      </c>
      <c r="D214" s="2"/>
      <c r="E214" s="2">
        <f>IFERROR(__xludf.DUMMYFUNCTION("""COMPUTED_VALUE"""),13.0)</f>
        <v>13</v>
      </c>
      <c r="F214" s="2"/>
      <c r="G214" s="2">
        <f>IFERROR(__xludf.DUMMYFUNCTION("""COMPUTED_VALUE"""),699.0)</f>
        <v>699</v>
      </c>
      <c r="H214" s="2"/>
      <c r="I214" s="2">
        <f>IFERROR(__xludf.DUMMYFUNCTION("""COMPUTED_VALUE"""),0.0)</f>
        <v>0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5.75" customHeight="1">
      <c r="A215" s="2">
        <f>IFERROR(__xludf.DUMMYFUNCTION("""COMPUTED_VALUE"""),206.0)</f>
        <v>206</v>
      </c>
      <c r="B215" s="2" t="str">
        <f>IFERROR(__xludf.DUMMYFUNCTION("""COMPUTED_VALUE"""),"Greenland")</f>
        <v>Greenland</v>
      </c>
      <c r="C215" s="2">
        <f>IFERROR(__xludf.DUMMYFUNCTION("""COMPUTED_VALUE"""),630.0)</f>
        <v>630</v>
      </c>
      <c r="D215" s="2" t="str">
        <f>IFERROR(__xludf.DUMMYFUNCTION("""COMPUTED_VALUE"""),"+7")</f>
        <v>+7</v>
      </c>
      <c r="E215" s="2"/>
      <c r="F215" s="2"/>
      <c r="G215" s="2">
        <f>IFERROR(__xludf.DUMMYFUNCTION("""COMPUTED_VALUE"""),573.0)</f>
        <v>573</v>
      </c>
      <c r="H215" s="2"/>
      <c r="I215" s="2">
        <f>IFERROR(__xludf.DUMMYFUNCTION("""COMPUTED_VALUE"""),57.0)</f>
        <v>57</v>
      </c>
      <c r="J215" s="2">
        <f>IFERROR(__xludf.DUMMYFUNCTION("""COMPUTED_VALUE"""),2.0)</f>
        <v>2</v>
      </c>
      <c r="K215" s="3">
        <f>IFERROR(__xludf.DUMMYFUNCTION("""COMPUTED_VALUE"""),11073.0)</f>
        <v>11073</v>
      </c>
      <c r="L215" s="2"/>
      <c r="M215" s="3">
        <f>IFERROR(__xludf.DUMMYFUNCTION("""COMPUTED_VALUE"""),79543.0)</f>
        <v>79543</v>
      </c>
      <c r="N215" s="3">
        <f>IFERROR(__xludf.DUMMYFUNCTION("""COMPUTED_VALUE"""),1398042.0)</f>
        <v>1398042</v>
      </c>
      <c r="O215" s="3">
        <f>IFERROR(__xludf.DUMMYFUNCTION("""COMPUTED_VALUE"""),56896.0)</f>
        <v>56896</v>
      </c>
      <c r="P215" s="2" t="str">
        <f>IFERROR(__xludf.DUMMYFUNCTION("""COMPUTED_VALUE"""),"North America")</f>
        <v>North America</v>
      </c>
      <c r="Q215" s="2">
        <f>IFERROR(__xludf.DUMMYFUNCTION("""COMPUTED_VALUE"""),90.0)</f>
        <v>90</v>
      </c>
      <c r="R215" s="2"/>
      <c r="S215" s="2">
        <f>IFERROR(__xludf.DUMMYFUNCTION("""COMPUTED_VALUE"""),1.0)</f>
        <v>1</v>
      </c>
      <c r="T215" s="2">
        <f>IFERROR(__xludf.DUMMYFUNCTION("""COMPUTED_VALUE"""),123.0)</f>
        <v>123</v>
      </c>
      <c r="U215" s="2"/>
      <c r="V215" s="3">
        <f>IFERROR(__xludf.DUMMYFUNCTION("""COMPUTED_VALUE"""),1002.0)</f>
        <v>1002</v>
      </c>
    </row>
    <row r="216" ht="15.75" customHeight="1">
      <c r="A216" s="2">
        <f>IFERROR(__xludf.DUMMYFUNCTION("""COMPUTED_VALUE"""),207.0)</f>
        <v>207</v>
      </c>
      <c r="B216" s="2" t="str">
        <f>IFERROR(__xludf.DUMMYFUNCTION("""COMPUTED_VALUE"""),"Anguilla")</f>
        <v>Anguilla</v>
      </c>
      <c r="C216" s="2">
        <f>IFERROR(__xludf.DUMMYFUNCTION("""COMPUTED_VALUE"""),594.0)</f>
        <v>594</v>
      </c>
      <c r="D216" s="2"/>
      <c r="E216" s="2">
        <f>IFERROR(__xludf.DUMMYFUNCTION("""COMPUTED_VALUE"""),1.0)</f>
        <v>1</v>
      </c>
      <c r="F216" s="2"/>
      <c r="G216" s="2">
        <f>IFERROR(__xludf.DUMMYFUNCTION("""COMPUTED_VALUE"""),517.0)</f>
        <v>517</v>
      </c>
      <c r="H216" s="2"/>
      <c r="I216" s="2">
        <f>IFERROR(__xludf.DUMMYFUNCTION("""COMPUTED_VALUE"""),76.0)</f>
        <v>76</v>
      </c>
      <c r="J216" s="2"/>
      <c r="K216" s="3">
        <f>IFERROR(__xludf.DUMMYFUNCTION("""COMPUTED_VALUE"""),39146.0)</f>
        <v>39146</v>
      </c>
      <c r="L216" s="2">
        <f>IFERROR(__xludf.DUMMYFUNCTION("""COMPUTED_VALUE"""),66.0)</f>
        <v>66</v>
      </c>
      <c r="M216" s="3">
        <f>IFERROR(__xludf.DUMMYFUNCTION("""COMPUTED_VALUE"""),42919.0)</f>
        <v>42919</v>
      </c>
      <c r="N216" s="3">
        <f>IFERROR(__xludf.DUMMYFUNCTION("""COMPUTED_VALUE"""),2828457.0)</f>
        <v>2828457</v>
      </c>
      <c r="O216" s="3">
        <f>IFERROR(__xludf.DUMMYFUNCTION("""COMPUTED_VALUE"""),15174.0)</f>
        <v>15174</v>
      </c>
      <c r="P216" s="2" t="str">
        <f>IFERROR(__xludf.DUMMYFUNCTION("""COMPUTED_VALUE"""),"North America")</f>
        <v>North America</v>
      </c>
      <c r="Q216" s="2">
        <f>IFERROR(__xludf.DUMMYFUNCTION("""COMPUTED_VALUE"""),26.0)</f>
        <v>26</v>
      </c>
      <c r="R216" s="3">
        <f>IFERROR(__xludf.DUMMYFUNCTION("""COMPUTED_VALUE"""),15174.0)</f>
        <v>15174</v>
      </c>
      <c r="S216" s="2">
        <f>IFERROR(__xludf.DUMMYFUNCTION("""COMPUTED_VALUE"""),0.0)</f>
        <v>0</v>
      </c>
      <c r="T216" s="2"/>
      <c r="U216" s="2"/>
      <c r="V216" s="3">
        <f>IFERROR(__xludf.DUMMYFUNCTION("""COMPUTED_VALUE"""),5009.0)</f>
        <v>5009</v>
      </c>
    </row>
    <row r="217" ht="15.75" customHeight="1">
      <c r="A217" s="2">
        <f>IFERROR(__xludf.DUMMYFUNCTION("""COMPUTED_VALUE"""),208.0)</f>
        <v>208</v>
      </c>
      <c r="B217" s="2" t="str">
        <f>IFERROR(__xludf.DUMMYFUNCTION("""COMPUTED_VALUE"""),"Wallis and Futuna")</f>
        <v>Wallis and Futuna</v>
      </c>
      <c r="C217" s="2">
        <f>IFERROR(__xludf.DUMMYFUNCTION("""COMPUTED_VALUE"""),445.0)</f>
        <v>445</v>
      </c>
      <c r="D217" s="2"/>
      <c r="E217" s="2">
        <f>IFERROR(__xludf.DUMMYFUNCTION("""COMPUTED_VALUE"""),7.0)</f>
        <v>7</v>
      </c>
      <c r="F217" s="2"/>
      <c r="G217" s="2">
        <f>IFERROR(__xludf.DUMMYFUNCTION("""COMPUTED_VALUE"""),438.0)</f>
        <v>438</v>
      </c>
      <c r="H217" s="2"/>
      <c r="I217" s="2">
        <f>IFERROR(__xludf.DUMMYFUNCTION("""COMPUTED_VALUE"""),0.0)</f>
        <v>0</v>
      </c>
      <c r="J217" s="2"/>
      <c r="K217" s="3">
        <f>IFERROR(__xludf.DUMMYFUNCTION("""COMPUTED_VALUE"""),40502.0)</f>
        <v>40502</v>
      </c>
      <c r="L217" s="2">
        <f>IFERROR(__xludf.DUMMYFUNCTION("""COMPUTED_VALUE"""),637.0)</f>
        <v>637</v>
      </c>
      <c r="M217" s="3">
        <f>IFERROR(__xludf.DUMMYFUNCTION("""COMPUTED_VALUE"""),20508.0)</f>
        <v>20508</v>
      </c>
      <c r="N217" s="3">
        <f>IFERROR(__xludf.DUMMYFUNCTION("""COMPUTED_VALUE"""),1866570.0)</f>
        <v>1866570</v>
      </c>
      <c r="O217" s="3">
        <f>IFERROR(__xludf.DUMMYFUNCTION("""COMPUTED_VALUE"""),10987.0)</f>
        <v>10987</v>
      </c>
      <c r="P217" s="2" t="str">
        <f>IFERROR(__xludf.DUMMYFUNCTION("""COMPUTED_VALUE"""),"Australia/Oceania")</f>
        <v>Australia/Oceania</v>
      </c>
      <c r="Q217" s="2">
        <f>IFERROR(__xludf.DUMMYFUNCTION("""COMPUTED_VALUE"""),25.0)</f>
        <v>25</v>
      </c>
      <c r="R217" s="3">
        <f>IFERROR(__xludf.DUMMYFUNCTION("""COMPUTED_VALUE"""),1570.0)</f>
        <v>1570</v>
      </c>
      <c r="S217" s="2">
        <f>IFERROR(__xludf.DUMMYFUNCTION("""COMPUTED_VALUE"""),1.0)</f>
        <v>1</v>
      </c>
      <c r="T217" s="2"/>
      <c r="U217" s="2"/>
      <c r="V217" s="2"/>
    </row>
    <row r="218" ht="15.75" customHeight="1">
      <c r="A218" s="2">
        <f>IFERROR(__xludf.DUMMYFUNCTION("""COMPUTED_VALUE"""),209.0)</f>
        <v>209</v>
      </c>
      <c r="B218" s="2" t="str">
        <f>IFERROR(__xludf.DUMMYFUNCTION("""COMPUTED_VALUE"""),"Macao")</f>
        <v>Macao</v>
      </c>
      <c r="C218" s="2">
        <f>IFERROR(__xludf.DUMMYFUNCTION("""COMPUTED_VALUE"""),77.0)</f>
        <v>77</v>
      </c>
      <c r="D218" s="2"/>
      <c r="E218" s="2"/>
      <c r="F218" s="2"/>
      <c r="G218" s="2">
        <f>IFERROR(__xludf.DUMMYFUNCTION("""COMPUTED_VALUE"""),64.0)</f>
        <v>64</v>
      </c>
      <c r="H218" s="2"/>
      <c r="I218" s="2">
        <f>IFERROR(__xludf.DUMMYFUNCTION("""COMPUTED_VALUE"""),13.0)</f>
        <v>13</v>
      </c>
      <c r="J218" s="2"/>
      <c r="K218" s="2">
        <f>IFERROR(__xludf.DUMMYFUNCTION("""COMPUTED_VALUE"""),117.0)</f>
        <v>117</v>
      </c>
      <c r="L218" s="2"/>
      <c r="M218" s="3">
        <f>IFERROR(__xludf.DUMMYFUNCTION("""COMPUTED_VALUE"""),4951.0)</f>
        <v>4951</v>
      </c>
      <c r="N218" s="3">
        <f>IFERROR(__xludf.DUMMYFUNCTION("""COMPUTED_VALUE"""),7494.0)</f>
        <v>7494</v>
      </c>
      <c r="O218" s="3">
        <f>IFERROR(__xludf.DUMMYFUNCTION("""COMPUTED_VALUE"""),660619.0)</f>
        <v>660619</v>
      </c>
      <c r="P218" s="2" t="str">
        <f>IFERROR(__xludf.DUMMYFUNCTION("""COMPUTED_VALUE"""),"Asia")</f>
        <v>Asia</v>
      </c>
      <c r="Q218" s="3">
        <f>IFERROR(__xludf.DUMMYFUNCTION("""COMPUTED_VALUE"""),8579.0)</f>
        <v>8579</v>
      </c>
      <c r="R218" s="2"/>
      <c r="S218" s="2">
        <f>IFERROR(__xludf.DUMMYFUNCTION("""COMPUTED_VALUE"""),133.0)</f>
        <v>133</v>
      </c>
      <c r="T218" s="2"/>
      <c r="U218" s="2"/>
      <c r="V218" s="2">
        <f>IFERROR(__xludf.DUMMYFUNCTION("""COMPUTED_VALUE"""),20.0)</f>
        <v>20</v>
      </c>
    </row>
    <row r="219" ht="15.75" customHeight="1">
      <c r="A219" s="2">
        <f>IFERROR(__xludf.DUMMYFUNCTION("""COMPUTED_VALUE"""),210.0)</f>
        <v>210</v>
      </c>
      <c r="B219" s="2" t="str">
        <f>IFERROR(__xludf.DUMMYFUNCTION("""COMPUTED_VALUE"""),"Falkland Islands")</f>
        <v>Falkland Islands</v>
      </c>
      <c r="C219" s="2">
        <f>IFERROR(__xludf.DUMMYFUNCTION("""COMPUTED_VALUE"""),68.0)</f>
        <v>68</v>
      </c>
      <c r="D219" s="2"/>
      <c r="E219" s="2"/>
      <c r="F219" s="2"/>
      <c r="G219" s="2">
        <f>IFERROR(__xludf.DUMMYFUNCTION("""COMPUTED_VALUE"""),67.0)</f>
        <v>67</v>
      </c>
      <c r="H219" s="2"/>
      <c r="I219" s="2">
        <f>IFERROR(__xludf.DUMMYFUNCTION("""COMPUTED_VALUE"""),1.0)</f>
        <v>1</v>
      </c>
      <c r="J219" s="2"/>
      <c r="K219" s="3">
        <f>IFERROR(__xludf.DUMMYFUNCTION("""COMPUTED_VALUE"""),18842.0)</f>
        <v>18842</v>
      </c>
      <c r="L219" s="2"/>
      <c r="M219" s="3">
        <f>IFERROR(__xludf.DUMMYFUNCTION("""COMPUTED_VALUE"""),7643.0)</f>
        <v>7643</v>
      </c>
      <c r="N219" s="3">
        <f>IFERROR(__xludf.DUMMYFUNCTION("""COMPUTED_VALUE"""),2117761.0)</f>
        <v>2117761</v>
      </c>
      <c r="O219" s="3">
        <f>IFERROR(__xludf.DUMMYFUNCTION("""COMPUTED_VALUE"""),3609.0)</f>
        <v>3609</v>
      </c>
      <c r="P219" s="2" t="str">
        <f>IFERROR(__xludf.DUMMYFUNCTION("""COMPUTED_VALUE"""),"South America")</f>
        <v>South America</v>
      </c>
      <c r="Q219" s="2">
        <f>IFERROR(__xludf.DUMMYFUNCTION("""COMPUTED_VALUE"""),53.0)</f>
        <v>53</v>
      </c>
      <c r="R219" s="2"/>
      <c r="S219" s="2">
        <f>IFERROR(__xludf.DUMMYFUNCTION("""COMPUTED_VALUE"""),0.0)</f>
        <v>0</v>
      </c>
      <c r="T219" s="2"/>
      <c r="U219" s="2"/>
      <c r="V219" s="2">
        <f>IFERROR(__xludf.DUMMYFUNCTION("""COMPUTED_VALUE"""),277.0)</f>
        <v>277</v>
      </c>
    </row>
    <row r="220" ht="15.75" customHeight="1">
      <c r="A220" s="2">
        <f>IFERROR(__xludf.DUMMYFUNCTION("""COMPUTED_VALUE"""),211.0)</f>
        <v>211</v>
      </c>
      <c r="B220" s="2" t="str">
        <f>IFERROR(__xludf.DUMMYFUNCTION("""COMPUTED_VALUE"""),"Montserrat")</f>
        <v>Montserrat</v>
      </c>
      <c r="C220" s="2">
        <f>IFERROR(__xludf.DUMMYFUNCTION("""COMPUTED_VALUE"""),41.0)</f>
        <v>41</v>
      </c>
      <c r="D220" s="2"/>
      <c r="E220" s="2">
        <f>IFERROR(__xludf.DUMMYFUNCTION("""COMPUTED_VALUE"""),1.0)</f>
        <v>1</v>
      </c>
      <c r="F220" s="2"/>
      <c r="G220" s="2">
        <f>IFERROR(__xludf.DUMMYFUNCTION("""COMPUTED_VALUE"""),31.0)</f>
        <v>31</v>
      </c>
      <c r="H220" s="2"/>
      <c r="I220" s="2">
        <f>IFERROR(__xludf.DUMMYFUNCTION("""COMPUTED_VALUE"""),9.0)</f>
        <v>9</v>
      </c>
      <c r="J220" s="2"/>
      <c r="K220" s="3">
        <f>IFERROR(__xludf.DUMMYFUNCTION("""COMPUTED_VALUE"""),8207.0)</f>
        <v>8207</v>
      </c>
      <c r="L220" s="2">
        <f>IFERROR(__xludf.DUMMYFUNCTION("""COMPUTED_VALUE"""),200.0)</f>
        <v>200</v>
      </c>
      <c r="M220" s="3">
        <f>IFERROR(__xludf.DUMMYFUNCTION("""COMPUTED_VALUE"""),1408.0)</f>
        <v>1408</v>
      </c>
      <c r="N220" s="3">
        <f>IFERROR(__xludf.DUMMYFUNCTION("""COMPUTED_VALUE"""),281825.0)</f>
        <v>281825</v>
      </c>
      <c r="O220" s="3">
        <f>IFERROR(__xludf.DUMMYFUNCTION("""COMPUTED_VALUE"""),4996.0)</f>
        <v>4996</v>
      </c>
      <c r="P220" s="2" t="str">
        <f>IFERROR(__xludf.DUMMYFUNCTION("""COMPUTED_VALUE"""),"North America")</f>
        <v>North America</v>
      </c>
      <c r="Q220" s="2">
        <f>IFERROR(__xludf.DUMMYFUNCTION("""COMPUTED_VALUE"""),122.0)</f>
        <v>122</v>
      </c>
      <c r="R220" s="3">
        <f>IFERROR(__xludf.DUMMYFUNCTION("""COMPUTED_VALUE"""),4996.0)</f>
        <v>4996</v>
      </c>
      <c r="S220" s="2">
        <f>IFERROR(__xludf.DUMMYFUNCTION("""COMPUTED_VALUE"""),4.0)</f>
        <v>4</v>
      </c>
      <c r="T220" s="2"/>
      <c r="U220" s="2"/>
      <c r="V220" s="3">
        <f>IFERROR(__xludf.DUMMYFUNCTION("""COMPUTED_VALUE"""),1801.0)</f>
        <v>1801</v>
      </c>
    </row>
    <row r="221" ht="15.75" customHeight="1">
      <c r="A221" s="2">
        <f>IFERROR(__xludf.DUMMYFUNCTION("""COMPUTED_VALUE"""),212.0)</f>
        <v>212</v>
      </c>
      <c r="B221" s="2" t="str">
        <f>IFERROR(__xludf.DUMMYFUNCTION("""COMPUTED_VALUE"""),"Saint Pierre Miquelon")</f>
        <v>Saint Pierre Miquelon</v>
      </c>
      <c r="C221" s="2">
        <f>IFERROR(__xludf.DUMMYFUNCTION("""COMPUTED_VALUE"""),32.0)</f>
        <v>32</v>
      </c>
      <c r="D221" s="2"/>
      <c r="E221" s="2"/>
      <c r="F221" s="2"/>
      <c r="G221" s="2">
        <f>IFERROR(__xludf.DUMMYFUNCTION("""COMPUTED_VALUE"""),31.0)</f>
        <v>31</v>
      </c>
      <c r="H221" s="2"/>
      <c r="I221" s="2">
        <f>IFERROR(__xludf.DUMMYFUNCTION("""COMPUTED_VALUE"""),1.0)</f>
        <v>1</v>
      </c>
      <c r="J221" s="2"/>
      <c r="K221" s="3">
        <f>IFERROR(__xludf.DUMMYFUNCTION("""COMPUTED_VALUE"""),5557.0)</f>
        <v>5557</v>
      </c>
      <c r="L221" s="2"/>
      <c r="M221" s="3">
        <f>IFERROR(__xludf.DUMMYFUNCTION("""COMPUTED_VALUE"""),9997.0)</f>
        <v>9997</v>
      </c>
      <c r="N221" s="3">
        <f>IFERROR(__xludf.DUMMYFUNCTION("""COMPUTED_VALUE"""),1736193.0)</f>
        <v>1736193</v>
      </c>
      <c r="O221" s="3">
        <f>IFERROR(__xludf.DUMMYFUNCTION("""COMPUTED_VALUE"""),5758.0)</f>
        <v>5758</v>
      </c>
      <c r="P221" s="2" t="str">
        <f>IFERROR(__xludf.DUMMYFUNCTION("""COMPUTED_VALUE"""),"North America")</f>
        <v>North America</v>
      </c>
      <c r="Q221" s="2">
        <f>IFERROR(__xludf.DUMMYFUNCTION("""COMPUTED_VALUE"""),180.0)</f>
        <v>180</v>
      </c>
      <c r="R221" s="2"/>
      <c r="S221" s="2">
        <f>IFERROR(__xludf.DUMMYFUNCTION("""COMPUTED_VALUE"""),1.0)</f>
        <v>1</v>
      </c>
      <c r="T221" s="2"/>
      <c r="U221" s="2"/>
      <c r="V221" s="2">
        <f>IFERROR(__xludf.DUMMYFUNCTION("""COMPUTED_VALUE"""),174.0)</f>
        <v>174</v>
      </c>
    </row>
    <row r="222" ht="15.75" customHeight="1">
      <c r="A222" s="2">
        <f>IFERROR(__xludf.DUMMYFUNCTION("""COMPUTED_VALUE"""),213.0)</f>
        <v>213</v>
      </c>
      <c r="B222" s="2" t="str">
        <f>IFERROR(__xludf.DUMMYFUNCTION("""COMPUTED_VALUE"""),"Vatican City")</f>
        <v>Vatican City</v>
      </c>
      <c r="C222" s="2">
        <f>IFERROR(__xludf.DUMMYFUNCTION("""COMPUTED_VALUE"""),27.0)</f>
        <v>27</v>
      </c>
      <c r="D222" s="2"/>
      <c r="E222" s="2"/>
      <c r="F222" s="2"/>
      <c r="G222" s="2">
        <f>IFERROR(__xludf.DUMMYFUNCTION("""COMPUTED_VALUE"""),27.0)</f>
        <v>27</v>
      </c>
      <c r="H222" s="2"/>
      <c r="I222" s="2">
        <f>IFERROR(__xludf.DUMMYFUNCTION("""COMPUTED_VALUE"""),0.0)</f>
        <v>0</v>
      </c>
      <c r="J222" s="2"/>
      <c r="K222" s="3">
        <f>IFERROR(__xludf.DUMMYFUNCTION("""COMPUTED_VALUE"""),33582.0)</f>
        <v>33582</v>
      </c>
      <c r="L222" s="2"/>
      <c r="M222" s="2"/>
      <c r="N222" s="2"/>
      <c r="O222" s="2">
        <f>IFERROR(__xludf.DUMMYFUNCTION("""COMPUTED_VALUE"""),804.0)</f>
        <v>804</v>
      </c>
      <c r="P222" s="2" t="str">
        <f>IFERROR(__xludf.DUMMYFUNCTION("""COMPUTED_VALUE"""),"Europe")</f>
        <v>Europe</v>
      </c>
      <c r="Q222" s="2">
        <f>IFERROR(__xludf.DUMMYFUNCTION("""COMPUTED_VALUE"""),30.0)</f>
        <v>30</v>
      </c>
      <c r="R222" s="2"/>
      <c r="S222" s="2"/>
      <c r="T222" s="2"/>
      <c r="U222" s="2"/>
      <c r="V222" s="2"/>
    </row>
    <row r="223" ht="15.75" customHeight="1">
      <c r="A223" s="2">
        <f>IFERROR(__xludf.DUMMYFUNCTION("""COMPUTED_VALUE"""),214.0)</f>
        <v>214</v>
      </c>
      <c r="B223" s="2" t="str">
        <f>IFERROR(__xludf.DUMMYFUNCTION("""COMPUTED_VALUE"""),"Solomon Islands")</f>
        <v>Solomon Islands</v>
      </c>
      <c r="C223" s="2">
        <f>IFERROR(__xludf.DUMMYFUNCTION("""COMPUTED_VALUE"""),20.0)</f>
        <v>20</v>
      </c>
      <c r="D223" s="2"/>
      <c r="E223" s="2"/>
      <c r="F223" s="2"/>
      <c r="G223" s="2">
        <f>IFERROR(__xludf.DUMMYFUNCTION("""COMPUTED_VALUE"""),20.0)</f>
        <v>20</v>
      </c>
      <c r="H223" s="2"/>
      <c r="I223" s="2">
        <f>IFERROR(__xludf.DUMMYFUNCTION("""COMPUTED_VALUE"""),0.0)</f>
        <v>0</v>
      </c>
      <c r="J223" s="2"/>
      <c r="K223" s="2">
        <f>IFERROR(__xludf.DUMMYFUNCTION("""COMPUTED_VALUE"""),28.0)</f>
        <v>28</v>
      </c>
      <c r="L223" s="2"/>
      <c r="M223" s="3">
        <f>IFERROR(__xludf.DUMMYFUNCTION("""COMPUTED_VALUE"""),4500.0)</f>
        <v>4500</v>
      </c>
      <c r="N223" s="3">
        <f>IFERROR(__xludf.DUMMYFUNCTION("""COMPUTED_VALUE"""),6353.0)</f>
        <v>6353</v>
      </c>
      <c r="O223" s="3">
        <f>IFERROR(__xludf.DUMMYFUNCTION("""COMPUTED_VALUE"""),708319.0)</f>
        <v>708319</v>
      </c>
      <c r="P223" s="2" t="str">
        <f>IFERROR(__xludf.DUMMYFUNCTION("""COMPUTED_VALUE"""),"Australia/Oceania")</f>
        <v>Australia/Oceania</v>
      </c>
      <c r="Q223" s="3">
        <f>IFERROR(__xludf.DUMMYFUNCTION("""COMPUTED_VALUE"""),35416.0)</f>
        <v>35416</v>
      </c>
      <c r="R223" s="2"/>
      <c r="S223" s="2">
        <f>IFERROR(__xludf.DUMMYFUNCTION("""COMPUTED_VALUE"""),157.0)</f>
        <v>157</v>
      </c>
      <c r="T223" s="2"/>
      <c r="U223" s="2"/>
      <c r="V223" s="2"/>
    </row>
    <row r="224" ht="15.75" customHeight="1">
      <c r="A224" s="2">
        <f>IFERROR(__xludf.DUMMYFUNCTION("""COMPUTED_VALUE"""),215.0)</f>
        <v>215</v>
      </c>
      <c r="B224" s="2" t="str">
        <f>IFERROR(__xludf.DUMMYFUNCTION("""COMPUTED_VALUE"""),"Western Sahara")</f>
        <v>Western Sahara</v>
      </c>
      <c r="C224" s="2">
        <f>IFERROR(__xludf.DUMMYFUNCTION("""COMPUTED_VALUE"""),10.0)</f>
        <v>10</v>
      </c>
      <c r="D224" s="2"/>
      <c r="E224" s="2">
        <f>IFERROR(__xludf.DUMMYFUNCTION("""COMPUTED_VALUE"""),1.0)</f>
        <v>1</v>
      </c>
      <c r="F224" s="2"/>
      <c r="G224" s="2">
        <f>IFERROR(__xludf.DUMMYFUNCTION("""COMPUTED_VALUE"""),8.0)</f>
        <v>8</v>
      </c>
      <c r="H224" s="2"/>
      <c r="I224" s="2">
        <f>IFERROR(__xludf.DUMMYFUNCTION("""COMPUTED_VALUE"""),1.0)</f>
        <v>1</v>
      </c>
      <c r="J224" s="2"/>
      <c r="K224" s="2">
        <f>IFERROR(__xludf.DUMMYFUNCTION("""COMPUTED_VALUE"""),16.0)</f>
        <v>16</v>
      </c>
      <c r="L224" s="2">
        <f>IFERROR(__xludf.DUMMYFUNCTION("""COMPUTED_VALUE"""),2.0)</f>
        <v>2</v>
      </c>
      <c r="M224" s="2"/>
      <c r="N224" s="2"/>
      <c r="O224" s="3">
        <f>IFERROR(__xludf.DUMMYFUNCTION("""COMPUTED_VALUE"""),616028.0)</f>
        <v>616028</v>
      </c>
      <c r="P224" s="2" t="str">
        <f>IFERROR(__xludf.DUMMYFUNCTION("""COMPUTED_VALUE"""),"Africa")</f>
        <v>Africa</v>
      </c>
      <c r="Q224" s="3">
        <f>IFERROR(__xludf.DUMMYFUNCTION("""COMPUTED_VALUE"""),61603.0)</f>
        <v>61603</v>
      </c>
      <c r="R224" s="3">
        <f>IFERROR(__xludf.DUMMYFUNCTION("""COMPUTED_VALUE"""),616028.0)</f>
        <v>616028</v>
      </c>
      <c r="S224" s="2"/>
      <c r="T224" s="2"/>
      <c r="U224" s="2"/>
      <c r="V224" s="2">
        <f>IFERROR(__xludf.DUMMYFUNCTION("""COMPUTED_VALUE"""),2.0)</f>
        <v>2</v>
      </c>
    </row>
    <row r="225" ht="15.75" customHeight="1">
      <c r="A225" s="2">
        <f>IFERROR(__xludf.DUMMYFUNCTION("""COMPUTED_VALUE"""),216.0)</f>
        <v>216</v>
      </c>
      <c r="B225" s="2" t="str">
        <f>IFERROR(__xludf.DUMMYFUNCTION("""COMPUTED_VALUE"""),"MS Zaandam")</f>
        <v>MS Zaandam</v>
      </c>
      <c r="C225" s="2">
        <f>IFERROR(__xludf.DUMMYFUNCTION("""COMPUTED_VALUE"""),9.0)</f>
        <v>9</v>
      </c>
      <c r="D225" s="2"/>
      <c r="E225" s="2">
        <f>IFERROR(__xludf.DUMMYFUNCTION("""COMPUTED_VALUE"""),2.0)</f>
        <v>2</v>
      </c>
      <c r="F225" s="2"/>
      <c r="G225" s="2">
        <f>IFERROR(__xludf.DUMMYFUNCTION("""COMPUTED_VALUE"""),7.0)</f>
        <v>7</v>
      </c>
      <c r="H225" s="2"/>
      <c r="I225" s="2">
        <f>IFERROR(__xludf.DUMMYFUNCTION("""COMPUTED_VALUE"""),0.0)</f>
        <v>0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15.75" customHeight="1">
      <c r="A226" s="2">
        <f>IFERROR(__xludf.DUMMYFUNCTION("""COMPUTED_VALUE"""),217.0)</f>
        <v>217</v>
      </c>
      <c r="B226" s="2" t="str">
        <f>IFERROR(__xludf.DUMMYFUNCTION("""COMPUTED_VALUE"""),"Palau")</f>
        <v>Palau</v>
      </c>
      <c r="C226" s="2">
        <f>IFERROR(__xludf.DUMMYFUNCTION("""COMPUTED_VALUE"""),8.0)</f>
        <v>8</v>
      </c>
      <c r="D226" s="2"/>
      <c r="E226" s="2"/>
      <c r="F226" s="2"/>
      <c r="G226" s="2">
        <f>IFERROR(__xludf.DUMMYFUNCTION("""COMPUTED_VALUE"""),5.0)</f>
        <v>5</v>
      </c>
      <c r="H226" s="2"/>
      <c r="I226" s="2">
        <f>IFERROR(__xludf.DUMMYFUNCTION("""COMPUTED_VALUE"""),3.0)</f>
        <v>3</v>
      </c>
      <c r="J226" s="2"/>
      <c r="K226" s="2">
        <f>IFERROR(__xludf.DUMMYFUNCTION("""COMPUTED_VALUE"""),439.0)</f>
        <v>439</v>
      </c>
      <c r="L226" s="2"/>
      <c r="M226" s="3">
        <f>IFERROR(__xludf.DUMMYFUNCTION("""COMPUTED_VALUE"""),10852.0)</f>
        <v>10852</v>
      </c>
      <c r="N226" s="3">
        <f>IFERROR(__xludf.DUMMYFUNCTION("""COMPUTED_VALUE"""),596133.0)</f>
        <v>596133</v>
      </c>
      <c r="O226" s="3">
        <f>IFERROR(__xludf.DUMMYFUNCTION("""COMPUTED_VALUE"""),18204.0)</f>
        <v>18204</v>
      </c>
      <c r="P226" s="2" t="str">
        <f>IFERROR(__xludf.DUMMYFUNCTION("""COMPUTED_VALUE"""),"Australia/Oceania")</f>
        <v>Australia/Oceania</v>
      </c>
      <c r="Q226" s="3">
        <f>IFERROR(__xludf.DUMMYFUNCTION("""COMPUTED_VALUE"""),2276.0)</f>
        <v>2276</v>
      </c>
      <c r="R226" s="2"/>
      <c r="S226" s="2">
        <f>IFERROR(__xludf.DUMMYFUNCTION("""COMPUTED_VALUE"""),2.0)</f>
        <v>2</v>
      </c>
      <c r="T226" s="2"/>
      <c r="U226" s="2"/>
      <c r="V226" s="2">
        <f>IFERROR(__xludf.DUMMYFUNCTION("""COMPUTED_VALUE"""),165.0)</f>
        <v>165</v>
      </c>
    </row>
    <row r="227" ht="15.75" customHeight="1">
      <c r="A227" s="2">
        <f>IFERROR(__xludf.DUMMYFUNCTION("""COMPUTED_VALUE"""),218.0)</f>
        <v>218</v>
      </c>
      <c r="B227" s="2" t="str">
        <f>IFERROR(__xludf.DUMMYFUNCTION("""COMPUTED_VALUE"""),"Vanuatu")</f>
        <v>Vanuatu</v>
      </c>
      <c r="C227" s="2">
        <f>IFERROR(__xludf.DUMMYFUNCTION("""COMPUTED_VALUE"""),4.0)</f>
        <v>4</v>
      </c>
      <c r="D227" s="2"/>
      <c r="E227" s="2">
        <f>IFERROR(__xludf.DUMMYFUNCTION("""COMPUTED_VALUE"""),1.0)</f>
        <v>1</v>
      </c>
      <c r="F227" s="2"/>
      <c r="G227" s="2">
        <f>IFERROR(__xludf.DUMMYFUNCTION("""COMPUTED_VALUE"""),3.0)</f>
        <v>3</v>
      </c>
      <c r="H227" s="2"/>
      <c r="I227" s="2">
        <f>IFERROR(__xludf.DUMMYFUNCTION("""COMPUTED_VALUE"""),0.0)</f>
        <v>0</v>
      </c>
      <c r="J227" s="2"/>
      <c r="K227" s="2">
        <f>IFERROR(__xludf.DUMMYFUNCTION("""COMPUTED_VALUE"""),13.0)</f>
        <v>13</v>
      </c>
      <c r="L227" s="2">
        <f>IFERROR(__xludf.DUMMYFUNCTION("""COMPUTED_VALUE"""),3.0)</f>
        <v>3</v>
      </c>
      <c r="M227" s="3">
        <f>IFERROR(__xludf.DUMMYFUNCTION("""COMPUTED_VALUE"""),23000.0)</f>
        <v>23000</v>
      </c>
      <c r="N227" s="3">
        <f>IFERROR(__xludf.DUMMYFUNCTION("""COMPUTED_VALUE"""),72720.0)</f>
        <v>72720</v>
      </c>
      <c r="O227" s="3">
        <f>IFERROR(__xludf.DUMMYFUNCTION("""COMPUTED_VALUE"""),316280.0)</f>
        <v>316280</v>
      </c>
      <c r="P227" s="2" t="str">
        <f>IFERROR(__xludf.DUMMYFUNCTION("""COMPUTED_VALUE"""),"Australia/Oceania")</f>
        <v>Australia/Oceania</v>
      </c>
      <c r="Q227" s="3">
        <f>IFERROR(__xludf.DUMMYFUNCTION("""COMPUTED_VALUE"""),79070.0)</f>
        <v>79070</v>
      </c>
      <c r="R227" s="3">
        <f>IFERROR(__xludf.DUMMYFUNCTION("""COMPUTED_VALUE"""),316280.0)</f>
        <v>316280</v>
      </c>
      <c r="S227" s="2">
        <f>IFERROR(__xludf.DUMMYFUNCTION("""COMPUTED_VALUE"""),14.0)</f>
        <v>14</v>
      </c>
      <c r="T227" s="2"/>
      <c r="U227" s="2"/>
      <c r="V227" s="2"/>
    </row>
    <row r="228" ht="15.75" customHeight="1">
      <c r="A228" s="2">
        <f>IFERROR(__xludf.DUMMYFUNCTION("""COMPUTED_VALUE"""),219.0)</f>
        <v>219</v>
      </c>
      <c r="B228" s="2" t="str">
        <f>IFERROR(__xludf.DUMMYFUNCTION("""COMPUTED_VALUE"""),"Marshall Islands")</f>
        <v>Marshall Islands</v>
      </c>
      <c r="C228" s="2">
        <f>IFERROR(__xludf.DUMMYFUNCTION("""COMPUTED_VALUE"""),4.0)</f>
        <v>4</v>
      </c>
      <c r="D228" s="2"/>
      <c r="E228" s="2"/>
      <c r="F228" s="2"/>
      <c r="G228" s="2">
        <f>IFERROR(__xludf.DUMMYFUNCTION("""COMPUTED_VALUE"""),4.0)</f>
        <v>4</v>
      </c>
      <c r="H228" s="2"/>
      <c r="I228" s="2">
        <f>IFERROR(__xludf.DUMMYFUNCTION("""COMPUTED_VALUE"""),0.0)</f>
        <v>0</v>
      </c>
      <c r="J228" s="2"/>
      <c r="K228" s="2">
        <f>IFERROR(__xludf.DUMMYFUNCTION("""COMPUTED_VALUE"""),67.0)</f>
        <v>67</v>
      </c>
      <c r="L228" s="2"/>
      <c r="M228" s="2"/>
      <c r="N228" s="2"/>
      <c r="O228" s="3">
        <f>IFERROR(__xludf.DUMMYFUNCTION("""COMPUTED_VALUE"""),59700.0)</f>
        <v>59700</v>
      </c>
      <c r="P228" s="2" t="str">
        <f>IFERROR(__xludf.DUMMYFUNCTION("""COMPUTED_VALUE"""),"Australia/Oceania")</f>
        <v>Australia/Oceania</v>
      </c>
      <c r="Q228" s="3">
        <f>IFERROR(__xludf.DUMMYFUNCTION("""COMPUTED_VALUE"""),14925.0)</f>
        <v>14925</v>
      </c>
      <c r="R228" s="2"/>
      <c r="S228" s="2"/>
      <c r="T228" s="2"/>
      <c r="U228" s="2"/>
      <c r="V228" s="2"/>
    </row>
    <row r="229" ht="15.75" customHeight="1">
      <c r="A229" s="2">
        <f>IFERROR(__xludf.DUMMYFUNCTION("""COMPUTED_VALUE"""),220.0)</f>
        <v>220</v>
      </c>
      <c r="B229" s="2" t="str">
        <f>IFERROR(__xludf.DUMMYFUNCTION("""COMPUTED_VALUE"""),"Samoa")</f>
        <v>Samoa</v>
      </c>
      <c r="C229" s="2">
        <f>IFERROR(__xludf.DUMMYFUNCTION("""COMPUTED_VALUE"""),3.0)</f>
        <v>3</v>
      </c>
      <c r="D229" s="2"/>
      <c r="E229" s="2"/>
      <c r="F229" s="2"/>
      <c r="G229" s="2">
        <f>IFERROR(__xludf.DUMMYFUNCTION("""COMPUTED_VALUE"""),3.0)</f>
        <v>3</v>
      </c>
      <c r="H229" s="2"/>
      <c r="I229" s="2">
        <f>IFERROR(__xludf.DUMMYFUNCTION("""COMPUTED_VALUE"""),0.0)</f>
        <v>0</v>
      </c>
      <c r="J229" s="2"/>
      <c r="K229" s="2">
        <f>IFERROR(__xludf.DUMMYFUNCTION("""COMPUTED_VALUE"""),15.0)</f>
        <v>15</v>
      </c>
      <c r="L229" s="2"/>
      <c r="M229" s="2"/>
      <c r="N229" s="2"/>
      <c r="O229" s="3">
        <f>IFERROR(__xludf.DUMMYFUNCTION("""COMPUTED_VALUE"""),200096.0)</f>
        <v>200096</v>
      </c>
      <c r="P229" s="2" t="str">
        <f>IFERROR(__xludf.DUMMYFUNCTION("""COMPUTED_VALUE"""),"Australia/Oceania")</f>
        <v>Australia/Oceania</v>
      </c>
      <c r="Q229" s="3">
        <f>IFERROR(__xludf.DUMMYFUNCTION("""COMPUTED_VALUE"""),66699.0)</f>
        <v>66699</v>
      </c>
      <c r="R229" s="2"/>
      <c r="S229" s="2"/>
      <c r="T229" s="2"/>
      <c r="U229" s="2"/>
      <c r="V229" s="2"/>
    </row>
    <row r="230" ht="15.75" customHeight="1">
      <c r="A230" s="2">
        <f>IFERROR(__xludf.DUMMYFUNCTION("""COMPUTED_VALUE"""),221.0)</f>
        <v>221</v>
      </c>
      <c r="B230" s="2" t="str">
        <f>IFERROR(__xludf.DUMMYFUNCTION("""COMPUTED_VALUE"""),"Saint Helena")</f>
        <v>Saint Helena</v>
      </c>
      <c r="C230" s="2">
        <f>IFERROR(__xludf.DUMMYFUNCTION("""COMPUTED_VALUE"""),2.0)</f>
        <v>2</v>
      </c>
      <c r="D230" s="2"/>
      <c r="E230" s="2"/>
      <c r="F230" s="2"/>
      <c r="G230" s="2">
        <f>IFERROR(__xludf.DUMMYFUNCTION("""COMPUTED_VALUE"""),2.0)</f>
        <v>2</v>
      </c>
      <c r="H230" s="2"/>
      <c r="I230" s="2">
        <f>IFERROR(__xludf.DUMMYFUNCTION("""COMPUTED_VALUE"""),0.0)</f>
        <v>0</v>
      </c>
      <c r="J230" s="2"/>
      <c r="K230" s="2">
        <f>IFERROR(__xludf.DUMMYFUNCTION("""COMPUTED_VALUE"""),328.0)</f>
        <v>328</v>
      </c>
      <c r="L230" s="2"/>
      <c r="M230" s="2"/>
      <c r="N230" s="2"/>
      <c r="O230" s="3">
        <f>IFERROR(__xludf.DUMMYFUNCTION("""COMPUTED_VALUE"""),6100.0)</f>
        <v>6100</v>
      </c>
      <c r="P230" s="2" t="str">
        <f>IFERROR(__xludf.DUMMYFUNCTION("""COMPUTED_VALUE"""),"Africa")</f>
        <v>Africa</v>
      </c>
      <c r="Q230" s="3">
        <f>IFERROR(__xludf.DUMMYFUNCTION("""COMPUTED_VALUE"""),3050.0)</f>
        <v>3050</v>
      </c>
      <c r="R230" s="2"/>
      <c r="S230" s="2"/>
      <c r="T230" s="2"/>
      <c r="U230" s="2"/>
      <c r="V230" s="2"/>
    </row>
    <row r="231" ht="15.75" customHeight="1">
      <c r="A231" s="2">
        <f>IFERROR(__xludf.DUMMYFUNCTION("""COMPUTED_VALUE"""),222.0)</f>
        <v>222</v>
      </c>
      <c r="B231" s="2" t="str">
        <f>IFERROR(__xludf.DUMMYFUNCTION("""COMPUTED_VALUE"""),"Micronesia")</f>
        <v>Micronesia</v>
      </c>
      <c r="C231" s="2">
        <f>IFERROR(__xludf.DUMMYFUNCTION("""COMPUTED_VALUE"""),1.0)</f>
        <v>1</v>
      </c>
      <c r="D231" s="2"/>
      <c r="E231" s="2"/>
      <c r="F231" s="2"/>
      <c r="G231" s="2">
        <f>IFERROR(__xludf.DUMMYFUNCTION("""COMPUTED_VALUE"""),1.0)</f>
        <v>1</v>
      </c>
      <c r="H231" s="2"/>
      <c r="I231" s="2">
        <f>IFERROR(__xludf.DUMMYFUNCTION("""COMPUTED_VALUE"""),0.0)</f>
        <v>0</v>
      </c>
      <c r="J231" s="2"/>
      <c r="K231" s="2">
        <f>IFERROR(__xludf.DUMMYFUNCTION("""COMPUTED_VALUE"""),9.0)</f>
        <v>9</v>
      </c>
      <c r="L231" s="2"/>
      <c r="M231" s="2"/>
      <c r="N231" s="2"/>
      <c r="O231" s="3">
        <f>IFERROR(__xludf.DUMMYFUNCTION("""COMPUTED_VALUE"""),116561.0)</f>
        <v>116561</v>
      </c>
      <c r="P231" s="2" t="str">
        <f>IFERROR(__xludf.DUMMYFUNCTION("""COMPUTED_VALUE"""),"Australia/Oceania")</f>
        <v>Australia/Oceania</v>
      </c>
      <c r="Q231" s="3">
        <f>IFERROR(__xludf.DUMMYFUNCTION("""COMPUTED_VALUE"""),116561.0)</f>
        <v>116561</v>
      </c>
      <c r="R231" s="2"/>
      <c r="S231" s="2"/>
      <c r="T231" s="2"/>
      <c r="U231" s="2"/>
      <c r="V231" s="2"/>
    </row>
    <row r="232" ht="15.75" customHeight="1">
      <c r="A232" s="2">
        <f>IFERROR(__xludf.DUMMYFUNCTION("""COMPUTED_VALUE"""),223.0)</f>
        <v>223</v>
      </c>
      <c r="B232" s="2" t="str">
        <f>IFERROR(__xludf.DUMMYFUNCTION("""COMPUTED_VALUE"""),"China")</f>
        <v>China</v>
      </c>
      <c r="C232" s="3">
        <f>IFERROR(__xludf.DUMMYFUNCTION("""COMPUTED_VALUE"""),96435.0)</f>
        <v>96435</v>
      </c>
      <c r="D232" s="2" t="str">
        <f>IFERROR(__xludf.DUMMYFUNCTION("""COMPUTED_VALUE"""),"+12")</f>
        <v>+12</v>
      </c>
      <c r="E232" s="3">
        <f>IFERROR(__xludf.DUMMYFUNCTION("""COMPUTED_VALUE"""),4636.0)</f>
        <v>4636</v>
      </c>
      <c r="F232" s="2"/>
      <c r="G232" s="3">
        <f>IFERROR(__xludf.DUMMYFUNCTION("""COMPUTED_VALUE"""),91130.0)</f>
        <v>91130</v>
      </c>
      <c r="H232" s="2" t="str">
        <f>IFERROR(__xludf.DUMMYFUNCTION("""COMPUTED_VALUE"""),"+56")</f>
        <v>+56</v>
      </c>
      <c r="I232" s="2">
        <f>IFERROR(__xludf.DUMMYFUNCTION("""COMPUTED_VALUE"""),669.0)</f>
        <v>669</v>
      </c>
      <c r="J232" s="2"/>
      <c r="K232" s="2">
        <f>IFERROR(__xludf.DUMMYFUNCTION("""COMPUTED_VALUE"""),67.0)</f>
        <v>67</v>
      </c>
      <c r="L232" s="2">
        <f>IFERROR(__xludf.DUMMYFUNCTION("""COMPUTED_VALUE"""),3.0)</f>
        <v>3</v>
      </c>
      <c r="M232" s="3">
        <f>IFERROR(__xludf.DUMMYFUNCTION("""COMPUTED_VALUE"""),1.6E8)</f>
        <v>160000000</v>
      </c>
      <c r="N232" s="3">
        <f>IFERROR(__xludf.DUMMYFUNCTION("""COMPUTED_VALUE"""),111163.0)</f>
        <v>111163</v>
      </c>
      <c r="O232" s="3">
        <f>IFERROR(__xludf.DUMMYFUNCTION("""COMPUTED_VALUE"""),1.439323776E9)</f>
        <v>1439323776</v>
      </c>
      <c r="P232" s="2" t="str">
        <f>IFERROR(__xludf.DUMMYFUNCTION("""COMPUTED_VALUE"""),"Asia")</f>
        <v>Asia</v>
      </c>
      <c r="Q232" s="3">
        <f>IFERROR(__xludf.DUMMYFUNCTION("""COMPUTED_VALUE"""),14925.0)</f>
        <v>14925</v>
      </c>
      <c r="R232" s="3">
        <f>IFERROR(__xludf.DUMMYFUNCTION("""COMPUTED_VALUE"""),310467.0)</f>
        <v>310467</v>
      </c>
      <c r="S232" s="2">
        <f>IFERROR(__xludf.DUMMYFUNCTION("""COMPUTED_VALUE"""),9.0)</f>
        <v>9</v>
      </c>
      <c r="T232" s="2">
        <f>IFERROR(__xludf.DUMMYFUNCTION("""COMPUTED_VALUE"""),0.01)</f>
        <v>0.01</v>
      </c>
      <c r="U232" s="2"/>
      <c r="V232" s="2">
        <f>IFERROR(__xludf.DUMMYFUNCTION("""COMPUTED_VALUE"""),0.5)</f>
        <v>0.5</v>
      </c>
    </row>
    <row r="233" ht="15.75" customHeight="1">
      <c r="A233" s="2"/>
      <c r="B233" s="2" t="str">
        <f>IFERROR(__xludf.DUMMYFUNCTION("""COMPUTED_VALUE"""),"*Total:*")</f>
        <v>*Total:*</v>
      </c>
      <c r="C233" s="3">
        <f>IFERROR(__xludf.DUMMYFUNCTION("""COMPUTED_VALUE"""),5.4562259E7)</f>
        <v>54562259</v>
      </c>
      <c r="D233" s="2" t="str">
        <f>IFERROR(__xludf.DUMMYFUNCTION("""COMPUTED_VALUE"""),"+68,002")</f>
        <v>+68,002</v>
      </c>
      <c r="E233" s="3">
        <f>IFERROR(__xludf.DUMMYFUNCTION("""COMPUTED_VALUE"""),1108304.0)</f>
        <v>1108304</v>
      </c>
      <c r="F233" s="2" t="str">
        <f>IFERROR(__xludf.DUMMYFUNCTION("""COMPUTED_VALUE"""),"+1,476")</f>
        <v>+1,476</v>
      </c>
      <c r="G233" s="3">
        <f>IFERROR(__xludf.DUMMYFUNCTION("""COMPUTED_VALUE"""),4.2750668E7)</f>
        <v>42750668</v>
      </c>
      <c r="H233" s="2" t="str">
        <f>IFERROR(__xludf.DUMMYFUNCTION("""COMPUTED_VALUE"""),"+102,795")</f>
        <v>+102,795</v>
      </c>
      <c r="I233" s="3">
        <f>IFERROR(__xludf.DUMMYFUNCTION("""COMPUTED_VALUE"""),1.0703287E7)</f>
        <v>10703287</v>
      </c>
      <c r="J233" s="3">
        <f>IFERROR(__xludf.DUMMYFUNCTION("""COMPUTED_VALUE"""),24123.0)</f>
        <v>24123</v>
      </c>
      <c r="K233" s="2"/>
      <c r="L233" s="2"/>
      <c r="M233" s="2"/>
      <c r="N233" s="2"/>
      <c r="O233" s="2"/>
      <c r="P233" s="2" t="str">
        <f>IFERROR(__xludf.DUMMYFUNCTION("""COMPUTED_VALUE"""),"North America")</f>
        <v>North America</v>
      </c>
      <c r="Q233" s="2"/>
      <c r="R233" s="2"/>
      <c r="S233" s="2"/>
      <c r="T233" s="2"/>
      <c r="U233" s="2"/>
      <c r="V233" s="2"/>
    </row>
    <row r="234" ht="15.75" customHeight="1">
      <c r="A234" s="2"/>
      <c r="B234" s="2" t="str">
        <f>IFERROR(__xludf.DUMMYFUNCTION("""COMPUTED_VALUE"""),"*Total:*")</f>
        <v>*Total:*</v>
      </c>
      <c r="C234" s="3">
        <f>IFERROR(__xludf.DUMMYFUNCTION("""COMPUTED_VALUE"""),7.7354804E7)</f>
        <v>77354804</v>
      </c>
      <c r="D234" s="2" t="str">
        <f>IFERROR(__xludf.DUMMYFUNCTION("""COMPUTED_VALUE"""),"+115,997")</f>
        <v>+115,997</v>
      </c>
      <c r="E234" s="3">
        <f>IFERROR(__xludf.DUMMYFUNCTION("""COMPUTED_VALUE"""),1141885.0)</f>
        <v>1141885</v>
      </c>
      <c r="F234" s="2" t="str">
        <f>IFERROR(__xludf.DUMMYFUNCTION("""COMPUTED_VALUE"""),"+1,609")</f>
        <v>+1,609</v>
      </c>
      <c r="G234" s="3">
        <f>IFERROR(__xludf.DUMMYFUNCTION("""COMPUTED_VALUE"""),7.4233593E7)</f>
        <v>74233593</v>
      </c>
      <c r="H234" s="2" t="str">
        <f>IFERROR(__xludf.DUMMYFUNCTION("""COMPUTED_VALUE"""),"+141,917")</f>
        <v>+141,917</v>
      </c>
      <c r="I234" s="3">
        <f>IFERROR(__xludf.DUMMYFUNCTION("""COMPUTED_VALUE"""),1979326.0)</f>
        <v>1979326</v>
      </c>
      <c r="J234" s="3">
        <f>IFERROR(__xludf.DUMMYFUNCTION("""COMPUTED_VALUE"""),29851.0)</f>
        <v>29851</v>
      </c>
      <c r="K234" s="2"/>
      <c r="L234" s="2"/>
      <c r="M234" s="2"/>
      <c r="N234" s="2"/>
      <c r="O234" s="2"/>
      <c r="P234" s="2" t="str">
        <f>IFERROR(__xludf.DUMMYFUNCTION("""COMPUTED_VALUE"""),"Asia")</f>
        <v>Asia</v>
      </c>
      <c r="Q234" s="2"/>
      <c r="R234" s="2"/>
      <c r="S234" s="2"/>
      <c r="T234" s="2"/>
      <c r="U234" s="2"/>
      <c r="V234" s="2"/>
    </row>
    <row r="235" ht="15.75" customHeight="1">
      <c r="A235" s="2"/>
      <c r="B235" s="2" t="str">
        <f>IFERROR(__xludf.DUMMYFUNCTION("""COMPUTED_VALUE"""),"*Total:*")</f>
        <v>*Total:*</v>
      </c>
      <c r="C235" s="3">
        <f>IFERROR(__xludf.DUMMYFUNCTION("""COMPUTED_VALUE"""),3.8052613E7)</f>
        <v>38052613</v>
      </c>
      <c r="D235" s="2" t="str">
        <f>IFERROR(__xludf.DUMMYFUNCTION("""COMPUTED_VALUE"""),"+10,306")</f>
        <v>+10,306</v>
      </c>
      <c r="E235" s="3">
        <f>IFERROR(__xludf.DUMMYFUNCTION("""COMPUTED_VALUE"""),1161569.0)</f>
        <v>1161569</v>
      </c>
      <c r="F235" s="2" t="str">
        <f>IFERROR(__xludf.DUMMYFUNCTION("""COMPUTED_VALUE"""),"+233")</f>
        <v>+233</v>
      </c>
      <c r="G235" s="3">
        <f>IFERROR(__xludf.DUMMYFUNCTION("""COMPUTED_VALUE"""),3.6152214E7)</f>
        <v>36152214</v>
      </c>
      <c r="H235" s="2" t="str">
        <f>IFERROR(__xludf.DUMMYFUNCTION("""COMPUTED_VALUE"""),"+3,549")</f>
        <v>+3,549</v>
      </c>
      <c r="I235" s="3">
        <f>IFERROR(__xludf.DUMMYFUNCTION("""COMPUTED_VALUE"""),738830.0)</f>
        <v>738830</v>
      </c>
      <c r="J235" s="3">
        <f>IFERROR(__xludf.DUMMYFUNCTION("""COMPUTED_VALUE"""),12612.0)</f>
        <v>12612</v>
      </c>
      <c r="K235" s="2"/>
      <c r="L235" s="2"/>
      <c r="M235" s="2"/>
      <c r="N235" s="2"/>
      <c r="O235" s="2"/>
      <c r="P235" s="2" t="str">
        <f>IFERROR(__xludf.DUMMYFUNCTION("""COMPUTED_VALUE"""),"South America")</f>
        <v>South America</v>
      </c>
      <c r="Q235" s="2"/>
      <c r="R235" s="2"/>
      <c r="S235" s="2"/>
      <c r="T235" s="2"/>
      <c r="U235" s="2"/>
      <c r="V235" s="2"/>
    </row>
    <row r="236" ht="15.75" customHeight="1">
      <c r="A236" s="2"/>
      <c r="B236" s="2" t="str">
        <f>IFERROR(__xludf.DUMMYFUNCTION("""COMPUTED_VALUE"""),"*Total:*")</f>
        <v>*Total:*</v>
      </c>
      <c r="C236" s="3">
        <f>IFERROR(__xludf.DUMMYFUNCTION("""COMPUTED_VALUE"""),6.0691148E7)</f>
        <v>60691148</v>
      </c>
      <c r="D236" s="2" t="str">
        <f>IFERROR(__xludf.DUMMYFUNCTION("""COMPUTED_VALUE"""),"+152,351")</f>
        <v>+152,351</v>
      </c>
      <c r="E236" s="3">
        <f>IFERROR(__xludf.DUMMYFUNCTION("""COMPUTED_VALUE"""),1249311.0)</f>
        <v>1249311</v>
      </c>
      <c r="F236" s="2" t="str">
        <f>IFERROR(__xludf.DUMMYFUNCTION("""COMPUTED_VALUE"""),"+2,622")</f>
        <v>+2,622</v>
      </c>
      <c r="G236" s="3">
        <f>IFERROR(__xludf.DUMMYFUNCTION("""COMPUTED_VALUE"""),5.551891E7)</f>
        <v>55518910</v>
      </c>
      <c r="H236" s="2" t="str">
        <f>IFERROR(__xludf.DUMMYFUNCTION("""COMPUTED_VALUE"""),"+125,336")</f>
        <v>+125,336</v>
      </c>
      <c r="I236" s="3">
        <f>IFERROR(__xludf.DUMMYFUNCTION("""COMPUTED_VALUE"""),3922927.0)</f>
        <v>3922927</v>
      </c>
      <c r="J236" s="3">
        <f>IFERROR(__xludf.DUMMYFUNCTION("""COMPUTED_VALUE"""),11654.0)</f>
        <v>11654</v>
      </c>
      <c r="K236" s="2"/>
      <c r="L236" s="2"/>
      <c r="M236" s="2"/>
      <c r="N236" s="2"/>
      <c r="O236" s="2"/>
      <c r="P236" s="2" t="str">
        <f>IFERROR(__xludf.DUMMYFUNCTION("""COMPUTED_VALUE"""),"Europe")</f>
        <v>Europe</v>
      </c>
      <c r="Q236" s="2"/>
      <c r="R236" s="2"/>
      <c r="S236" s="2"/>
      <c r="T236" s="2"/>
      <c r="U236" s="2"/>
      <c r="V236" s="2"/>
    </row>
    <row r="237" ht="15.75" customHeight="1">
      <c r="A237" s="2"/>
      <c r="B237" s="2" t="str">
        <f>IFERROR(__xludf.DUMMYFUNCTION("""COMPUTED_VALUE"""),"*Total:*")</f>
        <v>*Total:*</v>
      </c>
      <c r="C237" s="3">
        <f>IFERROR(__xludf.DUMMYFUNCTION("""COMPUTED_VALUE"""),8472061.0)</f>
        <v>8472061</v>
      </c>
      <c r="D237" s="2" t="str">
        <f>IFERROR(__xludf.DUMMYFUNCTION("""COMPUTED_VALUE"""),"+3,260")</f>
        <v>+3,260</v>
      </c>
      <c r="E237" s="3">
        <f>IFERROR(__xludf.DUMMYFUNCTION("""COMPUTED_VALUE"""),214832.0)</f>
        <v>214832</v>
      </c>
      <c r="F237" s="2" t="str">
        <f>IFERROR(__xludf.DUMMYFUNCTION("""COMPUTED_VALUE"""),"+169")</f>
        <v>+169</v>
      </c>
      <c r="G237" s="3">
        <f>IFERROR(__xludf.DUMMYFUNCTION("""COMPUTED_VALUE"""),7787903.0)</f>
        <v>7787903</v>
      </c>
      <c r="H237" s="2" t="str">
        <f>IFERROR(__xludf.DUMMYFUNCTION("""COMPUTED_VALUE"""),"+9,116")</f>
        <v>+9,116</v>
      </c>
      <c r="I237" s="3">
        <f>IFERROR(__xludf.DUMMYFUNCTION("""COMPUTED_VALUE"""),469326.0)</f>
        <v>469326</v>
      </c>
      <c r="J237" s="3">
        <f>IFERROR(__xludf.DUMMYFUNCTION("""COMPUTED_VALUE"""),2746.0)</f>
        <v>2746</v>
      </c>
      <c r="K237" s="2"/>
      <c r="L237" s="2"/>
      <c r="M237" s="2"/>
      <c r="N237" s="2"/>
      <c r="O237" s="2"/>
      <c r="P237" s="2" t="str">
        <f>IFERROR(__xludf.DUMMYFUNCTION("""COMPUTED_VALUE"""),"Africa")</f>
        <v>Africa</v>
      </c>
      <c r="Q237" s="2"/>
      <c r="R237" s="2"/>
      <c r="S237" s="2"/>
      <c r="T237" s="2"/>
      <c r="U237" s="2"/>
      <c r="V237" s="2"/>
    </row>
    <row r="238" ht="15.75" customHeight="1">
      <c r="A238" s="2"/>
      <c r="B238" s="2" t="str">
        <f>IFERROR(__xludf.DUMMYFUNCTION("""COMPUTED_VALUE"""),"*Total:*")</f>
        <v>*Total:*</v>
      </c>
      <c r="C238" s="3">
        <f>IFERROR(__xludf.DUMMYFUNCTION("""COMPUTED_VALUE"""),260529.0)</f>
        <v>260529</v>
      </c>
      <c r="D238" s="2" t="str">
        <f>IFERROR(__xludf.DUMMYFUNCTION("""COMPUTED_VALUE"""),"+1,893")</f>
        <v>+1,893</v>
      </c>
      <c r="E238" s="3">
        <f>IFERROR(__xludf.DUMMYFUNCTION("""COMPUTED_VALUE"""),3225.0)</f>
        <v>3225</v>
      </c>
      <c r="F238" s="2" t="str">
        <f>IFERROR(__xludf.DUMMYFUNCTION("""COMPUTED_VALUE"""),"+13")</f>
        <v>+13</v>
      </c>
      <c r="G238" s="3">
        <f>IFERROR(__xludf.DUMMYFUNCTION("""COMPUTED_VALUE"""),201494.0)</f>
        <v>201494</v>
      </c>
      <c r="H238" s="2" t="str">
        <f>IFERROR(__xludf.DUMMYFUNCTION("""COMPUTED_VALUE"""),"+20")</f>
        <v>+20</v>
      </c>
      <c r="I238" s="3">
        <f>IFERROR(__xludf.DUMMYFUNCTION("""COMPUTED_VALUE"""),55810.0)</f>
        <v>55810</v>
      </c>
      <c r="J238" s="2">
        <f>IFERROR(__xludf.DUMMYFUNCTION("""COMPUTED_VALUE"""),384.0)</f>
        <v>384</v>
      </c>
      <c r="K238" s="2"/>
      <c r="L238" s="2"/>
      <c r="M238" s="2"/>
      <c r="N238" s="2"/>
      <c r="O238" s="2"/>
      <c r="P238" s="2" t="str">
        <f>IFERROR(__xludf.DUMMYFUNCTION("""COMPUTED_VALUE"""),"Australia/Oceania")</f>
        <v>Australia/Oceania</v>
      </c>
      <c r="Q238" s="2"/>
      <c r="R238" s="2"/>
      <c r="S238" s="2"/>
      <c r="T238" s="2"/>
      <c r="U238" s="2"/>
      <c r="V238" s="2"/>
    </row>
    <row r="239" ht="15.75" customHeight="1">
      <c r="A239" s="2"/>
      <c r="B239" s="2" t="str">
        <f>IFERROR(__xludf.DUMMYFUNCTION("""COMPUTED_VALUE"""),"*Total:*")</f>
        <v>*Total:*</v>
      </c>
      <c r="C239" s="2">
        <f>IFERROR(__xludf.DUMMYFUNCTION("""COMPUTED_VALUE"""),721.0)</f>
        <v>721</v>
      </c>
      <c r="D239" s="2"/>
      <c r="E239" s="2">
        <f>IFERROR(__xludf.DUMMYFUNCTION("""COMPUTED_VALUE"""),15.0)</f>
        <v>15</v>
      </c>
      <c r="F239" s="2"/>
      <c r="G239" s="2">
        <f>IFERROR(__xludf.DUMMYFUNCTION("""COMPUTED_VALUE"""),706.0)</f>
        <v>706</v>
      </c>
      <c r="H239" s="2"/>
      <c r="I239" s="2">
        <f>IFERROR(__xludf.DUMMYFUNCTION("""COMPUTED_VALUE"""),0.0)</f>
        <v>0</v>
      </c>
      <c r="J239" s="2">
        <f>IFERROR(__xludf.DUMMYFUNCTION("""COMPUTED_VALUE"""),0.0)</f>
        <v>0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ht="15.75" customHeight="1">
      <c r="A240" s="2"/>
      <c r="B240" s="2" t="str">
        <f>IFERROR(__xludf.DUMMYFUNCTION("""COMPUTED_VALUE"""),"*Total:*")</f>
        <v>*Total:*</v>
      </c>
      <c r="C240" s="3">
        <f>IFERROR(__xludf.DUMMYFUNCTION("""COMPUTED_VALUE"""),2.39394135E8)</f>
        <v>239394135</v>
      </c>
      <c r="D240" s="2" t="str">
        <f>IFERROR(__xludf.DUMMYFUNCTION("""COMPUTED_VALUE"""),"+351,809")</f>
        <v>+351,809</v>
      </c>
      <c r="E240" s="3">
        <f>IFERROR(__xludf.DUMMYFUNCTION("""COMPUTED_VALUE"""),4879141.0)</f>
        <v>4879141</v>
      </c>
      <c r="F240" s="2" t="str">
        <f>IFERROR(__xludf.DUMMYFUNCTION("""COMPUTED_VALUE"""),"+6,122")</f>
        <v>+6,122</v>
      </c>
      <c r="G240" s="3">
        <f>IFERROR(__xludf.DUMMYFUNCTION("""COMPUTED_VALUE"""),2.16645488E8)</f>
        <v>216645488</v>
      </c>
      <c r="H240" s="2" t="str">
        <f>IFERROR(__xludf.DUMMYFUNCTION("""COMPUTED_VALUE"""),"+382,733")</f>
        <v>+382,733</v>
      </c>
      <c r="I240" s="3">
        <f>IFERROR(__xludf.DUMMYFUNCTION("""COMPUTED_VALUE"""),1.7869506E7)</f>
        <v>17869506</v>
      </c>
      <c r="J240" s="3">
        <f>IFERROR(__xludf.DUMMYFUNCTION("""COMPUTED_VALUE"""),81370.0)</f>
        <v>81370</v>
      </c>
      <c r="K240" s="4">
        <f>IFERROR(__xludf.DUMMYFUNCTION("""COMPUTED_VALUE"""),30712.0)</f>
        <v>30712</v>
      </c>
      <c r="L240" s="2">
        <f>IFERROR(__xludf.DUMMYFUNCTION("""COMPUTED_VALUE"""),625.9)</f>
        <v>625.9</v>
      </c>
      <c r="M240" s="2"/>
      <c r="N240" s="2"/>
      <c r="O240" s="2"/>
      <c r="P240" s="2" t="str">
        <f>IFERROR(__xludf.DUMMYFUNCTION("""COMPUTED_VALUE"""),"All")</f>
        <v>All</v>
      </c>
      <c r="Q240" s="2"/>
      <c r="R240" s="2"/>
      <c r="S240" s="2"/>
      <c r="T240" s="2"/>
      <c r="U240" s="2"/>
      <c r="V240" s="2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