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HCMUT\212\Data Mining\presentation\Real Demo\VN-Index\"/>
    </mc:Choice>
  </mc:AlternateContent>
  <xr:revisionPtr revIDLastSave="0" documentId="13_ncr:1_{0F3B8D5D-4B3F-4143-AC70-6ECEBC0B5B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1" i="1" l="1"/>
  <c r="L241" i="1"/>
  <c r="K241" i="1"/>
  <c r="J241" i="1"/>
  <c r="I241" i="1"/>
  <c r="H241" i="1"/>
  <c r="G241" i="1"/>
  <c r="F241" i="1"/>
  <c r="E241" i="1"/>
  <c r="M240" i="1"/>
  <c r="L240" i="1"/>
  <c r="K240" i="1"/>
  <c r="J240" i="1"/>
  <c r="I240" i="1"/>
  <c r="H240" i="1"/>
  <c r="G240" i="1"/>
  <c r="F240" i="1"/>
  <c r="E240" i="1"/>
  <c r="M239" i="1"/>
  <c r="L239" i="1"/>
  <c r="K239" i="1"/>
  <c r="J239" i="1"/>
  <c r="I239" i="1"/>
  <c r="H239" i="1"/>
  <c r="G239" i="1"/>
  <c r="F239" i="1"/>
  <c r="E239" i="1"/>
  <c r="M238" i="1"/>
  <c r="L238" i="1"/>
  <c r="K238" i="1"/>
  <c r="J238" i="1"/>
  <c r="I238" i="1"/>
  <c r="H238" i="1"/>
  <c r="G238" i="1"/>
  <c r="F238" i="1"/>
  <c r="E238" i="1"/>
  <c r="M237" i="1"/>
  <c r="L237" i="1"/>
  <c r="K237" i="1"/>
  <c r="J237" i="1"/>
  <c r="I237" i="1"/>
  <c r="H237" i="1"/>
  <c r="G237" i="1"/>
  <c r="E237" i="1"/>
  <c r="M236" i="1"/>
  <c r="L236" i="1"/>
  <c r="K236" i="1"/>
  <c r="J236" i="1"/>
  <c r="I236" i="1"/>
  <c r="H236" i="1"/>
  <c r="G236" i="1"/>
  <c r="F236" i="1"/>
  <c r="E236" i="1"/>
  <c r="M235" i="1"/>
  <c r="L235" i="1"/>
  <c r="K235" i="1"/>
  <c r="J235" i="1"/>
  <c r="I235" i="1"/>
  <c r="H235" i="1"/>
  <c r="G235" i="1"/>
  <c r="F235" i="1"/>
  <c r="E235" i="1"/>
  <c r="M234" i="1"/>
  <c r="L234" i="1"/>
  <c r="K234" i="1"/>
  <c r="J234" i="1"/>
  <c r="H234" i="1"/>
  <c r="G234" i="1"/>
  <c r="F234" i="1"/>
  <c r="E234" i="1"/>
  <c r="M233" i="1"/>
  <c r="L233" i="1"/>
  <c r="K233" i="1"/>
  <c r="J233" i="1"/>
  <c r="I233" i="1"/>
  <c r="H233" i="1"/>
  <c r="G233" i="1"/>
  <c r="F233" i="1"/>
  <c r="E233" i="1"/>
  <c r="M232" i="1"/>
  <c r="L232" i="1"/>
  <c r="K232" i="1"/>
  <c r="J232" i="1"/>
  <c r="I232" i="1"/>
  <c r="H232" i="1"/>
  <c r="G232" i="1"/>
  <c r="F232" i="1"/>
  <c r="E232" i="1"/>
  <c r="M231" i="1"/>
  <c r="L231" i="1"/>
  <c r="K231" i="1"/>
  <c r="J231" i="1"/>
  <c r="I231" i="1"/>
  <c r="H231" i="1"/>
  <c r="G231" i="1"/>
  <c r="F231" i="1"/>
  <c r="E231" i="1"/>
  <c r="M230" i="1"/>
  <c r="L230" i="1"/>
  <c r="K230" i="1"/>
  <c r="J230" i="1"/>
  <c r="I230" i="1"/>
  <c r="H230" i="1"/>
  <c r="G230" i="1"/>
  <c r="F230" i="1"/>
  <c r="E230" i="1"/>
  <c r="M229" i="1"/>
  <c r="L229" i="1"/>
  <c r="K229" i="1"/>
  <c r="J229" i="1"/>
  <c r="I229" i="1"/>
  <c r="H229" i="1"/>
  <c r="G229" i="1"/>
  <c r="F229" i="1"/>
  <c r="E229" i="1"/>
  <c r="M228" i="1"/>
  <c r="L228" i="1"/>
  <c r="K228" i="1"/>
  <c r="J228" i="1"/>
  <c r="I228" i="1"/>
  <c r="H228" i="1"/>
  <c r="G228" i="1"/>
  <c r="F228" i="1"/>
  <c r="E228" i="1"/>
  <c r="M227" i="1"/>
  <c r="L227" i="1"/>
  <c r="K227" i="1"/>
  <c r="J227" i="1"/>
  <c r="I227" i="1"/>
  <c r="H227" i="1"/>
  <c r="G227" i="1"/>
  <c r="F227" i="1"/>
  <c r="E227" i="1"/>
  <c r="M226" i="1"/>
  <c r="L226" i="1"/>
  <c r="K226" i="1"/>
  <c r="J226" i="1"/>
  <c r="I226" i="1"/>
  <c r="H226" i="1"/>
  <c r="G226" i="1"/>
  <c r="F226" i="1"/>
  <c r="E226" i="1"/>
  <c r="M225" i="1"/>
  <c r="L225" i="1"/>
  <c r="K225" i="1"/>
  <c r="J225" i="1"/>
  <c r="I225" i="1"/>
  <c r="H225" i="1"/>
  <c r="G225" i="1"/>
  <c r="F225" i="1"/>
  <c r="E225" i="1"/>
  <c r="M224" i="1"/>
  <c r="L224" i="1"/>
  <c r="K224" i="1"/>
  <c r="J224" i="1"/>
  <c r="I224" i="1"/>
  <c r="H224" i="1"/>
  <c r="G224" i="1"/>
  <c r="F224" i="1"/>
  <c r="E224" i="1"/>
  <c r="M223" i="1"/>
  <c r="L223" i="1"/>
  <c r="K223" i="1"/>
  <c r="J223" i="1"/>
  <c r="I223" i="1"/>
  <c r="H223" i="1"/>
  <c r="G223" i="1"/>
  <c r="F223" i="1"/>
  <c r="E223" i="1"/>
  <c r="M222" i="1"/>
  <c r="L222" i="1"/>
  <c r="K222" i="1"/>
  <c r="J222" i="1"/>
  <c r="I222" i="1"/>
  <c r="H222" i="1"/>
  <c r="G222" i="1"/>
  <c r="F222" i="1"/>
  <c r="E222" i="1"/>
  <c r="M221" i="1"/>
  <c r="L221" i="1"/>
  <c r="K221" i="1"/>
  <c r="J221" i="1"/>
  <c r="I221" i="1"/>
  <c r="H221" i="1"/>
  <c r="G221" i="1"/>
  <c r="F221" i="1"/>
  <c r="E221" i="1"/>
  <c r="M220" i="1"/>
  <c r="L220" i="1"/>
  <c r="K220" i="1"/>
  <c r="J220" i="1"/>
  <c r="I220" i="1"/>
  <c r="H220" i="1"/>
  <c r="G220" i="1"/>
  <c r="F220" i="1"/>
  <c r="E220" i="1"/>
  <c r="M219" i="1"/>
  <c r="L219" i="1"/>
  <c r="K219" i="1"/>
  <c r="J219" i="1"/>
  <c r="I219" i="1"/>
  <c r="H219" i="1"/>
  <c r="G219" i="1"/>
  <c r="F219" i="1"/>
  <c r="E219" i="1"/>
  <c r="M218" i="1"/>
  <c r="L218" i="1"/>
  <c r="K218" i="1"/>
  <c r="J218" i="1"/>
  <c r="I218" i="1"/>
  <c r="H218" i="1"/>
  <c r="G218" i="1"/>
  <c r="F218" i="1"/>
  <c r="E218" i="1"/>
  <c r="M217" i="1"/>
  <c r="L217" i="1"/>
  <c r="K217" i="1"/>
  <c r="J217" i="1"/>
  <c r="I217" i="1"/>
  <c r="H217" i="1"/>
  <c r="G217" i="1"/>
  <c r="F217" i="1"/>
  <c r="E217" i="1"/>
  <c r="M216" i="1"/>
  <c r="L216" i="1"/>
  <c r="K216" i="1"/>
  <c r="J216" i="1"/>
  <c r="I216" i="1"/>
  <c r="H216" i="1"/>
  <c r="G216" i="1"/>
  <c r="F216" i="1"/>
  <c r="E216" i="1"/>
  <c r="M215" i="1"/>
  <c r="L215" i="1"/>
  <c r="K215" i="1"/>
  <c r="J215" i="1"/>
  <c r="I215" i="1"/>
  <c r="H215" i="1"/>
  <c r="G215" i="1"/>
  <c r="F215" i="1"/>
  <c r="E215" i="1"/>
  <c r="L214" i="1"/>
  <c r="K214" i="1"/>
  <c r="J214" i="1"/>
  <c r="I214" i="1"/>
  <c r="H214" i="1"/>
  <c r="G214" i="1"/>
  <c r="F214" i="1"/>
  <c r="E214" i="1"/>
  <c r="M213" i="1"/>
  <c r="L213" i="1"/>
  <c r="K213" i="1"/>
  <c r="J213" i="1"/>
  <c r="I213" i="1"/>
  <c r="H213" i="1"/>
  <c r="G213" i="1"/>
  <c r="F213" i="1"/>
  <c r="E213" i="1"/>
  <c r="M212" i="1"/>
  <c r="L212" i="1"/>
  <c r="K212" i="1"/>
  <c r="J212" i="1"/>
  <c r="H212" i="1"/>
  <c r="G212" i="1"/>
  <c r="F212" i="1"/>
  <c r="E212" i="1"/>
  <c r="M211" i="1"/>
  <c r="L211" i="1"/>
  <c r="K211" i="1"/>
  <c r="J211" i="1"/>
  <c r="H211" i="1"/>
  <c r="G211" i="1"/>
  <c r="F211" i="1"/>
  <c r="E211" i="1"/>
  <c r="M210" i="1"/>
  <c r="L210" i="1"/>
  <c r="K210" i="1"/>
  <c r="J210" i="1"/>
  <c r="I210" i="1"/>
  <c r="H210" i="1"/>
  <c r="G210" i="1"/>
  <c r="F210" i="1"/>
  <c r="E210" i="1"/>
  <c r="M209" i="1"/>
  <c r="L209" i="1"/>
  <c r="K209" i="1"/>
  <c r="J209" i="1"/>
  <c r="I209" i="1"/>
  <c r="H209" i="1"/>
  <c r="G209" i="1"/>
  <c r="F209" i="1"/>
  <c r="E209" i="1"/>
  <c r="M208" i="1"/>
  <c r="L208" i="1"/>
  <c r="K208" i="1"/>
  <c r="J208" i="1"/>
  <c r="I208" i="1"/>
  <c r="H208" i="1"/>
  <c r="G208" i="1"/>
  <c r="F208" i="1"/>
  <c r="E208" i="1"/>
  <c r="M207" i="1"/>
  <c r="L207" i="1"/>
  <c r="K207" i="1"/>
  <c r="J207" i="1"/>
  <c r="I207" i="1"/>
  <c r="H207" i="1"/>
  <c r="G207" i="1"/>
  <c r="F207" i="1"/>
  <c r="E207" i="1"/>
  <c r="M206" i="1"/>
  <c r="L206" i="1"/>
  <c r="K206" i="1"/>
  <c r="J206" i="1"/>
  <c r="H206" i="1"/>
  <c r="G206" i="1"/>
  <c r="F206" i="1"/>
  <c r="E206" i="1"/>
  <c r="M205" i="1"/>
  <c r="L205" i="1"/>
  <c r="K205" i="1"/>
  <c r="J205" i="1"/>
  <c r="I205" i="1"/>
  <c r="H205" i="1"/>
  <c r="G205" i="1"/>
  <c r="F205" i="1"/>
  <c r="E205" i="1"/>
  <c r="M204" i="1"/>
  <c r="L204" i="1"/>
  <c r="K204" i="1"/>
  <c r="J204" i="1"/>
  <c r="I204" i="1"/>
  <c r="H204" i="1"/>
  <c r="G204" i="1"/>
  <c r="F204" i="1"/>
  <c r="E204" i="1"/>
  <c r="M203" i="1"/>
  <c r="L203" i="1"/>
  <c r="K203" i="1"/>
  <c r="J203" i="1"/>
  <c r="I203" i="1"/>
  <c r="H203" i="1"/>
  <c r="G203" i="1"/>
  <c r="F203" i="1"/>
  <c r="E203" i="1"/>
  <c r="M202" i="1"/>
  <c r="L202" i="1"/>
  <c r="K202" i="1"/>
  <c r="J202" i="1"/>
  <c r="I202" i="1"/>
  <c r="H202" i="1"/>
  <c r="G202" i="1"/>
  <c r="F202" i="1"/>
  <c r="E202" i="1"/>
  <c r="M201" i="1"/>
  <c r="L201" i="1"/>
  <c r="K201" i="1"/>
  <c r="J201" i="1"/>
  <c r="I201" i="1"/>
  <c r="H201" i="1"/>
  <c r="G201" i="1"/>
  <c r="F201" i="1"/>
  <c r="E201" i="1"/>
  <c r="M200" i="1"/>
  <c r="L200" i="1"/>
  <c r="K200" i="1"/>
  <c r="J200" i="1"/>
  <c r="I200" i="1"/>
  <c r="H200" i="1"/>
  <c r="G200" i="1"/>
  <c r="F200" i="1"/>
  <c r="E200" i="1"/>
  <c r="M199" i="1"/>
  <c r="L199" i="1"/>
  <c r="K199" i="1"/>
  <c r="J199" i="1"/>
  <c r="I199" i="1"/>
  <c r="H199" i="1"/>
  <c r="G199" i="1"/>
  <c r="F199" i="1"/>
  <c r="E199" i="1"/>
  <c r="M198" i="1"/>
  <c r="L198" i="1"/>
  <c r="K198" i="1"/>
  <c r="J198" i="1"/>
  <c r="I198" i="1"/>
  <c r="H198" i="1"/>
  <c r="G198" i="1"/>
  <c r="F198" i="1"/>
  <c r="E198" i="1"/>
  <c r="M197" i="1"/>
  <c r="L197" i="1"/>
  <c r="K197" i="1"/>
  <c r="J197" i="1"/>
  <c r="I197" i="1"/>
  <c r="H197" i="1"/>
  <c r="G197" i="1"/>
  <c r="F197" i="1"/>
  <c r="E197" i="1"/>
  <c r="M196" i="1"/>
  <c r="L196" i="1"/>
  <c r="K196" i="1"/>
  <c r="J196" i="1"/>
  <c r="I196" i="1"/>
  <c r="H196" i="1"/>
  <c r="G196" i="1"/>
  <c r="F196" i="1"/>
  <c r="E196" i="1"/>
  <c r="M195" i="1"/>
  <c r="L195" i="1"/>
  <c r="K195" i="1"/>
  <c r="J195" i="1"/>
  <c r="I195" i="1"/>
  <c r="H195" i="1"/>
  <c r="G195" i="1"/>
  <c r="F195" i="1"/>
  <c r="E195" i="1"/>
  <c r="M194" i="1"/>
  <c r="L194" i="1"/>
  <c r="K194" i="1"/>
  <c r="J194" i="1"/>
  <c r="I194" i="1"/>
  <c r="H194" i="1"/>
  <c r="G194" i="1"/>
  <c r="F194" i="1"/>
  <c r="E194" i="1"/>
  <c r="M193" i="1"/>
  <c r="L193" i="1"/>
  <c r="K193" i="1"/>
  <c r="J193" i="1"/>
  <c r="I193" i="1"/>
  <c r="H193" i="1"/>
  <c r="G193" i="1"/>
  <c r="F193" i="1"/>
  <c r="E193" i="1"/>
  <c r="M192" i="1"/>
  <c r="L192" i="1"/>
  <c r="K192" i="1"/>
  <c r="J192" i="1"/>
  <c r="I192" i="1"/>
  <c r="H192" i="1"/>
  <c r="G192" i="1"/>
  <c r="F192" i="1"/>
  <c r="E192" i="1"/>
  <c r="M191" i="1"/>
  <c r="L191" i="1"/>
  <c r="K191" i="1"/>
  <c r="J191" i="1"/>
  <c r="H191" i="1"/>
  <c r="G191" i="1"/>
  <c r="F191" i="1"/>
  <c r="E191" i="1"/>
  <c r="M190" i="1"/>
  <c r="L190" i="1"/>
  <c r="K190" i="1"/>
  <c r="J190" i="1"/>
  <c r="H190" i="1"/>
  <c r="G190" i="1"/>
  <c r="F190" i="1"/>
  <c r="E190" i="1"/>
  <c r="M189" i="1"/>
  <c r="L189" i="1"/>
  <c r="K189" i="1"/>
  <c r="J189" i="1"/>
  <c r="I189" i="1"/>
  <c r="H189" i="1"/>
  <c r="G189" i="1"/>
  <c r="F189" i="1"/>
  <c r="E189" i="1"/>
  <c r="M188" i="1"/>
  <c r="L188" i="1"/>
  <c r="K188" i="1"/>
  <c r="J188" i="1"/>
  <c r="I188" i="1"/>
  <c r="H188" i="1"/>
  <c r="G188" i="1"/>
  <c r="F188" i="1"/>
  <c r="E188" i="1"/>
  <c r="M187" i="1"/>
  <c r="L187" i="1"/>
  <c r="K187" i="1"/>
  <c r="J187" i="1"/>
  <c r="I187" i="1"/>
  <c r="H187" i="1"/>
  <c r="G187" i="1"/>
  <c r="F187" i="1"/>
  <c r="E187" i="1"/>
  <c r="L186" i="1"/>
  <c r="K186" i="1"/>
  <c r="J186" i="1"/>
  <c r="I186" i="1"/>
  <c r="H186" i="1"/>
  <c r="G186" i="1"/>
  <c r="F186" i="1"/>
  <c r="E186" i="1"/>
  <c r="M185" i="1"/>
  <c r="L185" i="1"/>
  <c r="K185" i="1"/>
  <c r="J185" i="1"/>
  <c r="I185" i="1"/>
  <c r="H185" i="1"/>
  <c r="G185" i="1"/>
  <c r="F185" i="1"/>
  <c r="E185" i="1"/>
  <c r="M184" i="1"/>
  <c r="L184" i="1"/>
  <c r="K184" i="1"/>
  <c r="J184" i="1"/>
  <c r="I184" i="1"/>
  <c r="H184" i="1"/>
  <c r="G184" i="1"/>
  <c r="F184" i="1"/>
  <c r="E184" i="1"/>
  <c r="M183" i="1"/>
  <c r="L183" i="1"/>
  <c r="K183" i="1"/>
  <c r="J183" i="1"/>
  <c r="I183" i="1"/>
  <c r="H183" i="1"/>
  <c r="G183" i="1"/>
  <c r="F183" i="1"/>
  <c r="E183" i="1"/>
  <c r="M182" i="1"/>
  <c r="L182" i="1"/>
  <c r="K182" i="1"/>
  <c r="J182" i="1"/>
  <c r="I182" i="1"/>
  <c r="H182" i="1"/>
  <c r="G182" i="1"/>
  <c r="F182" i="1"/>
  <c r="E182" i="1"/>
  <c r="M181" i="1"/>
  <c r="L181" i="1"/>
  <c r="K181" i="1"/>
  <c r="J181" i="1"/>
  <c r="I181" i="1"/>
  <c r="H181" i="1"/>
  <c r="G181" i="1"/>
  <c r="F181" i="1"/>
  <c r="E181" i="1"/>
  <c r="M180" i="1"/>
  <c r="L180" i="1"/>
  <c r="K180" i="1"/>
  <c r="J180" i="1"/>
  <c r="I180" i="1"/>
  <c r="H180" i="1"/>
  <c r="G180" i="1"/>
  <c r="F180" i="1"/>
  <c r="E180" i="1"/>
  <c r="M179" i="1"/>
  <c r="L179" i="1"/>
  <c r="K179" i="1"/>
  <c r="J179" i="1"/>
  <c r="I179" i="1"/>
  <c r="H179" i="1"/>
  <c r="G179" i="1"/>
  <c r="F179" i="1"/>
  <c r="E179" i="1"/>
  <c r="M178" i="1"/>
  <c r="L178" i="1"/>
  <c r="K178" i="1"/>
  <c r="J178" i="1"/>
  <c r="I178" i="1"/>
  <c r="H178" i="1"/>
  <c r="G178" i="1"/>
  <c r="F178" i="1"/>
  <c r="E178" i="1"/>
  <c r="M177" i="1"/>
  <c r="L177" i="1"/>
  <c r="K177" i="1"/>
  <c r="J177" i="1"/>
  <c r="I177" i="1"/>
  <c r="H177" i="1"/>
  <c r="G177" i="1"/>
  <c r="F177" i="1"/>
  <c r="E177" i="1"/>
  <c r="M176" i="1"/>
  <c r="L176" i="1"/>
  <c r="K176" i="1"/>
  <c r="J176" i="1"/>
  <c r="I176" i="1"/>
  <c r="H176" i="1"/>
  <c r="G176" i="1"/>
  <c r="F176" i="1"/>
  <c r="E176" i="1"/>
  <c r="M175" i="1"/>
  <c r="L175" i="1"/>
  <c r="K175" i="1"/>
  <c r="J175" i="1"/>
  <c r="I175" i="1"/>
  <c r="H175" i="1"/>
  <c r="G175" i="1"/>
  <c r="F175" i="1"/>
  <c r="E175" i="1"/>
  <c r="M174" i="1"/>
  <c r="L174" i="1"/>
  <c r="K174" i="1"/>
  <c r="J174" i="1"/>
  <c r="I174" i="1"/>
  <c r="H174" i="1"/>
  <c r="G174" i="1"/>
  <c r="F174" i="1"/>
  <c r="E174" i="1"/>
  <c r="M173" i="1"/>
  <c r="L173" i="1"/>
  <c r="K173" i="1"/>
  <c r="J173" i="1"/>
  <c r="I173" i="1"/>
  <c r="H173" i="1"/>
  <c r="G173" i="1"/>
  <c r="F173" i="1"/>
  <c r="E173" i="1"/>
  <c r="M172" i="1"/>
  <c r="L172" i="1"/>
  <c r="K172" i="1"/>
  <c r="J172" i="1"/>
  <c r="I172" i="1"/>
  <c r="H172" i="1"/>
  <c r="G172" i="1"/>
  <c r="F172" i="1"/>
  <c r="E172" i="1"/>
  <c r="M171" i="1"/>
  <c r="L171" i="1"/>
  <c r="K171" i="1"/>
  <c r="J171" i="1"/>
  <c r="I171" i="1"/>
  <c r="H171" i="1"/>
  <c r="G171" i="1"/>
  <c r="F171" i="1"/>
  <c r="E171" i="1"/>
  <c r="M170" i="1"/>
  <c r="L170" i="1"/>
  <c r="K170" i="1"/>
  <c r="J170" i="1"/>
  <c r="I170" i="1"/>
  <c r="H170" i="1"/>
  <c r="G170" i="1"/>
  <c r="F170" i="1"/>
  <c r="E170" i="1"/>
  <c r="M169" i="1"/>
  <c r="L169" i="1"/>
  <c r="K169" i="1"/>
  <c r="J169" i="1"/>
  <c r="I169" i="1"/>
  <c r="H169" i="1"/>
  <c r="G169" i="1"/>
  <c r="F169" i="1"/>
  <c r="E169" i="1"/>
  <c r="M168" i="1"/>
  <c r="L168" i="1"/>
  <c r="K168" i="1"/>
  <c r="J168" i="1"/>
  <c r="I168" i="1"/>
  <c r="H168" i="1"/>
  <c r="G168" i="1"/>
  <c r="F168" i="1"/>
  <c r="E168" i="1"/>
  <c r="M167" i="1"/>
  <c r="L167" i="1"/>
  <c r="K167" i="1"/>
  <c r="J167" i="1"/>
  <c r="I167" i="1"/>
  <c r="H167" i="1"/>
  <c r="G167" i="1"/>
  <c r="F167" i="1"/>
  <c r="E167" i="1"/>
  <c r="M166" i="1"/>
  <c r="L166" i="1"/>
  <c r="K166" i="1"/>
  <c r="J166" i="1"/>
  <c r="I166" i="1"/>
  <c r="H166" i="1"/>
  <c r="G166" i="1"/>
  <c r="F166" i="1"/>
  <c r="E166" i="1"/>
  <c r="M165" i="1"/>
  <c r="L165" i="1"/>
  <c r="K165" i="1"/>
  <c r="J165" i="1"/>
  <c r="H165" i="1"/>
  <c r="G165" i="1"/>
  <c r="F165" i="1"/>
  <c r="E165" i="1"/>
  <c r="M164" i="1"/>
  <c r="L164" i="1"/>
  <c r="K164" i="1"/>
  <c r="J164" i="1"/>
  <c r="H164" i="1"/>
  <c r="G164" i="1"/>
  <c r="F164" i="1"/>
  <c r="E164" i="1"/>
  <c r="M163" i="1"/>
  <c r="L163" i="1"/>
  <c r="K163" i="1"/>
  <c r="J163" i="1"/>
  <c r="H163" i="1"/>
  <c r="G163" i="1"/>
  <c r="F163" i="1"/>
  <c r="E163" i="1"/>
  <c r="M162" i="1"/>
  <c r="L162" i="1"/>
  <c r="K162" i="1"/>
  <c r="J162" i="1"/>
  <c r="H162" i="1"/>
  <c r="G162" i="1"/>
  <c r="F162" i="1"/>
  <c r="E162" i="1"/>
  <c r="M161" i="1"/>
  <c r="L161" i="1"/>
  <c r="K161" i="1"/>
  <c r="J161" i="1"/>
  <c r="I161" i="1"/>
  <c r="H161" i="1"/>
  <c r="G161" i="1"/>
  <c r="F161" i="1"/>
  <c r="E161" i="1"/>
  <c r="M160" i="1"/>
  <c r="L160" i="1"/>
  <c r="K160" i="1"/>
  <c r="J160" i="1"/>
  <c r="I160" i="1"/>
  <c r="H160" i="1"/>
  <c r="G160" i="1"/>
  <c r="F160" i="1"/>
  <c r="E160" i="1"/>
  <c r="M159" i="1"/>
  <c r="L159" i="1"/>
  <c r="K159" i="1"/>
  <c r="J159" i="1"/>
  <c r="I159" i="1"/>
  <c r="H159" i="1"/>
  <c r="G159" i="1"/>
  <c r="F159" i="1"/>
  <c r="E159" i="1"/>
  <c r="M158" i="1"/>
  <c r="L158" i="1"/>
  <c r="K158" i="1"/>
  <c r="J158" i="1"/>
  <c r="H158" i="1"/>
  <c r="G158" i="1"/>
  <c r="F158" i="1"/>
  <c r="E158" i="1"/>
  <c r="M157" i="1"/>
  <c r="L157" i="1"/>
  <c r="K157" i="1"/>
  <c r="J157" i="1"/>
  <c r="I157" i="1"/>
  <c r="H157" i="1"/>
  <c r="G157" i="1"/>
  <c r="F157" i="1"/>
  <c r="E157" i="1"/>
  <c r="M156" i="1"/>
  <c r="L156" i="1"/>
  <c r="K156" i="1"/>
  <c r="J156" i="1"/>
  <c r="I156" i="1"/>
  <c r="H156" i="1"/>
  <c r="G156" i="1"/>
  <c r="F156" i="1"/>
  <c r="E156" i="1"/>
  <c r="M155" i="1"/>
  <c r="L155" i="1"/>
  <c r="K155" i="1"/>
  <c r="J155" i="1"/>
  <c r="I155" i="1"/>
  <c r="H155" i="1"/>
  <c r="G155" i="1"/>
  <c r="F155" i="1"/>
  <c r="E155" i="1"/>
  <c r="M154" i="1"/>
  <c r="L154" i="1"/>
  <c r="K154" i="1"/>
  <c r="J154" i="1"/>
  <c r="I154" i="1"/>
  <c r="H154" i="1"/>
  <c r="G154" i="1"/>
  <c r="F154" i="1"/>
  <c r="E154" i="1"/>
  <c r="M153" i="1"/>
  <c r="L153" i="1"/>
  <c r="K153" i="1"/>
  <c r="J153" i="1"/>
  <c r="H153" i="1"/>
  <c r="G153" i="1"/>
  <c r="F153" i="1"/>
  <c r="E153" i="1"/>
  <c r="M152" i="1"/>
  <c r="L152" i="1"/>
  <c r="K152" i="1"/>
  <c r="J152" i="1"/>
  <c r="I152" i="1"/>
  <c r="H152" i="1"/>
  <c r="G152" i="1"/>
  <c r="F152" i="1"/>
  <c r="E152" i="1"/>
  <c r="M151" i="1"/>
  <c r="L151" i="1"/>
  <c r="K151" i="1"/>
  <c r="J151" i="1"/>
  <c r="I151" i="1"/>
  <c r="H151" i="1"/>
  <c r="G151" i="1"/>
  <c r="F151" i="1"/>
  <c r="E151" i="1"/>
  <c r="M150" i="1"/>
  <c r="L150" i="1"/>
  <c r="K150" i="1"/>
  <c r="J150" i="1"/>
  <c r="I150" i="1"/>
  <c r="H150" i="1"/>
  <c r="G150" i="1"/>
  <c r="F150" i="1"/>
  <c r="E150" i="1"/>
  <c r="M149" i="1"/>
  <c r="L149" i="1"/>
  <c r="K149" i="1"/>
  <c r="J149" i="1"/>
  <c r="I149" i="1"/>
  <c r="H149" i="1"/>
  <c r="G149" i="1"/>
  <c r="F149" i="1"/>
  <c r="E149" i="1"/>
  <c r="M148" i="1"/>
  <c r="L148" i="1"/>
  <c r="K148" i="1"/>
  <c r="J148" i="1"/>
  <c r="I148" i="1"/>
  <c r="H148" i="1"/>
  <c r="G148" i="1"/>
  <c r="F148" i="1"/>
  <c r="E148" i="1"/>
  <c r="M147" i="1"/>
  <c r="L147" i="1"/>
  <c r="K147" i="1"/>
  <c r="J147" i="1"/>
  <c r="I147" i="1"/>
  <c r="H147" i="1"/>
  <c r="G147" i="1"/>
  <c r="F147" i="1"/>
  <c r="E147" i="1"/>
  <c r="M146" i="1"/>
  <c r="L146" i="1"/>
  <c r="K146" i="1"/>
  <c r="J146" i="1"/>
  <c r="I146" i="1"/>
  <c r="H146" i="1"/>
  <c r="G146" i="1"/>
  <c r="F146" i="1"/>
  <c r="E146" i="1"/>
  <c r="M145" i="1"/>
  <c r="L145" i="1"/>
  <c r="K145" i="1"/>
  <c r="J145" i="1"/>
  <c r="I145" i="1"/>
  <c r="H145" i="1"/>
  <c r="G145" i="1"/>
  <c r="F145" i="1"/>
  <c r="E145" i="1"/>
  <c r="M144" i="1"/>
  <c r="L144" i="1"/>
  <c r="K144" i="1"/>
  <c r="J144" i="1"/>
  <c r="H144" i="1"/>
  <c r="G144" i="1"/>
  <c r="F144" i="1"/>
  <c r="E144" i="1"/>
  <c r="M143" i="1"/>
  <c r="L143" i="1"/>
  <c r="K143" i="1"/>
  <c r="J143" i="1"/>
  <c r="H143" i="1"/>
  <c r="G143" i="1"/>
  <c r="F143" i="1"/>
  <c r="E143" i="1"/>
  <c r="M142" i="1"/>
  <c r="L142" i="1"/>
  <c r="K142" i="1"/>
  <c r="J142" i="1"/>
  <c r="H142" i="1"/>
  <c r="G142" i="1"/>
  <c r="F142" i="1"/>
  <c r="E142" i="1"/>
  <c r="M141" i="1"/>
  <c r="L141" i="1"/>
  <c r="K141" i="1"/>
  <c r="J141" i="1"/>
  <c r="I141" i="1"/>
  <c r="H141" i="1"/>
  <c r="G141" i="1"/>
  <c r="F141" i="1"/>
  <c r="E141" i="1"/>
  <c r="M140" i="1"/>
  <c r="L140" i="1"/>
  <c r="K140" i="1"/>
  <c r="J140" i="1"/>
  <c r="I140" i="1"/>
  <c r="H140" i="1"/>
  <c r="G140" i="1"/>
  <c r="F140" i="1"/>
  <c r="E140" i="1"/>
  <c r="M139" i="1"/>
  <c r="L139" i="1"/>
  <c r="K139" i="1"/>
  <c r="J139" i="1"/>
  <c r="I139" i="1"/>
  <c r="H139" i="1"/>
  <c r="G139" i="1"/>
  <c r="F139" i="1"/>
  <c r="E139" i="1"/>
  <c r="M138" i="1"/>
  <c r="L138" i="1"/>
  <c r="K138" i="1"/>
  <c r="J138" i="1"/>
  <c r="I138" i="1"/>
  <c r="H138" i="1"/>
  <c r="G138" i="1"/>
  <c r="F138" i="1"/>
  <c r="E138" i="1"/>
  <c r="M137" i="1"/>
  <c r="L137" i="1"/>
  <c r="K137" i="1"/>
  <c r="J137" i="1"/>
  <c r="I137" i="1"/>
  <c r="H137" i="1"/>
  <c r="G137" i="1"/>
  <c r="F137" i="1"/>
  <c r="E137" i="1"/>
  <c r="M136" i="1"/>
  <c r="L136" i="1"/>
  <c r="K136" i="1"/>
  <c r="J136" i="1"/>
  <c r="I136" i="1"/>
  <c r="H136" i="1"/>
  <c r="G136" i="1"/>
  <c r="F136" i="1"/>
  <c r="E136" i="1"/>
  <c r="M135" i="1"/>
  <c r="L135" i="1"/>
  <c r="K135" i="1"/>
  <c r="J135" i="1"/>
  <c r="I135" i="1"/>
  <c r="H135" i="1"/>
  <c r="G135" i="1"/>
  <c r="F135" i="1"/>
  <c r="E135" i="1"/>
  <c r="M134" i="1"/>
  <c r="L134" i="1"/>
  <c r="K134" i="1"/>
  <c r="J134" i="1"/>
  <c r="I134" i="1"/>
  <c r="H134" i="1"/>
  <c r="G134" i="1"/>
  <c r="F134" i="1"/>
  <c r="E134" i="1"/>
  <c r="M133" i="1"/>
  <c r="L133" i="1"/>
  <c r="K133" i="1"/>
  <c r="J133" i="1"/>
  <c r="I133" i="1"/>
  <c r="H133" i="1"/>
  <c r="G133" i="1"/>
  <c r="F133" i="1"/>
  <c r="E133" i="1"/>
  <c r="M132" i="1"/>
  <c r="L132" i="1"/>
  <c r="K132" i="1"/>
  <c r="J132" i="1"/>
  <c r="I132" i="1"/>
  <c r="H132" i="1"/>
  <c r="G132" i="1"/>
  <c r="F132" i="1"/>
  <c r="E132" i="1"/>
  <c r="M131" i="1"/>
  <c r="L131" i="1"/>
  <c r="K131" i="1"/>
  <c r="J131" i="1"/>
  <c r="I131" i="1"/>
  <c r="H131" i="1"/>
  <c r="G131" i="1"/>
  <c r="F131" i="1"/>
  <c r="E131" i="1"/>
  <c r="M130" i="1"/>
  <c r="L130" i="1"/>
  <c r="K130" i="1"/>
  <c r="J130" i="1"/>
  <c r="I130" i="1"/>
  <c r="H130" i="1"/>
  <c r="G130" i="1"/>
  <c r="F130" i="1"/>
  <c r="E130" i="1"/>
  <c r="M129" i="1"/>
  <c r="L129" i="1"/>
  <c r="K129" i="1"/>
  <c r="J129" i="1"/>
  <c r="I129" i="1"/>
  <c r="H129" i="1"/>
  <c r="G129" i="1"/>
  <c r="F129" i="1"/>
  <c r="E129" i="1"/>
  <c r="M128" i="1"/>
  <c r="L128" i="1"/>
  <c r="K128" i="1"/>
  <c r="J128" i="1"/>
  <c r="I128" i="1"/>
  <c r="H128" i="1"/>
  <c r="G128" i="1"/>
  <c r="F128" i="1"/>
  <c r="E128" i="1"/>
  <c r="M127" i="1"/>
  <c r="L127" i="1"/>
  <c r="K127" i="1"/>
  <c r="J127" i="1"/>
  <c r="I127" i="1"/>
  <c r="H127" i="1"/>
  <c r="G127" i="1"/>
  <c r="F127" i="1"/>
  <c r="E127" i="1"/>
  <c r="M126" i="1"/>
  <c r="L126" i="1"/>
  <c r="K126" i="1"/>
  <c r="J126" i="1"/>
  <c r="I126" i="1"/>
  <c r="H126" i="1"/>
  <c r="G126" i="1"/>
  <c r="F126" i="1"/>
  <c r="E126" i="1"/>
  <c r="M125" i="1"/>
  <c r="L125" i="1"/>
  <c r="K125" i="1"/>
  <c r="J125" i="1"/>
  <c r="I125" i="1"/>
  <c r="H125" i="1"/>
  <c r="G125" i="1"/>
  <c r="F125" i="1"/>
  <c r="E125" i="1"/>
  <c r="M124" i="1"/>
  <c r="L124" i="1"/>
  <c r="K124" i="1"/>
  <c r="J124" i="1"/>
  <c r="I124" i="1"/>
  <c r="H124" i="1"/>
  <c r="G124" i="1"/>
  <c r="F124" i="1"/>
  <c r="E124" i="1"/>
  <c r="M123" i="1"/>
  <c r="L123" i="1"/>
  <c r="K123" i="1"/>
  <c r="J123" i="1"/>
  <c r="I123" i="1"/>
  <c r="H123" i="1"/>
  <c r="G123" i="1"/>
  <c r="F123" i="1"/>
  <c r="E123" i="1"/>
  <c r="M122" i="1"/>
  <c r="L122" i="1"/>
  <c r="K122" i="1"/>
  <c r="J122" i="1"/>
  <c r="I122" i="1"/>
  <c r="H122" i="1"/>
  <c r="G122" i="1"/>
  <c r="F122" i="1"/>
  <c r="E122" i="1"/>
  <c r="M121" i="1"/>
  <c r="L121" i="1"/>
  <c r="K121" i="1"/>
  <c r="J121" i="1"/>
  <c r="I121" i="1"/>
  <c r="H121" i="1"/>
  <c r="G121" i="1"/>
  <c r="F121" i="1"/>
  <c r="E121" i="1"/>
  <c r="L120" i="1"/>
  <c r="K120" i="1"/>
  <c r="J120" i="1"/>
  <c r="I120" i="1"/>
  <c r="H120" i="1"/>
  <c r="G120" i="1"/>
  <c r="F120" i="1"/>
  <c r="E120" i="1"/>
  <c r="L119" i="1"/>
  <c r="K119" i="1"/>
  <c r="J119" i="1"/>
  <c r="I119" i="1"/>
  <c r="H119" i="1"/>
  <c r="G119" i="1"/>
  <c r="F119" i="1"/>
  <c r="E119" i="1"/>
  <c r="L118" i="1"/>
  <c r="K118" i="1"/>
  <c r="J118" i="1"/>
  <c r="H118" i="1"/>
  <c r="G118" i="1"/>
  <c r="F118" i="1"/>
  <c r="E118" i="1"/>
  <c r="M117" i="1"/>
  <c r="L117" i="1"/>
  <c r="K117" i="1"/>
  <c r="J117" i="1"/>
  <c r="I117" i="1"/>
  <c r="H117" i="1"/>
  <c r="G117" i="1"/>
  <c r="F117" i="1"/>
  <c r="E117" i="1"/>
  <c r="M116" i="1"/>
  <c r="L116" i="1"/>
  <c r="K116" i="1"/>
  <c r="J116" i="1"/>
  <c r="I116" i="1"/>
  <c r="H116" i="1"/>
  <c r="G116" i="1"/>
  <c r="F116" i="1"/>
  <c r="E116" i="1"/>
  <c r="M115" i="1"/>
  <c r="L115" i="1"/>
  <c r="K115" i="1"/>
  <c r="J115" i="1"/>
  <c r="I115" i="1"/>
  <c r="H115" i="1"/>
  <c r="G115" i="1"/>
  <c r="F115" i="1"/>
  <c r="E115" i="1"/>
  <c r="M114" i="1"/>
  <c r="L114" i="1"/>
  <c r="K114" i="1"/>
  <c r="J114" i="1"/>
  <c r="I114" i="1"/>
  <c r="H114" i="1"/>
  <c r="G114" i="1"/>
  <c r="F114" i="1"/>
  <c r="E114" i="1"/>
  <c r="M113" i="1"/>
  <c r="L113" i="1"/>
  <c r="K113" i="1"/>
  <c r="J113" i="1"/>
  <c r="I113" i="1"/>
  <c r="H113" i="1"/>
  <c r="G113" i="1"/>
  <c r="F113" i="1"/>
  <c r="E113" i="1"/>
  <c r="M112" i="1"/>
  <c r="L112" i="1"/>
  <c r="K112" i="1"/>
  <c r="J112" i="1"/>
  <c r="I112" i="1"/>
  <c r="H112" i="1"/>
  <c r="G112" i="1"/>
  <c r="F112" i="1"/>
  <c r="E112" i="1"/>
  <c r="M111" i="1"/>
  <c r="L111" i="1"/>
  <c r="K111" i="1"/>
  <c r="J111" i="1"/>
  <c r="I111" i="1"/>
  <c r="H111" i="1"/>
  <c r="G111" i="1"/>
  <c r="F111" i="1"/>
  <c r="E111" i="1"/>
  <c r="M110" i="1"/>
  <c r="L110" i="1"/>
  <c r="K110" i="1"/>
  <c r="J110" i="1"/>
  <c r="I110" i="1"/>
  <c r="H110" i="1"/>
  <c r="G110" i="1"/>
  <c r="F110" i="1"/>
  <c r="E110" i="1"/>
  <c r="M109" i="1"/>
  <c r="L109" i="1"/>
  <c r="K109" i="1"/>
  <c r="J109" i="1"/>
  <c r="I109" i="1"/>
  <c r="H109" i="1"/>
  <c r="G109" i="1"/>
  <c r="F109" i="1"/>
  <c r="E109" i="1"/>
  <c r="M108" i="1"/>
  <c r="L108" i="1"/>
  <c r="K108" i="1"/>
  <c r="J108" i="1"/>
  <c r="I108" i="1"/>
  <c r="H108" i="1"/>
  <c r="G108" i="1"/>
  <c r="F108" i="1"/>
  <c r="E108" i="1"/>
  <c r="M107" i="1"/>
  <c r="L107" i="1"/>
  <c r="K107" i="1"/>
  <c r="J107" i="1"/>
  <c r="I107" i="1"/>
  <c r="H107" i="1"/>
  <c r="G107" i="1"/>
  <c r="F107" i="1"/>
  <c r="E107" i="1"/>
  <c r="M106" i="1"/>
  <c r="L106" i="1"/>
  <c r="K106" i="1"/>
  <c r="J106" i="1"/>
  <c r="I106" i="1"/>
  <c r="H106" i="1"/>
  <c r="G106" i="1"/>
  <c r="F106" i="1"/>
  <c r="E106" i="1"/>
  <c r="M105" i="1"/>
  <c r="L105" i="1"/>
  <c r="K105" i="1"/>
  <c r="J105" i="1"/>
  <c r="I105" i="1"/>
  <c r="H105" i="1"/>
  <c r="G105" i="1"/>
  <c r="F105" i="1"/>
  <c r="E105" i="1"/>
  <c r="M104" i="1"/>
  <c r="L104" i="1"/>
  <c r="K104" i="1"/>
  <c r="J104" i="1"/>
  <c r="I104" i="1"/>
  <c r="H104" i="1"/>
  <c r="G104" i="1"/>
  <c r="F104" i="1"/>
  <c r="E104" i="1"/>
  <c r="M103" i="1"/>
  <c r="L103" i="1"/>
  <c r="K103" i="1"/>
  <c r="J103" i="1"/>
  <c r="I103" i="1"/>
  <c r="H103" i="1"/>
  <c r="G103" i="1"/>
  <c r="F103" i="1"/>
  <c r="E103" i="1"/>
  <c r="M102" i="1"/>
  <c r="L102" i="1"/>
  <c r="K102" i="1"/>
  <c r="J102" i="1"/>
  <c r="I102" i="1"/>
  <c r="H102" i="1"/>
  <c r="G102" i="1"/>
  <c r="F102" i="1"/>
  <c r="E102" i="1"/>
  <c r="M101" i="1"/>
  <c r="L101" i="1"/>
  <c r="K101" i="1"/>
  <c r="J101" i="1"/>
  <c r="I101" i="1"/>
  <c r="H101" i="1"/>
  <c r="G101" i="1"/>
  <c r="F101" i="1"/>
  <c r="E101" i="1"/>
  <c r="M100" i="1"/>
  <c r="L100" i="1"/>
  <c r="K100" i="1"/>
  <c r="J100" i="1"/>
  <c r="I100" i="1"/>
  <c r="H100" i="1"/>
  <c r="G100" i="1"/>
  <c r="F100" i="1"/>
  <c r="E100" i="1"/>
  <c r="M99" i="1"/>
  <c r="L99" i="1"/>
  <c r="K99" i="1"/>
  <c r="J99" i="1"/>
  <c r="I99" i="1"/>
  <c r="H99" i="1"/>
  <c r="G99" i="1"/>
  <c r="F99" i="1"/>
  <c r="E99" i="1"/>
  <c r="M98" i="1"/>
  <c r="L98" i="1"/>
  <c r="K98" i="1"/>
  <c r="J98" i="1"/>
  <c r="I98" i="1"/>
  <c r="H98" i="1"/>
  <c r="G98" i="1"/>
  <c r="F98" i="1"/>
  <c r="E98" i="1"/>
  <c r="M97" i="1"/>
  <c r="L97" i="1"/>
  <c r="K97" i="1"/>
  <c r="J97" i="1"/>
  <c r="I97" i="1"/>
  <c r="H97" i="1"/>
  <c r="G97" i="1"/>
  <c r="F97" i="1"/>
  <c r="E97" i="1"/>
  <c r="M96" i="1"/>
  <c r="L96" i="1"/>
  <c r="K96" i="1"/>
  <c r="J96" i="1"/>
  <c r="I96" i="1"/>
  <c r="H96" i="1"/>
  <c r="G96" i="1"/>
  <c r="F96" i="1"/>
  <c r="E96" i="1"/>
  <c r="M95" i="1"/>
  <c r="L95" i="1"/>
  <c r="K95" i="1"/>
  <c r="J95" i="1"/>
  <c r="I95" i="1"/>
  <c r="H95" i="1"/>
  <c r="G95" i="1"/>
  <c r="F95" i="1"/>
  <c r="E95" i="1"/>
  <c r="M94" i="1"/>
  <c r="L94" i="1"/>
  <c r="K94" i="1"/>
  <c r="J94" i="1"/>
  <c r="I94" i="1"/>
  <c r="H94" i="1"/>
  <c r="G94" i="1"/>
  <c r="F94" i="1"/>
  <c r="E94" i="1"/>
  <c r="M93" i="1"/>
  <c r="L93" i="1"/>
  <c r="K93" i="1"/>
  <c r="J93" i="1"/>
  <c r="I93" i="1"/>
  <c r="H93" i="1"/>
  <c r="G93" i="1"/>
  <c r="F93" i="1"/>
  <c r="E93" i="1"/>
  <c r="M92" i="1"/>
  <c r="L92" i="1"/>
  <c r="K92" i="1"/>
  <c r="J92" i="1"/>
  <c r="I92" i="1"/>
  <c r="H92" i="1"/>
  <c r="G92" i="1"/>
  <c r="F92" i="1"/>
  <c r="E92" i="1"/>
  <c r="M91" i="1"/>
  <c r="L91" i="1"/>
  <c r="K91" i="1"/>
  <c r="J91" i="1"/>
  <c r="I91" i="1"/>
  <c r="H91" i="1"/>
  <c r="G91" i="1"/>
  <c r="F91" i="1"/>
  <c r="E91" i="1"/>
  <c r="M90" i="1"/>
  <c r="L90" i="1"/>
  <c r="K90" i="1"/>
  <c r="J90" i="1"/>
  <c r="I90" i="1"/>
  <c r="H90" i="1"/>
  <c r="G90" i="1"/>
  <c r="F90" i="1"/>
  <c r="E90" i="1"/>
  <c r="M89" i="1"/>
  <c r="L89" i="1"/>
  <c r="K89" i="1"/>
  <c r="J89" i="1"/>
  <c r="I89" i="1"/>
  <c r="H89" i="1"/>
  <c r="G89" i="1"/>
  <c r="F89" i="1"/>
  <c r="E89" i="1"/>
  <c r="M88" i="1"/>
  <c r="L88" i="1"/>
  <c r="K88" i="1"/>
  <c r="J88" i="1"/>
  <c r="I88" i="1"/>
  <c r="H88" i="1"/>
  <c r="G88" i="1"/>
  <c r="F88" i="1"/>
  <c r="E88" i="1"/>
  <c r="M87" i="1"/>
  <c r="L87" i="1"/>
  <c r="K87" i="1"/>
  <c r="J87" i="1"/>
  <c r="I87" i="1"/>
  <c r="H87" i="1"/>
  <c r="G87" i="1"/>
  <c r="F87" i="1"/>
  <c r="E87" i="1"/>
  <c r="M86" i="1"/>
  <c r="L86" i="1"/>
  <c r="K86" i="1"/>
  <c r="J86" i="1"/>
  <c r="I86" i="1"/>
  <c r="H86" i="1"/>
  <c r="G86" i="1"/>
  <c r="F86" i="1"/>
  <c r="E86" i="1"/>
  <c r="M85" i="1"/>
  <c r="L85" i="1"/>
  <c r="K85" i="1"/>
  <c r="J85" i="1"/>
  <c r="I85" i="1"/>
  <c r="H85" i="1"/>
  <c r="G85" i="1"/>
  <c r="F85" i="1"/>
  <c r="E85" i="1"/>
  <c r="M84" i="1"/>
  <c r="L84" i="1"/>
  <c r="K84" i="1"/>
  <c r="J84" i="1"/>
  <c r="I84" i="1"/>
  <c r="H84" i="1"/>
  <c r="G84" i="1"/>
  <c r="F84" i="1"/>
  <c r="E84" i="1"/>
  <c r="M83" i="1"/>
  <c r="L83" i="1"/>
  <c r="K83" i="1"/>
  <c r="J83" i="1"/>
  <c r="I83" i="1"/>
  <c r="H83" i="1"/>
  <c r="G83" i="1"/>
  <c r="F83" i="1"/>
  <c r="E83" i="1"/>
  <c r="M82" i="1"/>
  <c r="L82" i="1"/>
  <c r="K82" i="1"/>
  <c r="J82" i="1"/>
  <c r="I82" i="1"/>
  <c r="H82" i="1"/>
  <c r="G82" i="1"/>
  <c r="F82" i="1"/>
  <c r="E82" i="1"/>
  <c r="M81" i="1"/>
  <c r="L81" i="1"/>
  <c r="K81" i="1"/>
  <c r="J81" i="1"/>
  <c r="I81" i="1"/>
  <c r="H81" i="1"/>
  <c r="G81" i="1"/>
  <c r="F81" i="1"/>
  <c r="E81" i="1"/>
  <c r="M80" i="1"/>
  <c r="L80" i="1"/>
  <c r="K80" i="1"/>
  <c r="J80" i="1"/>
  <c r="I80" i="1"/>
  <c r="H80" i="1"/>
  <c r="G80" i="1"/>
  <c r="F80" i="1"/>
  <c r="E80" i="1"/>
  <c r="M79" i="1"/>
  <c r="L79" i="1"/>
  <c r="K79" i="1"/>
  <c r="J79" i="1"/>
  <c r="I79" i="1"/>
  <c r="H79" i="1"/>
  <c r="G79" i="1"/>
  <c r="F79" i="1"/>
  <c r="E79" i="1"/>
  <c r="M78" i="1"/>
  <c r="L78" i="1"/>
  <c r="K78" i="1"/>
  <c r="J78" i="1"/>
  <c r="I78" i="1"/>
  <c r="H78" i="1"/>
  <c r="G78" i="1"/>
  <c r="F78" i="1"/>
  <c r="E78" i="1"/>
  <c r="M77" i="1"/>
  <c r="L77" i="1"/>
  <c r="K77" i="1"/>
  <c r="J77" i="1"/>
  <c r="I77" i="1"/>
  <c r="H77" i="1"/>
  <c r="G77" i="1"/>
  <c r="F77" i="1"/>
  <c r="E77" i="1"/>
  <c r="M76" i="1"/>
  <c r="L76" i="1"/>
  <c r="K76" i="1"/>
  <c r="J76" i="1"/>
  <c r="I76" i="1"/>
  <c r="H76" i="1"/>
  <c r="G76" i="1"/>
  <c r="F76" i="1"/>
  <c r="E76" i="1"/>
  <c r="M75" i="1"/>
  <c r="L75" i="1"/>
  <c r="K75" i="1"/>
  <c r="J75" i="1"/>
  <c r="I75" i="1"/>
  <c r="H75" i="1"/>
  <c r="G75" i="1"/>
  <c r="F75" i="1"/>
  <c r="E75" i="1"/>
  <c r="M74" i="1"/>
  <c r="L74" i="1"/>
  <c r="K74" i="1"/>
  <c r="J74" i="1"/>
  <c r="I74" i="1"/>
  <c r="H74" i="1"/>
  <c r="G74" i="1"/>
  <c r="F74" i="1"/>
  <c r="E74" i="1"/>
  <c r="M73" i="1"/>
  <c r="L73" i="1"/>
  <c r="K73" i="1"/>
  <c r="J73" i="1"/>
  <c r="I73" i="1"/>
  <c r="H73" i="1"/>
  <c r="G73" i="1"/>
  <c r="F73" i="1"/>
  <c r="E73" i="1"/>
  <c r="M72" i="1"/>
  <c r="L72" i="1"/>
  <c r="K72" i="1"/>
  <c r="J72" i="1"/>
  <c r="I72" i="1"/>
  <c r="H72" i="1"/>
  <c r="G72" i="1"/>
  <c r="F72" i="1"/>
  <c r="E72" i="1"/>
  <c r="M71" i="1"/>
  <c r="L71" i="1"/>
  <c r="K71" i="1"/>
  <c r="J71" i="1"/>
  <c r="I71" i="1"/>
  <c r="H71" i="1"/>
  <c r="G71" i="1"/>
  <c r="F71" i="1"/>
  <c r="E71" i="1"/>
  <c r="M70" i="1"/>
  <c r="L70" i="1"/>
  <c r="K70" i="1"/>
  <c r="J70" i="1"/>
  <c r="I70" i="1"/>
  <c r="H70" i="1"/>
  <c r="G70" i="1"/>
  <c r="F70" i="1"/>
  <c r="E70" i="1"/>
  <c r="M69" i="1"/>
  <c r="L69" i="1"/>
  <c r="K69" i="1"/>
  <c r="J69" i="1"/>
  <c r="I69" i="1"/>
  <c r="H69" i="1"/>
  <c r="G69" i="1"/>
  <c r="F69" i="1"/>
  <c r="E69" i="1"/>
  <c r="M68" i="1"/>
  <c r="L68" i="1"/>
  <c r="K68" i="1"/>
  <c r="J68" i="1"/>
  <c r="I68" i="1"/>
  <c r="H68" i="1"/>
  <c r="G68" i="1"/>
  <c r="F68" i="1"/>
  <c r="E68" i="1"/>
  <c r="M67" i="1"/>
  <c r="L67" i="1"/>
  <c r="K67" i="1"/>
  <c r="J67" i="1"/>
  <c r="I67" i="1"/>
  <c r="H67" i="1"/>
  <c r="G67" i="1"/>
  <c r="F67" i="1"/>
  <c r="E67" i="1"/>
  <c r="M66" i="1"/>
  <c r="L66" i="1"/>
  <c r="K66" i="1"/>
  <c r="J66" i="1"/>
  <c r="I66" i="1"/>
  <c r="H66" i="1"/>
  <c r="G66" i="1"/>
  <c r="F66" i="1"/>
  <c r="E66" i="1"/>
  <c r="M65" i="1"/>
  <c r="L65" i="1"/>
  <c r="K65" i="1"/>
  <c r="J65" i="1"/>
  <c r="H65" i="1"/>
  <c r="G65" i="1"/>
  <c r="F65" i="1"/>
  <c r="E65" i="1"/>
  <c r="M64" i="1"/>
  <c r="L64" i="1"/>
  <c r="K64" i="1"/>
  <c r="J64" i="1"/>
  <c r="I64" i="1"/>
  <c r="H64" i="1"/>
  <c r="G64" i="1"/>
  <c r="F64" i="1"/>
  <c r="E64" i="1"/>
  <c r="M63" i="1"/>
  <c r="L63" i="1"/>
  <c r="K63" i="1"/>
  <c r="J63" i="1"/>
  <c r="I63" i="1"/>
  <c r="H63" i="1"/>
  <c r="G63" i="1"/>
  <c r="F63" i="1"/>
  <c r="E63" i="1"/>
  <c r="M62" i="1"/>
  <c r="L62" i="1"/>
  <c r="K62" i="1"/>
  <c r="J62" i="1"/>
  <c r="I62" i="1"/>
  <c r="H62" i="1"/>
  <c r="G62" i="1"/>
  <c r="F62" i="1"/>
  <c r="E62" i="1"/>
  <c r="M61" i="1"/>
  <c r="L61" i="1"/>
  <c r="K61" i="1"/>
  <c r="J61" i="1"/>
  <c r="I61" i="1"/>
  <c r="H61" i="1"/>
  <c r="G61" i="1"/>
  <c r="F61" i="1"/>
  <c r="E61" i="1"/>
  <c r="M60" i="1"/>
  <c r="L60" i="1"/>
  <c r="K60" i="1"/>
  <c r="J60" i="1"/>
  <c r="I60" i="1"/>
  <c r="H60" i="1"/>
  <c r="G60" i="1"/>
  <c r="F60" i="1"/>
  <c r="E60" i="1"/>
  <c r="M59" i="1"/>
  <c r="L59" i="1"/>
  <c r="K59" i="1"/>
  <c r="J59" i="1"/>
  <c r="I59" i="1"/>
  <c r="H59" i="1"/>
  <c r="G59" i="1"/>
  <c r="F59" i="1"/>
  <c r="E59" i="1"/>
  <c r="M58" i="1"/>
  <c r="L58" i="1"/>
  <c r="K58" i="1"/>
  <c r="J58" i="1"/>
  <c r="I58" i="1"/>
  <c r="H58" i="1"/>
  <c r="G58" i="1"/>
  <c r="F58" i="1"/>
  <c r="E58" i="1"/>
  <c r="M57" i="1"/>
  <c r="L57" i="1"/>
  <c r="K57" i="1"/>
  <c r="J57" i="1"/>
  <c r="I57" i="1"/>
  <c r="H57" i="1"/>
  <c r="G57" i="1"/>
  <c r="F57" i="1"/>
  <c r="E57" i="1"/>
  <c r="L56" i="1"/>
  <c r="K56" i="1"/>
  <c r="J56" i="1"/>
  <c r="I56" i="1"/>
  <c r="H56" i="1"/>
  <c r="G56" i="1"/>
  <c r="F56" i="1"/>
  <c r="E56" i="1"/>
  <c r="L55" i="1"/>
  <c r="K55" i="1"/>
  <c r="J55" i="1"/>
  <c r="I55" i="1"/>
  <c r="H55" i="1"/>
  <c r="G55" i="1"/>
  <c r="F55" i="1"/>
  <c r="E55" i="1"/>
  <c r="L54" i="1"/>
  <c r="K54" i="1"/>
  <c r="J54" i="1"/>
  <c r="I54" i="1"/>
  <c r="H54" i="1"/>
  <c r="G54" i="1"/>
  <c r="F54" i="1"/>
  <c r="E54" i="1"/>
  <c r="M53" i="1"/>
  <c r="L53" i="1"/>
  <c r="K53" i="1"/>
  <c r="J53" i="1"/>
  <c r="I53" i="1"/>
  <c r="H53" i="1"/>
  <c r="G53" i="1"/>
  <c r="F53" i="1"/>
  <c r="E53" i="1"/>
  <c r="M52" i="1"/>
  <c r="L52" i="1"/>
  <c r="K52" i="1"/>
  <c r="J52" i="1"/>
  <c r="I52" i="1"/>
  <c r="H52" i="1"/>
  <c r="G52" i="1"/>
  <c r="F52" i="1"/>
  <c r="E52" i="1"/>
  <c r="M51" i="1"/>
  <c r="L51" i="1"/>
  <c r="K51" i="1"/>
  <c r="J51" i="1"/>
  <c r="I51" i="1"/>
  <c r="H51" i="1"/>
  <c r="G51" i="1"/>
  <c r="F51" i="1"/>
  <c r="E51" i="1"/>
  <c r="M50" i="1"/>
  <c r="L50" i="1"/>
  <c r="K50" i="1"/>
  <c r="J50" i="1"/>
  <c r="I50" i="1"/>
  <c r="H50" i="1"/>
  <c r="G50" i="1"/>
  <c r="F50" i="1"/>
  <c r="E50" i="1"/>
  <c r="M49" i="1"/>
  <c r="L49" i="1"/>
  <c r="K49" i="1"/>
  <c r="J49" i="1"/>
  <c r="I49" i="1"/>
  <c r="H49" i="1"/>
  <c r="G49" i="1"/>
  <c r="F49" i="1"/>
  <c r="E49" i="1"/>
  <c r="M48" i="1"/>
  <c r="L48" i="1"/>
  <c r="K48" i="1"/>
  <c r="J48" i="1"/>
  <c r="I48" i="1"/>
  <c r="H48" i="1"/>
  <c r="G48" i="1"/>
  <c r="F48" i="1"/>
  <c r="E48" i="1"/>
  <c r="M47" i="1"/>
  <c r="L47" i="1"/>
  <c r="K47" i="1"/>
  <c r="J47" i="1"/>
  <c r="I47" i="1"/>
  <c r="H47" i="1"/>
  <c r="G47" i="1"/>
  <c r="F47" i="1"/>
  <c r="E47" i="1"/>
  <c r="M46" i="1"/>
  <c r="L46" i="1"/>
  <c r="K46" i="1"/>
  <c r="J46" i="1"/>
  <c r="I46" i="1"/>
  <c r="H46" i="1"/>
  <c r="G46" i="1"/>
  <c r="F46" i="1"/>
  <c r="E46" i="1"/>
  <c r="M45" i="1"/>
  <c r="L45" i="1"/>
  <c r="K45" i="1"/>
  <c r="J45" i="1"/>
  <c r="I45" i="1"/>
  <c r="H45" i="1"/>
  <c r="G45" i="1"/>
  <c r="F45" i="1"/>
  <c r="E45" i="1"/>
  <c r="M44" i="1"/>
  <c r="L44" i="1"/>
  <c r="K44" i="1"/>
  <c r="J44" i="1"/>
  <c r="I44" i="1"/>
  <c r="H44" i="1"/>
  <c r="G44" i="1"/>
  <c r="F44" i="1"/>
  <c r="E44" i="1"/>
  <c r="M43" i="1"/>
  <c r="L43" i="1"/>
  <c r="K43" i="1"/>
  <c r="J43" i="1"/>
  <c r="I43" i="1"/>
  <c r="H43" i="1"/>
  <c r="G43" i="1"/>
  <c r="F43" i="1"/>
  <c r="E43" i="1"/>
  <c r="M42" i="1"/>
  <c r="L42" i="1"/>
  <c r="K42" i="1"/>
  <c r="J42" i="1"/>
  <c r="I42" i="1"/>
  <c r="H42" i="1"/>
  <c r="G42" i="1"/>
  <c r="F42" i="1"/>
  <c r="E42" i="1"/>
  <c r="M41" i="1"/>
  <c r="L41" i="1"/>
  <c r="K41" i="1"/>
  <c r="J41" i="1"/>
  <c r="I41" i="1"/>
  <c r="H41" i="1"/>
  <c r="G41" i="1"/>
  <c r="F41" i="1"/>
  <c r="E41" i="1"/>
  <c r="M40" i="1"/>
  <c r="L40" i="1"/>
  <c r="K40" i="1"/>
  <c r="J40" i="1"/>
  <c r="I40" i="1"/>
  <c r="H40" i="1"/>
  <c r="G40" i="1"/>
  <c r="F40" i="1"/>
  <c r="E40" i="1"/>
  <c r="M39" i="1"/>
  <c r="L39" i="1"/>
  <c r="K39" i="1"/>
  <c r="J39" i="1"/>
  <c r="I39" i="1"/>
  <c r="H39" i="1"/>
  <c r="G39" i="1"/>
  <c r="F39" i="1"/>
  <c r="E39" i="1"/>
  <c r="M38" i="1"/>
  <c r="L38" i="1"/>
  <c r="K38" i="1"/>
  <c r="J38" i="1"/>
  <c r="I38" i="1"/>
  <c r="H38" i="1"/>
  <c r="G38" i="1"/>
  <c r="F38" i="1"/>
  <c r="E38" i="1"/>
  <c r="M37" i="1"/>
  <c r="L37" i="1"/>
  <c r="K37" i="1"/>
  <c r="J37" i="1"/>
  <c r="H37" i="1"/>
  <c r="G37" i="1"/>
  <c r="F37" i="1"/>
  <c r="E37" i="1"/>
  <c r="M36" i="1"/>
  <c r="L36" i="1"/>
  <c r="K36" i="1"/>
  <c r="J36" i="1"/>
  <c r="H36" i="1"/>
  <c r="G36" i="1"/>
  <c r="F36" i="1"/>
  <c r="E36" i="1"/>
  <c r="M35" i="1"/>
  <c r="L35" i="1"/>
  <c r="K35" i="1"/>
  <c r="J35" i="1"/>
  <c r="H35" i="1"/>
  <c r="G35" i="1"/>
  <c r="F35" i="1"/>
  <c r="E35" i="1"/>
  <c r="M34" i="1"/>
  <c r="L34" i="1"/>
  <c r="K34" i="1"/>
  <c r="J34" i="1"/>
  <c r="H34" i="1"/>
  <c r="G34" i="1"/>
  <c r="F34" i="1"/>
  <c r="E34" i="1"/>
  <c r="M33" i="1"/>
  <c r="L33" i="1"/>
  <c r="K33" i="1"/>
  <c r="J33" i="1"/>
  <c r="I33" i="1"/>
  <c r="H33" i="1"/>
  <c r="G33" i="1"/>
  <c r="F33" i="1"/>
  <c r="E33" i="1"/>
  <c r="M32" i="1"/>
  <c r="L32" i="1"/>
  <c r="K32" i="1"/>
  <c r="J32" i="1"/>
  <c r="I32" i="1"/>
  <c r="H32" i="1"/>
  <c r="G32" i="1"/>
  <c r="F32" i="1"/>
  <c r="E32" i="1"/>
  <c r="M31" i="1"/>
  <c r="L31" i="1"/>
  <c r="K31" i="1"/>
  <c r="J31" i="1"/>
  <c r="I31" i="1"/>
  <c r="H31" i="1"/>
  <c r="G31" i="1"/>
  <c r="F31" i="1"/>
  <c r="E31" i="1"/>
  <c r="M30" i="1"/>
  <c r="L30" i="1"/>
  <c r="K30" i="1"/>
  <c r="J30" i="1"/>
  <c r="I30" i="1"/>
  <c r="H30" i="1"/>
  <c r="G30" i="1"/>
  <c r="F30" i="1"/>
  <c r="E30" i="1"/>
  <c r="M29" i="1"/>
  <c r="L29" i="1"/>
  <c r="K29" i="1"/>
  <c r="J29" i="1"/>
  <c r="I29" i="1"/>
  <c r="H29" i="1"/>
  <c r="G29" i="1"/>
  <c r="F29" i="1"/>
  <c r="E29" i="1"/>
  <c r="M28" i="1"/>
  <c r="L28" i="1"/>
  <c r="K28" i="1"/>
  <c r="J28" i="1"/>
  <c r="I28" i="1"/>
  <c r="H28" i="1"/>
  <c r="G28" i="1"/>
  <c r="F28" i="1"/>
  <c r="E28" i="1"/>
  <c r="L27" i="1"/>
  <c r="K27" i="1"/>
  <c r="J27" i="1"/>
  <c r="I27" i="1"/>
  <c r="H27" i="1"/>
  <c r="G27" i="1"/>
  <c r="F27" i="1"/>
  <c r="E27" i="1"/>
  <c r="L26" i="1"/>
  <c r="K26" i="1"/>
  <c r="J26" i="1"/>
  <c r="I26" i="1"/>
  <c r="H26" i="1"/>
  <c r="G26" i="1"/>
  <c r="F26" i="1"/>
  <c r="E26" i="1"/>
  <c r="M25" i="1"/>
  <c r="L25" i="1"/>
  <c r="K25" i="1"/>
  <c r="J25" i="1"/>
  <c r="I25" i="1"/>
  <c r="H25" i="1"/>
  <c r="G25" i="1"/>
  <c r="F25" i="1"/>
  <c r="E25" i="1"/>
  <c r="M24" i="1"/>
  <c r="L24" i="1"/>
  <c r="K24" i="1"/>
  <c r="J24" i="1"/>
  <c r="I24" i="1"/>
  <c r="H24" i="1"/>
  <c r="G24" i="1"/>
  <c r="F24" i="1"/>
  <c r="E24" i="1"/>
  <c r="M23" i="1"/>
  <c r="L23" i="1"/>
  <c r="K23" i="1"/>
  <c r="J23" i="1"/>
  <c r="I23" i="1"/>
  <c r="H23" i="1"/>
  <c r="G23" i="1"/>
  <c r="E23" i="1"/>
  <c r="M22" i="1"/>
  <c r="L22" i="1"/>
  <c r="K22" i="1"/>
  <c r="J22" i="1"/>
  <c r="I22" i="1"/>
  <c r="H22" i="1"/>
  <c r="G22" i="1"/>
  <c r="F22" i="1"/>
  <c r="E22" i="1"/>
  <c r="M21" i="1"/>
  <c r="L21" i="1"/>
  <c r="K21" i="1"/>
  <c r="J21" i="1"/>
  <c r="I21" i="1"/>
  <c r="H21" i="1"/>
  <c r="G21" i="1"/>
  <c r="F21" i="1"/>
  <c r="E21" i="1"/>
  <c r="M20" i="1"/>
  <c r="L20" i="1"/>
  <c r="K20" i="1"/>
  <c r="J20" i="1"/>
  <c r="I20" i="1"/>
  <c r="H20" i="1"/>
  <c r="G20" i="1"/>
  <c r="F20" i="1"/>
  <c r="E20" i="1"/>
  <c r="M19" i="1"/>
  <c r="L19" i="1"/>
  <c r="K19" i="1"/>
  <c r="J19" i="1"/>
  <c r="I19" i="1"/>
  <c r="H19" i="1"/>
  <c r="G19" i="1"/>
  <c r="F19" i="1"/>
  <c r="E19" i="1"/>
  <c r="M18" i="1"/>
  <c r="L18" i="1"/>
  <c r="K18" i="1"/>
  <c r="J18" i="1"/>
  <c r="I18" i="1"/>
  <c r="H18" i="1"/>
  <c r="G18" i="1"/>
  <c r="F18" i="1"/>
  <c r="E18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<sst xmlns="http://schemas.openxmlformats.org/spreadsheetml/2006/main" count="344" uniqueCount="77">
  <si>
    <t>No.</t>
  </si>
  <si>
    <t>Stock code</t>
  </si>
  <si>
    <t>Year</t>
  </si>
  <si>
    <t>Stock's return (%)</t>
  </si>
  <si>
    <t>Receivable turnover (RT) (times)</t>
  </si>
  <si>
    <t>Asset turnover (AT) (times)</t>
  </si>
  <si>
    <t>Current Ratio (CR) (times)</t>
  </si>
  <si>
    <t>Quick Ratio (QR) (times)</t>
  </si>
  <si>
    <t>Debt to Equity ratio (DE) (%)</t>
  </si>
  <si>
    <t>Return on equity (ROE) (%)</t>
  </si>
  <si>
    <t>Return on assets (ROA) (%)</t>
  </si>
  <si>
    <t>Net profit margin (NP) (%)</t>
  </si>
  <si>
    <t>Price Earning (P/E) (times)</t>
  </si>
  <si>
    <t>Operating cash flow/Revenue (OCF/R) (times)</t>
  </si>
  <si>
    <t>Financial cash flow/Revenue (FCF/R) (times)</t>
  </si>
  <si>
    <t>AGG</t>
  </si>
  <si>
    <t>BCE</t>
  </si>
  <si>
    <t>BCM</t>
  </si>
  <si>
    <t>CCL</t>
  </si>
  <si>
    <t>CDC</t>
  </si>
  <si>
    <t>CIG</t>
  </si>
  <si>
    <t>CKG</t>
  </si>
  <si>
    <t>CRE</t>
  </si>
  <si>
    <t>D2D</t>
  </si>
  <si>
    <t>DIG</t>
  </si>
  <si>
    <t>DRH</t>
  </si>
  <si>
    <t>DTA</t>
  </si>
  <si>
    <t>DXG</t>
  </si>
  <si>
    <t>DXS</t>
  </si>
  <si>
    <t>EVG</t>
  </si>
  <si>
    <t>FDC</t>
  </si>
  <si>
    <t>FIR</t>
  </si>
  <si>
    <t>FLC</t>
  </si>
  <si>
    <t>HAR</t>
  </si>
  <si>
    <t>HDC</t>
  </si>
  <si>
    <t>HDG</t>
  </si>
  <si>
    <t>HPX</t>
  </si>
  <si>
    <t>HQC</t>
  </si>
  <si>
    <t>HU1</t>
  </si>
  <si>
    <t>IJC</t>
  </si>
  <si>
    <t>ITA</t>
  </si>
  <si>
    <t>ITC</t>
  </si>
  <si>
    <t>KBC</t>
  </si>
  <si>
    <t>KDH</t>
  </si>
  <si>
    <t>KHG</t>
  </si>
  <si>
    <t>KOS</t>
  </si>
  <si>
    <t>LDG</t>
  </si>
  <si>
    <t>LGL</t>
  </si>
  <si>
    <t>LHG</t>
  </si>
  <si>
    <t>NBB</t>
  </si>
  <si>
    <t>NHA</t>
  </si>
  <si>
    <t>NLG</t>
  </si>
  <si>
    <t>NTL</t>
  </si>
  <si>
    <t>NVL</t>
  </si>
  <si>
    <t>PDR</t>
  </si>
  <si>
    <t>PTL</t>
  </si>
  <si>
    <t>PXI</t>
  </si>
  <si>
    <t>QCG</t>
  </si>
  <si>
    <t>SCR</t>
  </si>
  <si>
    <t>SGR</t>
  </si>
  <si>
    <t>SJS</t>
  </si>
  <si>
    <t>SZC</t>
  </si>
  <si>
    <t>SZL</t>
  </si>
  <si>
    <t>TCH</t>
  </si>
  <si>
    <t>TDC</t>
  </si>
  <si>
    <t>TDH</t>
  </si>
  <si>
    <t>TIP</t>
  </si>
  <si>
    <t>TIX</t>
  </si>
  <si>
    <t>TN1</t>
  </si>
  <si>
    <t>VHM</t>
  </si>
  <si>
    <t>VIC</t>
  </si>
  <si>
    <t>VPH</t>
  </si>
  <si>
    <t>VPI</t>
  </si>
  <si>
    <t>VRC</t>
  </si>
  <si>
    <t>VRE</t>
  </si>
  <si>
    <t>-</t>
  </si>
  <si>
    <t>Investing cash flow/Revenue (ICF/R) (times)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</si>
</sst>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workbookViewId="0">
      <selection activeCell="O1" sqref="O1"/>
    </sheetView>
  </sheetViews>
  <sheetFormatPr defaultRowHeight="14.4" x14ac:dyDescent="0.3"/>
  <sheetData>
    <row r="1" spans="1:16" ht="86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76</v>
      </c>
      <c r="P1" s="1" t="s">
        <v>14</v>
      </c>
    </row>
    <row r="2" spans="1:16" x14ac:dyDescent="0.3">
      <c r="A2" s="3">
        <v>0</v>
      </c>
      <c r="B2" s="4" t="s">
        <v>15</v>
      </c>
      <c r="C2" s="4">
        <v>2018</v>
      </c>
      <c r="D2" s="4" t="s">
        <v>75</v>
      </c>
      <c r="E2" s="4">
        <f>15.62</f>
        <v>15.62</v>
      </c>
      <c r="F2" s="4">
        <f>0.47</f>
        <v>0.47</v>
      </c>
      <c r="G2" s="4">
        <f>1.37</f>
        <v>1.37</v>
      </c>
      <c r="H2" s="4">
        <f>1.33</f>
        <v>1.33</v>
      </c>
      <c r="I2" s="4">
        <f>45.37</f>
        <v>45.37</v>
      </c>
      <c r="J2" s="4">
        <f>60.2</f>
        <v>60.2</v>
      </c>
      <c r="K2" s="4">
        <f>12.34</f>
        <v>12.34</v>
      </c>
      <c r="L2" s="4">
        <f>50.28</f>
        <v>50.28</v>
      </c>
      <c r="M2" s="4" t="s">
        <v>75</v>
      </c>
      <c r="N2" s="4">
        <v>0.65572315882874888</v>
      </c>
      <c r="O2" s="4">
        <v>-0.91659272404614023</v>
      </c>
      <c r="P2" s="4">
        <v>0.30168589174800353</v>
      </c>
    </row>
    <row r="3" spans="1:16" x14ac:dyDescent="0.3">
      <c r="A3" s="3">
        <v>1</v>
      </c>
      <c r="B3" s="4" t="s">
        <v>15</v>
      </c>
      <c r="C3" s="4">
        <v>2019</v>
      </c>
      <c r="D3" s="4" t="s">
        <v>75</v>
      </c>
      <c r="E3" s="4">
        <f>3.39</f>
        <v>3.39</v>
      </c>
      <c r="F3" s="4">
        <f>0.1</f>
        <v>0.1</v>
      </c>
      <c r="G3" s="4">
        <f>1.57</f>
        <v>1.57</v>
      </c>
      <c r="H3" s="4">
        <f>0.69</f>
        <v>0.69</v>
      </c>
      <c r="I3" s="4">
        <f>73.65</f>
        <v>73.650000000000006</v>
      </c>
      <c r="J3" s="4">
        <f>28.99</f>
        <v>28.99</v>
      </c>
      <c r="K3" s="4">
        <f>8.49</f>
        <v>8.49</v>
      </c>
      <c r="L3" s="4">
        <f>86.64</f>
        <v>86.64</v>
      </c>
      <c r="M3" s="4" t="s">
        <v>75</v>
      </c>
      <c r="N3" s="4">
        <v>-4.1558441558441558E-2</v>
      </c>
      <c r="O3" s="4">
        <v>-0.22597402597402597</v>
      </c>
      <c r="P3" s="4">
        <v>-0.23636363636363636</v>
      </c>
    </row>
    <row r="4" spans="1:16" x14ac:dyDescent="0.3">
      <c r="A4" s="3">
        <v>2</v>
      </c>
      <c r="B4" s="4" t="s">
        <v>15</v>
      </c>
      <c r="C4" s="4">
        <v>2020</v>
      </c>
      <c r="D4" s="4">
        <v>5.23</v>
      </c>
      <c r="E4" s="4">
        <f>8.61</f>
        <v>8.61</v>
      </c>
      <c r="F4" s="4">
        <f>0.23</f>
        <v>0.23</v>
      </c>
      <c r="G4" s="4">
        <f>2.02</f>
        <v>2.02</v>
      </c>
      <c r="H4" s="4">
        <f>0.74</f>
        <v>0.74</v>
      </c>
      <c r="I4" s="4">
        <f>107</f>
        <v>107</v>
      </c>
      <c r="J4" s="4">
        <f>21.98</f>
        <v>21.98</v>
      </c>
      <c r="K4" s="4">
        <f>5.47</f>
        <v>5.47</v>
      </c>
      <c r="L4" s="4">
        <f>25.36</f>
        <v>25.36</v>
      </c>
      <c r="M4" s="4">
        <f>5.34</f>
        <v>5.34</v>
      </c>
      <c r="N4" s="4">
        <v>1.5393386545039909E-2</v>
      </c>
      <c r="O4" s="4">
        <v>-0.12428734321550741</v>
      </c>
      <c r="P4" s="4">
        <v>0.32611174458380843</v>
      </c>
    </row>
    <row r="5" spans="1:16" x14ac:dyDescent="0.3">
      <c r="A5" s="3">
        <v>3</v>
      </c>
      <c r="B5" s="4" t="s">
        <v>15</v>
      </c>
      <c r="C5" s="4">
        <v>2021</v>
      </c>
      <c r="D5" s="4">
        <v>81.180000000000007</v>
      </c>
      <c r="E5" s="4">
        <f>7.18</f>
        <v>7.18</v>
      </c>
      <c r="F5" s="4">
        <f>0.16</f>
        <v>0.16</v>
      </c>
      <c r="G5" s="4">
        <f>1.83</f>
        <v>1.83</v>
      </c>
      <c r="H5" s="4">
        <f>0.72</f>
        <v>0.72</v>
      </c>
      <c r="I5" s="4">
        <f>92.46</f>
        <v>92.46</v>
      </c>
      <c r="J5" s="4">
        <f>16.79</f>
        <v>16.79</v>
      </c>
      <c r="K5" s="4">
        <f>3.76</f>
        <v>3.76</v>
      </c>
      <c r="L5" s="4">
        <f>23.29</f>
        <v>23.29</v>
      </c>
      <c r="M5" s="4">
        <f>10.26</f>
        <v>10.26</v>
      </c>
      <c r="N5" s="4">
        <v>0.47938427707531611</v>
      </c>
      <c r="O5" s="4">
        <v>-0.20615722924683894</v>
      </c>
      <c r="P5" s="4">
        <v>-0.33974711379879052</v>
      </c>
    </row>
    <row r="6" spans="1:16" x14ac:dyDescent="0.3">
      <c r="A6" s="3">
        <v>4</v>
      </c>
      <c r="B6" s="4" t="s">
        <v>16</v>
      </c>
      <c r="C6" s="4">
        <v>2018</v>
      </c>
      <c r="D6" s="4">
        <v>1.8</v>
      </c>
      <c r="E6" s="4">
        <f>0.45</f>
        <v>0.45</v>
      </c>
      <c r="F6" s="4">
        <f>0.28</f>
        <v>0.28000000000000003</v>
      </c>
      <c r="G6" s="4">
        <f>1.22</f>
        <v>1.22</v>
      </c>
      <c r="H6" s="4">
        <f>0.78</f>
        <v>0.78</v>
      </c>
      <c r="I6" s="4">
        <f>23</f>
        <v>23</v>
      </c>
      <c r="J6" s="4">
        <f>10.25</f>
        <v>10.25</v>
      </c>
      <c r="K6" s="4">
        <f>3.02</f>
        <v>3.02</v>
      </c>
      <c r="L6" s="4">
        <f>10.83</f>
        <v>10.83</v>
      </c>
      <c r="M6" s="4">
        <f>4.62</f>
        <v>4.62</v>
      </c>
      <c r="N6" s="4">
        <v>9.3567251461988299E-2</v>
      </c>
      <c r="O6" s="4">
        <v>-7.3099415204678359E-2</v>
      </c>
      <c r="P6" s="4">
        <v>6.725146198830409E-2</v>
      </c>
    </row>
    <row r="7" spans="1:16" x14ac:dyDescent="0.3">
      <c r="A7" s="3">
        <v>5</v>
      </c>
      <c r="B7" s="4" t="s">
        <v>16</v>
      </c>
      <c r="C7" s="4">
        <v>2019</v>
      </c>
      <c r="D7" s="4">
        <v>20.9</v>
      </c>
      <c r="E7" s="4">
        <f>1.07</f>
        <v>1.07</v>
      </c>
      <c r="F7" s="4">
        <f>0.59</f>
        <v>0.59</v>
      </c>
      <c r="G7" s="4">
        <f>1.53</f>
        <v>1.53</v>
      </c>
      <c r="H7" s="4">
        <f>1.26</f>
        <v>1.26</v>
      </c>
      <c r="I7" s="4">
        <f>13.05</f>
        <v>13.05</v>
      </c>
      <c r="J7" s="4">
        <f>10.14</f>
        <v>10.14</v>
      </c>
      <c r="K7" s="4">
        <f>3.46</f>
        <v>3.46</v>
      </c>
      <c r="L7" s="4">
        <f>5.89</f>
        <v>5.89</v>
      </c>
      <c r="M7" s="4">
        <f>5.56</f>
        <v>5.56</v>
      </c>
      <c r="N7" s="4">
        <v>0.11532385466034756</v>
      </c>
      <c r="O7" s="4">
        <v>-1.5797788309636651E-3</v>
      </c>
      <c r="P7" s="4">
        <v>-0.10426540284360189</v>
      </c>
    </row>
    <row r="8" spans="1:16" x14ac:dyDescent="0.3">
      <c r="A8" s="3">
        <v>6</v>
      </c>
      <c r="B8" s="4" t="s">
        <v>16</v>
      </c>
      <c r="C8" s="4">
        <v>2020</v>
      </c>
      <c r="D8" s="4">
        <v>95.9</v>
      </c>
      <c r="E8" s="4">
        <f>0.74</f>
        <v>0.74</v>
      </c>
      <c r="F8" s="4">
        <f>0.47</f>
        <v>0.47</v>
      </c>
      <c r="G8" s="4">
        <f>1.4</f>
        <v>1.4</v>
      </c>
      <c r="H8" s="4">
        <f>1.17</f>
        <v>1.17</v>
      </c>
      <c r="I8" s="4">
        <f>27.13</f>
        <v>27.13</v>
      </c>
      <c r="J8" s="4">
        <f>9.13</f>
        <v>9.1300000000000008</v>
      </c>
      <c r="K8" s="4">
        <f>3.69</f>
        <v>3.69</v>
      </c>
      <c r="L8" s="4">
        <f>7.82</f>
        <v>7.82</v>
      </c>
      <c r="M8" s="4">
        <f>12.25</f>
        <v>12.25</v>
      </c>
      <c r="N8" s="4">
        <v>-0.10874704491725769</v>
      </c>
      <c r="O8" s="4">
        <v>-7.0921985815602835E-3</v>
      </c>
      <c r="P8" s="4">
        <v>3.0732860520094562E-2</v>
      </c>
    </row>
    <row r="9" spans="1:16" x14ac:dyDescent="0.3">
      <c r="A9" s="3">
        <v>7</v>
      </c>
      <c r="B9" s="4" t="s">
        <v>16</v>
      </c>
      <c r="C9" s="4">
        <v>2021</v>
      </c>
      <c r="D9" s="4">
        <v>36.299999999999997</v>
      </c>
      <c r="E9" s="4">
        <f>0.22</f>
        <v>0.22</v>
      </c>
      <c r="F9" s="4">
        <f>0.13</f>
        <v>0.13</v>
      </c>
      <c r="G9" s="4">
        <f>1.64</f>
        <v>1.64</v>
      </c>
      <c r="H9" s="4">
        <f>1.47</f>
        <v>1.47</v>
      </c>
      <c r="I9" s="4">
        <f>35.7</f>
        <v>35.700000000000003</v>
      </c>
      <c r="J9" s="4">
        <f>5.9</f>
        <v>5.9</v>
      </c>
      <c r="K9" s="4">
        <f>2.53</f>
        <v>2.5299999999999998</v>
      </c>
      <c r="L9" s="4">
        <f>19.9</f>
        <v>19.899999999999999</v>
      </c>
      <c r="M9" s="4">
        <f>28.51</f>
        <v>28.51</v>
      </c>
      <c r="N9" s="4">
        <v>-9.0090090090090089E-3</v>
      </c>
      <c r="O9" s="4">
        <v>-4.5045045045045043E-2</v>
      </c>
      <c r="P9" s="4">
        <v>0.55855855855855852</v>
      </c>
    </row>
    <row r="10" spans="1:16" x14ac:dyDescent="0.3">
      <c r="A10" s="3">
        <v>8</v>
      </c>
      <c r="B10" s="4" t="s">
        <v>17</v>
      </c>
      <c r="C10" s="4">
        <v>2018</v>
      </c>
      <c r="D10" s="4">
        <v>-6</v>
      </c>
      <c r="E10" s="4">
        <f>1.27</f>
        <v>1.27</v>
      </c>
      <c r="F10" s="4">
        <f>0.13</f>
        <v>0.13</v>
      </c>
      <c r="G10" s="4">
        <f>1.38</f>
        <v>1.38</v>
      </c>
      <c r="H10" s="4">
        <f>0.4</f>
        <v>0.4</v>
      </c>
      <c r="I10" s="4">
        <f>145.27</f>
        <v>145.27000000000001</v>
      </c>
      <c r="J10" s="4">
        <f>17.54</f>
        <v>17.54</v>
      </c>
      <c r="K10" s="4">
        <f>4.64</f>
        <v>4.6399999999999997</v>
      </c>
      <c r="L10" s="4">
        <f>36.59</f>
        <v>36.590000000000003</v>
      </c>
      <c r="M10" s="4">
        <f>10.96</f>
        <v>10.96</v>
      </c>
      <c r="N10" s="4">
        <v>0.14376811594202898</v>
      </c>
      <c r="O10" s="4">
        <v>9.3797101449275361E-2</v>
      </c>
      <c r="P10" s="4">
        <v>-0.23884057971014494</v>
      </c>
    </row>
    <row r="11" spans="1:16" x14ac:dyDescent="0.3">
      <c r="A11" s="3">
        <v>9</v>
      </c>
      <c r="B11" s="4" t="s">
        <v>17</v>
      </c>
      <c r="C11" s="4">
        <v>2019</v>
      </c>
      <c r="D11" s="4">
        <v>27</v>
      </c>
      <c r="E11" s="4">
        <f>2.06</f>
        <v>2.06</v>
      </c>
      <c r="F11" s="4">
        <f>0.19</f>
        <v>0.19</v>
      </c>
      <c r="G11" s="4">
        <f>1.28</f>
        <v>1.28</v>
      </c>
      <c r="H11" s="4">
        <f>0.23</f>
        <v>0.23</v>
      </c>
      <c r="I11" s="4">
        <f>92.37</f>
        <v>92.37</v>
      </c>
      <c r="J11" s="4">
        <f>16.99</f>
        <v>16.989999999999998</v>
      </c>
      <c r="K11" s="4">
        <f>5.61</f>
        <v>5.61</v>
      </c>
      <c r="L11" s="4">
        <f>32.03</f>
        <v>32.03</v>
      </c>
      <c r="M11" s="4">
        <f>12.39</f>
        <v>12.39</v>
      </c>
      <c r="N11" s="4">
        <v>0.3169044530912235</v>
      </c>
      <c r="O11" s="4">
        <v>3.0696065715520967E-2</v>
      </c>
      <c r="P11" s="4">
        <v>-0.58127972330306965</v>
      </c>
    </row>
    <row r="12" spans="1:16" x14ac:dyDescent="0.3">
      <c r="A12" s="3">
        <v>10</v>
      </c>
      <c r="B12" s="4" t="s">
        <v>17</v>
      </c>
      <c r="C12" s="4">
        <v>2020</v>
      </c>
      <c r="D12" s="4">
        <v>37</v>
      </c>
      <c r="E12" s="4">
        <f>2</f>
        <v>2</v>
      </c>
      <c r="F12" s="4">
        <f>0.14</f>
        <v>0.14000000000000001</v>
      </c>
      <c r="G12" s="4">
        <f>1.39</f>
        <v>1.39</v>
      </c>
      <c r="H12" s="4">
        <f>0.26</f>
        <v>0.26</v>
      </c>
      <c r="I12" s="4">
        <f>86.65</f>
        <v>86.65</v>
      </c>
      <c r="J12" s="4">
        <f>12.06</f>
        <v>12.06</v>
      </c>
      <c r="K12" s="4">
        <f>4.32</f>
        <v>4.32</v>
      </c>
      <c r="L12" s="4">
        <f>33.61</f>
        <v>33.61</v>
      </c>
      <c r="M12" s="4">
        <f>21.48</f>
        <v>21.48</v>
      </c>
      <c r="N12" s="4">
        <v>0.38007159904534604</v>
      </c>
      <c r="O12" s="4">
        <v>-0.16288782816229117</v>
      </c>
      <c r="P12" s="4">
        <v>-1.4468973747016707E-2</v>
      </c>
    </row>
    <row r="13" spans="1:16" x14ac:dyDescent="0.3">
      <c r="A13" s="3">
        <v>11</v>
      </c>
      <c r="B13" s="4" t="s">
        <v>17</v>
      </c>
      <c r="C13" s="4">
        <v>2021</v>
      </c>
      <c r="D13" s="4">
        <v>55</v>
      </c>
      <c r="E13" s="4">
        <f>2.02</f>
        <v>2.02</v>
      </c>
      <c r="F13" s="4">
        <f>0.14</f>
        <v>0.14000000000000001</v>
      </c>
      <c r="G13" s="4">
        <f>1.58</f>
        <v>1.58</v>
      </c>
      <c r="H13" s="4">
        <f>0.44</f>
        <v>0.44</v>
      </c>
      <c r="I13" s="4">
        <f>97.02</f>
        <v>97.02</v>
      </c>
      <c r="J13" s="4">
        <f>8.18</f>
        <v>8.18</v>
      </c>
      <c r="K13" s="4">
        <f>2.88</f>
        <v>2.88</v>
      </c>
      <c r="L13" s="4">
        <f>20.85</f>
        <v>20.85</v>
      </c>
      <c r="M13" s="4">
        <f>47.16</f>
        <v>47.16</v>
      </c>
      <c r="N13" s="4">
        <v>4.8140350877192983E-2</v>
      </c>
      <c r="O13" s="4">
        <v>-0.1512982456140351</v>
      </c>
      <c r="P13" s="4">
        <v>0.27298245614035088</v>
      </c>
    </row>
    <row r="14" spans="1:16" x14ac:dyDescent="0.3">
      <c r="A14" s="3">
        <v>12</v>
      </c>
      <c r="B14" s="4" t="s">
        <v>18</v>
      </c>
      <c r="C14" s="4">
        <v>2018</v>
      </c>
      <c r="D14" s="4">
        <v>-25.4</v>
      </c>
      <c r="E14" s="4">
        <f>3.63</f>
        <v>3.63</v>
      </c>
      <c r="F14" s="4">
        <f>0.48</f>
        <v>0.48</v>
      </c>
      <c r="G14" s="4">
        <f>1.8</f>
        <v>1.8</v>
      </c>
      <c r="H14" s="4">
        <f>1.13</f>
        <v>1.1299999999999999</v>
      </c>
      <c r="I14" s="4">
        <f>33.83</f>
        <v>33.83</v>
      </c>
      <c r="J14" s="4">
        <f>6.98</f>
        <v>6.98</v>
      </c>
      <c r="K14" s="4">
        <f>4.69</f>
        <v>4.6900000000000004</v>
      </c>
      <c r="L14" s="4">
        <f>9.77</f>
        <v>9.77</v>
      </c>
      <c r="M14" s="4">
        <f>4.22</f>
        <v>4.22</v>
      </c>
      <c r="N14" s="4" t="s">
        <v>75</v>
      </c>
      <c r="O14" s="4" t="s">
        <v>75</v>
      </c>
      <c r="P14" s="4" t="s">
        <v>75</v>
      </c>
    </row>
    <row r="15" spans="1:16" x14ac:dyDescent="0.3">
      <c r="A15" s="3">
        <v>13</v>
      </c>
      <c r="B15" s="4" t="s">
        <v>18</v>
      </c>
      <c r="C15" s="4">
        <v>2019</v>
      </c>
      <c r="D15" s="4">
        <v>170.9</v>
      </c>
      <c r="E15" s="4">
        <f>3.07</f>
        <v>3.07</v>
      </c>
      <c r="F15" s="4">
        <f>0.61</f>
        <v>0.61</v>
      </c>
      <c r="G15" s="4">
        <f>1.74</f>
        <v>1.74</v>
      </c>
      <c r="H15" s="4">
        <f>1.22</f>
        <v>1.22</v>
      </c>
      <c r="I15" s="4">
        <f>39.51</f>
        <v>39.51</v>
      </c>
      <c r="J15" s="4">
        <f>7.78</f>
        <v>7.78</v>
      </c>
      <c r="K15" s="4">
        <f>4.82</f>
        <v>4.82</v>
      </c>
      <c r="L15" s="4">
        <f>7.98</f>
        <v>7.98</v>
      </c>
      <c r="M15" s="4">
        <f>9.18</f>
        <v>9.18</v>
      </c>
      <c r="N15" s="4" t="s">
        <v>75</v>
      </c>
      <c r="O15" s="4" t="s">
        <v>75</v>
      </c>
      <c r="P15" s="4" t="s">
        <v>75</v>
      </c>
    </row>
    <row r="16" spans="1:16" x14ac:dyDescent="0.3">
      <c r="A16" s="3">
        <v>14</v>
      </c>
      <c r="B16" s="4" t="s">
        <v>18</v>
      </c>
      <c r="C16" s="4">
        <v>2020</v>
      </c>
      <c r="D16" s="4">
        <v>19.8</v>
      </c>
      <c r="E16" s="4">
        <f>3.14</f>
        <v>3.14</v>
      </c>
      <c r="F16" s="4">
        <f>0.85</f>
        <v>0.85</v>
      </c>
      <c r="G16" s="4">
        <f>1.95</f>
        <v>1.95</v>
      </c>
      <c r="H16" s="4">
        <f>1.4</f>
        <v>1.4</v>
      </c>
      <c r="I16" s="4">
        <f>51.11</f>
        <v>51.11</v>
      </c>
      <c r="J16" s="4">
        <f>12.58</f>
        <v>12.58</v>
      </c>
      <c r="K16" s="4">
        <f>6.75</f>
        <v>6.75</v>
      </c>
      <c r="L16" s="4">
        <f>7.93</f>
        <v>7.93</v>
      </c>
      <c r="M16" s="4">
        <f>6.61</f>
        <v>6.61</v>
      </c>
      <c r="N16" s="4" t="s">
        <v>75</v>
      </c>
      <c r="O16" s="4" t="s">
        <v>75</v>
      </c>
      <c r="P16" s="4" t="s">
        <v>75</v>
      </c>
    </row>
    <row r="17" spans="1:16" x14ac:dyDescent="0.3">
      <c r="A17" s="3">
        <v>15</v>
      </c>
      <c r="B17" s="4" t="s">
        <v>18</v>
      </c>
      <c r="C17" s="4">
        <v>2021</v>
      </c>
      <c r="D17" s="4">
        <v>79.400000000000006</v>
      </c>
      <c r="E17" s="4">
        <f>2.81</f>
        <v>2.81</v>
      </c>
      <c r="F17" s="4">
        <f>0.84</f>
        <v>0.84</v>
      </c>
      <c r="G17" s="4">
        <f>2.15</f>
        <v>2.15</v>
      </c>
      <c r="H17" s="4">
        <f>1.59</f>
        <v>1.59</v>
      </c>
      <c r="I17" s="4">
        <f>52.24</f>
        <v>52.24</v>
      </c>
      <c r="J17" s="4">
        <f>13.49</f>
        <v>13.49</v>
      </c>
      <c r="K17" s="4">
        <f>6.69</f>
        <v>6.69</v>
      </c>
      <c r="L17" s="4">
        <f>8.01</f>
        <v>8.01</v>
      </c>
      <c r="M17" s="4">
        <f>10.6</f>
        <v>10.6</v>
      </c>
      <c r="N17" s="4" t="s">
        <v>75</v>
      </c>
      <c r="O17" s="4" t="s">
        <v>75</v>
      </c>
      <c r="P17" s="4" t="s">
        <v>75</v>
      </c>
    </row>
    <row r="18" spans="1:16" x14ac:dyDescent="0.3">
      <c r="A18" s="3">
        <v>16</v>
      </c>
      <c r="B18" s="4" t="s">
        <v>19</v>
      </c>
      <c r="C18" s="4">
        <v>2018</v>
      </c>
      <c r="D18" s="4">
        <v>-50.4</v>
      </c>
      <c r="E18" s="4">
        <f>3.52</f>
        <v>3.52</v>
      </c>
      <c r="F18" s="4">
        <f>0.44</f>
        <v>0.44</v>
      </c>
      <c r="G18" s="4">
        <f>1.74</f>
        <v>1.74</v>
      </c>
      <c r="H18" s="4">
        <f>0.96</f>
        <v>0.96</v>
      </c>
      <c r="I18" s="4">
        <f>82.31</f>
        <v>82.31</v>
      </c>
      <c r="J18" s="4">
        <f>12.28</f>
        <v>12.28</v>
      </c>
      <c r="K18" s="4">
        <f>3.45</f>
        <v>3.45</v>
      </c>
      <c r="L18" s="4">
        <f>7.75</f>
        <v>7.75</v>
      </c>
      <c r="M18" s="4">
        <f>6.94</f>
        <v>6.94</v>
      </c>
      <c r="N18" s="4">
        <v>0.35926773455377575</v>
      </c>
      <c r="O18" s="4">
        <v>-0.53318077803203656</v>
      </c>
      <c r="P18" s="4">
        <v>-9.3821510297482841E-2</v>
      </c>
    </row>
    <row r="19" spans="1:16" x14ac:dyDescent="0.3">
      <c r="A19" s="3">
        <v>17</v>
      </c>
      <c r="B19" s="4" t="s">
        <v>19</v>
      </c>
      <c r="C19" s="4">
        <v>2019</v>
      </c>
      <c r="D19" s="4">
        <v>31</v>
      </c>
      <c r="E19" s="4">
        <f>4.04</f>
        <v>4.04</v>
      </c>
      <c r="F19" s="4">
        <f>0.51</f>
        <v>0.51</v>
      </c>
      <c r="G19" s="4">
        <f>1.86</f>
        <v>1.86</v>
      </c>
      <c r="H19" s="4">
        <f>1.33</f>
        <v>1.33</v>
      </c>
      <c r="I19" s="4">
        <f>58.23</f>
        <v>58.23</v>
      </c>
      <c r="J19" s="4">
        <f>12.05</f>
        <v>12.05</v>
      </c>
      <c r="K19" s="4">
        <f>3.63</f>
        <v>3.63</v>
      </c>
      <c r="L19" s="4">
        <f>7.17</f>
        <v>7.17</v>
      </c>
      <c r="M19" s="4">
        <f>7.75</f>
        <v>7.75</v>
      </c>
      <c r="N19" s="4">
        <v>0.28691983122362869</v>
      </c>
      <c r="O19" s="4">
        <v>-9.9156118143459912E-2</v>
      </c>
      <c r="P19" s="4">
        <v>-0.18354430379746836</v>
      </c>
    </row>
    <row r="20" spans="1:16" x14ac:dyDescent="0.3">
      <c r="A20" s="3">
        <v>18</v>
      </c>
      <c r="B20" s="4" t="s">
        <v>19</v>
      </c>
      <c r="C20" s="4">
        <v>2020</v>
      </c>
      <c r="D20" s="4">
        <v>76.3</v>
      </c>
      <c r="E20" s="4">
        <f>3.27</f>
        <v>3.27</v>
      </c>
      <c r="F20" s="4">
        <f>0.38</f>
        <v>0.38</v>
      </c>
      <c r="G20" s="4">
        <f>1.52</f>
        <v>1.52</v>
      </c>
      <c r="H20" s="4">
        <f>1.1</f>
        <v>1.1000000000000001</v>
      </c>
      <c r="I20" s="4">
        <f>79.43</f>
        <v>79.430000000000007</v>
      </c>
      <c r="J20" s="4">
        <f>10.37</f>
        <v>10.37</v>
      </c>
      <c r="K20" s="4">
        <f>3.31</f>
        <v>3.31</v>
      </c>
      <c r="L20" s="4">
        <f>8.63</f>
        <v>8.6300000000000008</v>
      </c>
      <c r="M20" s="4">
        <f>10.61</f>
        <v>10.61</v>
      </c>
      <c r="N20" s="4">
        <v>4.0372670807453416E-2</v>
      </c>
      <c r="O20" s="4">
        <v>4.9689440993788817E-2</v>
      </c>
      <c r="P20" s="4">
        <v>-9.3167701863354033E-2</v>
      </c>
    </row>
    <row r="21" spans="1:16" x14ac:dyDescent="0.3">
      <c r="A21" s="3">
        <v>19</v>
      </c>
      <c r="B21" s="4" t="s">
        <v>19</v>
      </c>
      <c r="C21" s="4">
        <v>2021</v>
      </c>
      <c r="D21" s="4">
        <v>-5.9</v>
      </c>
      <c r="E21" s="4">
        <f>2.9</f>
        <v>2.9</v>
      </c>
      <c r="F21" s="4">
        <f>0.73</f>
        <v>0.73</v>
      </c>
      <c r="G21" s="4">
        <f>1.2</f>
        <v>1.2</v>
      </c>
      <c r="H21" s="4">
        <f>0.96</f>
        <v>0.96</v>
      </c>
      <c r="I21" s="4">
        <f>160.16</f>
        <v>160.16</v>
      </c>
      <c r="J21" s="4">
        <f>10.58</f>
        <v>10.58</v>
      </c>
      <c r="K21" s="4">
        <f>2.81</f>
        <v>2.81</v>
      </c>
      <c r="L21" s="4">
        <f>3.99</f>
        <v>3.99</v>
      </c>
      <c r="M21" s="4">
        <f>12.82</f>
        <v>12.82</v>
      </c>
      <c r="N21" s="4">
        <v>-0.26788036410923277</v>
      </c>
      <c r="O21" s="4">
        <v>-0.11183355006501951</v>
      </c>
      <c r="P21" s="4">
        <v>0.34980494148244473</v>
      </c>
    </row>
    <row r="22" spans="1:16" x14ac:dyDescent="0.3">
      <c r="A22" s="3">
        <v>20</v>
      </c>
      <c r="B22" s="4" t="s">
        <v>20</v>
      </c>
      <c r="C22" s="4">
        <v>2018</v>
      </c>
      <c r="D22" s="4">
        <v>46.1</v>
      </c>
      <c r="E22" s="4">
        <f>0.58</f>
        <v>0.57999999999999996</v>
      </c>
      <c r="F22" s="4">
        <f>0.03</f>
        <v>0.03</v>
      </c>
      <c r="G22" s="4">
        <f>1.76</f>
        <v>1.76</v>
      </c>
      <c r="H22" s="4">
        <f>0.97</f>
        <v>0.97</v>
      </c>
      <c r="I22" s="4">
        <f>53.65</f>
        <v>53.65</v>
      </c>
      <c r="J22" s="4">
        <f>0.87</f>
        <v>0.87</v>
      </c>
      <c r="K22" s="4">
        <f>0.31</f>
        <v>0.31</v>
      </c>
      <c r="L22" s="4">
        <f>9.51</f>
        <v>9.51</v>
      </c>
      <c r="M22" s="4">
        <f>47.73</f>
        <v>47.73</v>
      </c>
      <c r="N22" s="4">
        <v>10</v>
      </c>
      <c r="O22" s="4">
        <v>-11.208333333333334</v>
      </c>
      <c r="P22" s="4">
        <v>1.2916666666666667</v>
      </c>
    </row>
    <row r="23" spans="1:16" x14ac:dyDescent="0.3">
      <c r="A23" s="3">
        <v>21</v>
      </c>
      <c r="B23" s="4" t="s">
        <v>20</v>
      </c>
      <c r="C23" s="4">
        <v>2019</v>
      </c>
      <c r="D23" s="4">
        <v>-34.1</v>
      </c>
      <c r="E23" s="4">
        <f>0.06</f>
        <v>0.06</v>
      </c>
      <c r="F23" s="4" t="s">
        <v>75</v>
      </c>
      <c r="G23" s="4">
        <f>1.65</f>
        <v>1.65</v>
      </c>
      <c r="H23" s="4">
        <f>0.85</f>
        <v>0.85</v>
      </c>
      <c r="I23" s="4">
        <f>54.46</f>
        <v>54.46</v>
      </c>
      <c r="J23" s="4">
        <f>0.04</f>
        <v>0.04</v>
      </c>
      <c r="K23" s="4">
        <f>0.02</f>
        <v>0.02</v>
      </c>
      <c r="L23" s="4">
        <f>4.84</f>
        <v>4.84</v>
      </c>
      <c r="M23" s="4">
        <f>504.21</f>
        <v>504.21</v>
      </c>
      <c r="N23" s="4">
        <v>18.333333333333332</v>
      </c>
      <c r="O23" s="4">
        <v>-18.333333333333332</v>
      </c>
      <c r="P23" s="4" t="s">
        <v>75</v>
      </c>
    </row>
    <row r="24" spans="1:16" x14ac:dyDescent="0.3">
      <c r="A24" s="3">
        <v>22</v>
      </c>
      <c r="B24" s="4" t="s">
        <v>20</v>
      </c>
      <c r="C24" s="4">
        <v>2020</v>
      </c>
      <c r="D24" s="4">
        <v>-16.7</v>
      </c>
      <c r="E24" s="4">
        <f>0.76</f>
        <v>0.76</v>
      </c>
      <c r="F24" s="4">
        <f>0.03</f>
        <v>0.03</v>
      </c>
      <c r="G24" s="4">
        <f>1.14</f>
        <v>1.1399999999999999</v>
      </c>
      <c r="H24" s="4">
        <f>0.88</f>
        <v>0.88</v>
      </c>
      <c r="I24" s="4">
        <f>113.66</f>
        <v>113.66</v>
      </c>
      <c r="J24" s="4">
        <f>-71.85</f>
        <v>-71.849999999999994</v>
      </c>
      <c r="K24" s="4">
        <f>-22.08</f>
        <v>-22.08</v>
      </c>
      <c r="L24" s="4">
        <f>-682.91</f>
        <v>-682.91</v>
      </c>
      <c r="M24" s="4">
        <f>-0.35</f>
        <v>-0.35</v>
      </c>
      <c r="N24" s="4">
        <v>0.15384615384615385</v>
      </c>
      <c r="O24" s="4" t="s">
        <v>75</v>
      </c>
      <c r="P24" s="4">
        <v>-0.15384615384615385</v>
      </c>
    </row>
    <row r="25" spans="1:16" x14ac:dyDescent="0.3">
      <c r="A25" s="3">
        <v>23</v>
      </c>
      <c r="B25" s="4" t="s">
        <v>20</v>
      </c>
      <c r="C25" s="4">
        <v>2021</v>
      </c>
      <c r="D25" s="4">
        <v>602.6</v>
      </c>
      <c r="E25" s="4">
        <f>1.08</f>
        <v>1.08</v>
      </c>
      <c r="F25" s="4">
        <f>0.04</f>
        <v>0.04</v>
      </c>
      <c r="G25" s="4">
        <f>0.66</f>
        <v>0.66</v>
      </c>
      <c r="H25" s="4">
        <f>0.4</f>
        <v>0.4</v>
      </c>
      <c r="I25" s="4">
        <f>106.54</f>
        <v>106.54</v>
      </c>
      <c r="J25" s="4">
        <f>10.07</f>
        <v>10.07</v>
      </c>
      <c r="K25" s="4">
        <f>2.36</f>
        <v>2.36</v>
      </c>
      <c r="L25" s="4">
        <f>55.94</f>
        <v>55.94</v>
      </c>
      <c r="M25" s="4">
        <f>26.25</f>
        <v>26.25</v>
      </c>
      <c r="N25" s="4">
        <v>-0.23333333333333334</v>
      </c>
      <c r="O25" s="4" t="s">
        <v>75</v>
      </c>
      <c r="P25" s="4">
        <v>0.2</v>
      </c>
    </row>
    <row r="26" spans="1:16" x14ac:dyDescent="0.3">
      <c r="A26" s="3">
        <v>24</v>
      </c>
      <c r="B26" s="4" t="s">
        <v>21</v>
      </c>
      <c r="C26" s="4">
        <v>2018</v>
      </c>
      <c r="D26" s="4" t="s">
        <v>75</v>
      </c>
      <c r="E26" s="4">
        <f>2.99</f>
        <v>2.99</v>
      </c>
      <c r="F26" s="4">
        <f>0.3</f>
        <v>0.3</v>
      </c>
      <c r="G26" s="4">
        <f>1.84</f>
        <v>1.84</v>
      </c>
      <c r="H26" s="4">
        <f>0.64</f>
        <v>0.64</v>
      </c>
      <c r="I26" s="4">
        <f>200.3</f>
        <v>200.3</v>
      </c>
      <c r="J26" s="4">
        <f>18.3</f>
        <v>18.3</v>
      </c>
      <c r="K26" s="4">
        <f>3.07</f>
        <v>3.07</v>
      </c>
      <c r="L26" s="4">
        <f>10.52</f>
        <v>10.52</v>
      </c>
      <c r="M26" s="4" t="s">
        <v>75</v>
      </c>
      <c r="N26" s="4">
        <v>-0.17578579743888242</v>
      </c>
      <c r="O26" s="4">
        <v>-0.2607683352735739</v>
      </c>
      <c r="P26" s="4">
        <v>0.43538998835855647</v>
      </c>
    </row>
    <row r="27" spans="1:16" x14ac:dyDescent="0.3">
      <c r="A27" s="3">
        <v>25</v>
      </c>
      <c r="B27" s="4" t="s">
        <v>21</v>
      </c>
      <c r="C27" s="4">
        <v>2019</v>
      </c>
      <c r="D27" s="4" t="s">
        <v>75</v>
      </c>
      <c r="E27" s="4">
        <f>3.4</f>
        <v>3.4</v>
      </c>
      <c r="F27" s="4">
        <f>0.27</f>
        <v>0.27</v>
      </c>
      <c r="G27" s="4">
        <f>1.98</f>
        <v>1.98</v>
      </c>
      <c r="H27" s="4">
        <f>0.67</f>
        <v>0.67</v>
      </c>
      <c r="I27" s="4">
        <f>227.53</f>
        <v>227.53</v>
      </c>
      <c r="J27" s="4">
        <f>15.95</f>
        <v>15.95</v>
      </c>
      <c r="K27" s="4">
        <f>2.53</f>
        <v>2.5299999999999998</v>
      </c>
      <c r="L27" s="4">
        <f>9.62</f>
        <v>9.6199999999999992</v>
      </c>
      <c r="M27" s="4" t="s">
        <v>75</v>
      </c>
      <c r="N27" s="4">
        <v>-0.13220018885741266</v>
      </c>
      <c r="O27" s="4">
        <v>-4.721435316336166E-3</v>
      </c>
      <c r="P27" s="4">
        <v>0.16147308781869688</v>
      </c>
    </row>
    <row r="28" spans="1:16" x14ac:dyDescent="0.3">
      <c r="A28" s="3">
        <v>26</v>
      </c>
      <c r="B28" s="4" t="s">
        <v>21</v>
      </c>
      <c r="C28" s="4">
        <v>2020</v>
      </c>
      <c r="D28" s="4">
        <v>90.72</v>
      </c>
      <c r="E28" s="4">
        <f>3.72</f>
        <v>3.72</v>
      </c>
      <c r="F28" s="4">
        <f>0.24</f>
        <v>0.24</v>
      </c>
      <c r="G28" s="4">
        <f>2.05</f>
        <v>2.0499999999999998</v>
      </c>
      <c r="H28" s="4">
        <f>0.65</f>
        <v>0.65</v>
      </c>
      <c r="I28" s="4">
        <f>244.75</f>
        <v>244.75</v>
      </c>
      <c r="J28" s="4">
        <f>21.04</f>
        <v>21.04</v>
      </c>
      <c r="K28" s="4">
        <f>2.91</f>
        <v>2.91</v>
      </c>
      <c r="L28" s="4">
        <f>10.43</f>
        <v>10.43</v>
      </c>
      <c r="M28" s="4">
        <f>5.62</f>
        <v>5.62</v>
      </c>
      <c r="N28" s="4">
        <v>4.906333630686887E-2</v>
      </c>
      <c r="O28" s="4">
        <v>-0.16146297948260482</v>
      </c>
      <c r="P28" s="4">
        <v>0.1008028545941124</v>
      </c>
    </row>
    <row r="29" spans="1:16" x14ac:dyDescent="0.3">
      <c r="A29" s="3">
        <v>27</v>
      </c>
      <c r="B29" s="4" t="s">
        <v>21</v>
      </c>
      <c r="C29" s="4">
        <v>2021</v>
      </c>
      <c r="D29" s="4">
        <v>198.33</v>
      </c>
      <c r="E29" s="4">
        <f>3.77</f>
        <v>3.77</v>
      </c>
      <c r="F29" s="4">
        <f>0.24</f>
        <v>0.24</v>
      </c>
      <c r="G29" s="4">
        <f>1.94</f>
        <v>1.94</v>
      </c>
      <c r="H29" s="4">
        <f>0.54</f>
        <v>0.54</v>
      </c>
      <c r="I29" s="4">
        <f>144.96</f>
        <v>144.96</v>
      </c>
      <c r="J29" s="4">
        <f>18.12</f>
        <v>18.12</v>
      </c>
      <c r="K29" s="4">
        <f>3.11</f>
        <v>3.11</v>
      </c>
      <c r="L29" s="4">
        <f>13.84</f>
        <v>13.84</v>
      </c>
      <c r="M29" s="4">
        <f>18.81</f>
        <v>18.809999999999999</v>
      </c>
      <c r="N29" s="4">
        <v>4.9683830171635052E-2</v>
      </c>
      <c r="O29" s="4">
        <v>-7.9494128274616077E-2</v>
      </c>
      <c r="P29" s="4">
        <v>4.7877145438121049E-2</v>
      </c>
    </row>
    <row r="30" spans="1:16" x14ac:dyDescent="0.3">
      <c r="A30" s="3">
        <v>28</v>
      </c>
      <c r="B30" s="4" t="s">
        <v>22</v>
      </c>
      <c r="C30" s="4">
        <v>2018</v>
      </c>
      <c r="D30" s="4">
        <v>-19.8</v>
      </c>
      <c r="E30" s="4">
        <f>3.21</f>
        <v>3.21</v>
      </c>
      <c r="F30" s="4">
        <f>1</f>
        <v>1</v>
      </c>
      <c r="G30" s="4">
        <f>2.01</f>
        <v>2.0099999999999998</v>
      </c>
      <c r="H30" s="4">
        <f>1.46</f>
        <v>1.46</v>
      </c>
      <c r="I30" s="4">
        <f>11.42</f>
        <v>11.42</v>
      </c>
      <c r="J30" s="4">
        <f>30.5</f>
        <v>30.5</v>
      </c>
      <c r="K30" s="4">
        <f>18.64</f>
        <v>18.64</v>
      </c>
      <c r="L30" s="4">
        <f>18.97</f>
        <v>18.97</v>
      </c>
      <c r="M30" s="4">
        <f>6.66</f>
        <v>6.66</v>
      </c>
      <c r="N30" s="4">
        <v>-0.21695317131001779</v>
      </c>
      <c r="O30" s="4">
        <v>-4.0308239478363962E-2</v>
      </c>
      <c r="P30" s="4">
        <v>0.41197391819798457</v>
      </c>
    </row>
    <row r="31" spans="1:16" x14ac:dyDescent="0.3">
      <c r="A31" s="3">
        <v>29</v>
      </c>
      <c r="B31" s="4" t="s">
        <v>22</v>
      </c>
      <c r="C31" s="4">
        <v>2019</v>
      </c>
      <c r="D31" s="4">
        <v>-5.5</v>
      </c>
      <c r="E31" s="4">
        <f>3.09</f>
        <v>3.09</v>
      </c>
      <c r="F31" s="4">
        <f>0.92</f>
        <v>0.92</v>
      </c>
      <c r="G31" s="4">
        <f>2.28</f>
        <v>2.2799999999999998</v>
      </c>
      <c r="H31" s="4">
        <f>2.09</f>
        <v>2.09</v>
      </c>
      <c r="I31" s="4">
        <f>4.36</f>
        <v>4.3600000000000003</v>
      </c>
      <c r="J31" s="4">
        <f>22.96</f>
        <v>22.96</v>
      </c>
      <c r="K31" s="4">
        <f>15.52</f>
        <v>15.52</v>
      </c>
      <c r="L31" s="4">
        <f>16.98</f>
        <v>16.98</v>
      </c>
      <c r="M31" s="4">
        <f>4.86</f>
        <v>4.8600000000000003</v>
      </c>
      <c r="N31" s="4">
        <v>6.6666666666666666E-2</v>
      </c>
      <c r="O31" s="4">
        <v>-0.11311827956989247</v>
      </c>
      <c r="P31" s="4">
        <v>-2.0645161290322581E-2</v>
      </c>
    </row>
    <row r="32" spans="1:16" x14ac:dyDescent="0.3">
      <c r="A32" s="3">
        <v>30</v>
      </c>
      <c r="B32" s="4" t="s">
        <v>22</v>
      </c>
      <c r="C32" s="4">
        <v>2020</v>
      </c>
      <c r="D32" s="4">
        <v>45.5</v>
      </c>
      <c r="E32" s="4">
        <f>2.66</f>
        <v>2.66</v>
      </c>
      <c r="F32" s="4">
        <f>0.65</f>
        <v>0.65</v>
      </c>
      <c r="G32" s="4">
        <f>1.58</f>
        <v>1.58</v>
      </c>
      <c r="H32" s="4">
        <f>1.56</f>
        <v>1.56</v>
      </c>
      <c r="I32" s="4">
        <f>40.15</f>
        <v>40.15</v>
      </c>
      <c r="J32" s="4">
        <f>14.9</f>
        <v>14.9</v>
      </c>
      <c r="K32" s="4">
        <f>9.05</f>
        <v>9.0500000000000007</v>
      </c>
      <c r="L32" s="4">
        <f>14.17</f>
        <v>14.17</v>
      </c>
      <c r="M32" s="4">
        <f>7.82</f>
        <v>7.82</v>
      </c>
      <c r="N32" s="4">
        <v>-0.21312991215903837</v>
      </c>
      <c r="O32" s="4">
        <v>-8.1830790568654652E-2</v>
      </c>
      <c r="P32" s="4">
        <v>0.3060564031437818</v>
      </c>
    </row>
    <row r="33" spans="1:16" x14ac:dyDescent="0.3">
      <c r="A33" s="3">
        <v>31</v>
      </c>
      <c r="B33" s="4" t="s">
        <v>22</v>
      </c>
      <c r="C33" s="4">
        <v>2021</v>
      </c>
      <c r="D33" s="4">
        <v>150.30000000000001</v>
      </c>
      <c r="E33" s="4">
        <f>8.23</f>
        <v>8.23</v>
      </c>
      <c r="F33" s="4">
        <f>1.11</f>
        <v>1.1100000000000001</v>
      </c>
      <c r="G33" s="4">
        <f>2.17</f>
        <v>2.17</v>
      </c>
      <c r="H33" s="4">
        <f>1.91</f>
        <v>1.91</v>
      </c>
      <c r="I33" s="4">
        <f>49.9</f>
        <v>49.9</v>
      </c>
      <c r="J33" s="4">
        <f>16.71</f>
        <v>16.71</v>
      </c>
      <c r="K33" s="4">
        <f>9.09</f>
        <v>9.09</v>
      </c>
      <c r="L33" s="4">
        <f>8.05</f>
        <v>8.0500000000000007</v>
      </c>
      <c r="M33" s="4">
        <f>9.44</f>
        <v>9.44</v>
      </c>
      <c r="N33" s="4">
        <v>-6.5505226480836232E-2</v>
      </c>
      <c r="O33" s="4">
        <v>-0.26986062717770037</v>
      </c>
      <c r="P33" s="4">
        <v>0.32334494773519162</v>
      </c>
    </row>
    <row r="34" spans="1:16" x14ac:dyDescent="0.3">
      <c r="A34" s="3">
        <v>32</v>
      </c>
      <c r="B34" s="4" t="s">
        <v>23</v>
      </c>
      <c r="C34" s="4">
        <v>2018</v>
      </c>
      <c r="D34" s="4">
        <v>-65.400000000000006</v>
      </c>
      <c r="E34" s="4">
        <f>26.34</f>
        <v>26.34</v>
      </c>
      <c r="F34" s="4">
        <f>0.2</f>
        <v>0.2</v>
      </c>
      <c r="G34" s="4">
        <f>2.22</f>
        <v>2.2200000000000002</v>
      </c>
      <c r="H34" s="4">
        <f>1.63</f>
        <v>1.63</v>
      </c>
      <c r="I34" s="4" t="s">
        <v>75</v>
      </c>
      <c r="J34" s="4">
        <f>20.99</f>
        <v>20.99</v>
      </c>
      <c r="K34" s="4">
        <f>6.66</f>
        <v>6.66</v>
      </c>
      <c r="L34" s="4">
        <f>33.4</f>
        <v>33.4</v>
      </c>
      <c r="M34" s="4">
        <f>7.76</f>
        <v>7.76</v>
      </c>
      <c r="N34" s="4">
        <v>1.6183745583038869</v>
      </c>
      <c r="O34" s="4">
        <v>-1.4946996466431095</v>
      </c>
      <c r="P34" s="4">
        <v>-0.16961130742049471</v>
      </c>
    </row>
    <row r="35" spans="1:16" x14ac:dyDescent="0.3">
      <c r="A35" s="3">
        <v>33</v>
      </c>
      <c r="B35" s="4" t="s">
        <v>23</v>
      </c>
      <c r="C35" s="4">
        <v>2019</v>
      </c>
      <c r="D35" s="4">
        <v>132.69999999999999</v>
      </c>
      <c r="E35" s="4">
        <f>36.8</f>
        <v>36.799999999999997</v>
      </c>
      <c r="F35" s="4">
        <f>0.41</f>
        <v>0.41</v>
      </c>
      <c r="G35" s="4">
        <f>2.19</f>
        <v>2.19</v>
      </c>
      <c r="H35" s="4">
        <f>1.89</f>
        <v>1.89</v>
      </c>
      <c r="I35" s="4" t="s">
        <v>75</v>
      </c>
      <c r="J35" s="4">
        <f>59.02</f>
        <v>59.02</v>
      </c>
      <c r="K35" s="4">
        <f>20.34</f>
        <v>20.34</v>
      </c>
      <c r="L35" s="4">
        <f>49.12</f>
        <v>49.12</v>
      </c>
      <c r="M35" s="4">
        <f>3.35</f>
        <v>3.35</v>
      </c>
      <c r="N35" s="4">
        <v>0.70811518324607325</v>
      </c>
      <c r="O35" s="4">
        <v>-0.73167539267015702</v>
      </c>
      <c r="P35" s="4">
        <v>-2.0942408376963352E-2</v>
      </c>
    </row>
    <row r="36" spans="1:16" x14ac:dyDescent="0.3">
      <c r="A36" s="3">
        <v>34</v>
      </c>
      <c r="B36" s="4" t="s">
        <v>23</v>
      </c>
      <c r="C36" s="4">
        <v>2020</v>
      </c>
      <c r="D36" s="4">
        <v>20.6</v>
      </c>
      <c r="E36" s="4">
        <f>13.14</f>
        <v>13.14</v>
      </c>
      <c r="F36" s="4">
        <f>0.17</f>
        <v>0.17</v>
      </c>
      <c r="G36" s="4">
        <f>3.03</f>
        <v>3.03</v>
      </c>
      <c r="H36" s="4">
        <f>2.65</f>
        <v>2.65</v>
      </c>
      <c r="I36" s="4" t="s">
        <v>75</v>
      </c>
      <c r="J36" s="4">
        <f>30.36</f>
        <v>30.36</v>
      </c>
      <c r="K36" s="4">
        <f>13.07</f>
        <v>13.07</v>
      </c>
      <c r="L36" s="4">
        <f>75.04</f>
        <v>75.040000000000006</v>
      </c>
      <c r="M36" s="4">
        <f>5.1</f>
        <v>5.0999999999999996</v>
      </c>
      <c r="N36" s="4">
        <v>-0.83753501400560226</v>
      </c>
      <c r="O36" s="4">
        <v>0.98599439775910369</v>
      </c>
      <c r="P36" s="4">
        <v>-0.26890756302521007</v>
      </c>
    </row>
    <row r="37" spans="1:16" x14ac:dyDescent="0.3">
      <c r="A37" s="3">
        <v>35</v>
      </c>
      <c r="B37" s="4" t="s">
        <v>23</v>
      </c>
      <c r="C37" s="4">
        <v>2021</v>
      </c>
      <c r="D37" s="4">
        <v>-4</v>
      </c>
      <c r="E37" s="4">
        <f>8.44</f>
        <v>8.44</v>
      </c>
      <c r="F37" s="4">
        <f>0.25</f>
        <v>0.25</v>
      </c>
      <c r="G37" s="4">
        <f>9.14</f>
        <v>9.14</v>
      </c>
      <c r="H37" s="4">
        <f>8.15</f>
        <v>8.15</v>
      </c>
      <c r="I37" s="4" t="s">
        <v>75</v>
      </c>
      <c r="J37" s="4">
        <f>23.49</f>
        <v>23.49</v>
      </c>
      <c r="K37" s="4">
        <f>12.81</f>
        <v>12.81</v>
      </c>
      <c r="L37" s="4">
        <f>51.39</f>
        <v>51.39</v>
      </c>
      <c r="M37" s="4">
        <f>7.44</f>
        <v>7.44</v>
      </c>
      <c r="N37" s="4">
        <v>-0.78601694915254239</v>
      </c>
      <c r="O37" s="4">
        <v>0.97033898305084743</v>
      </c>
      <c r="P37" s="4">
        <v>-0.22457627118644069</v>
      </c>
    </row>
    <row r="38" spans="1:16" x14ac:dyDescent="0.3">
      <c r="A38" s="3">
        <v>36</v>
      </c>
      <c r="B38" s="4" t="s">
        <v>24</v>
      </c>
      <c r="C38" s="4">
        <v>2018</v>
      </c>
      <c r="D38" s="4">
        <v>-24.8</v>
      </c>
      <c r="E38" s="4">
        <f>2.72</f>
        <v>2.72</v>
      </c>
      <c r="F38" s="4">
        <f>0.36</f>
        <v>0.36</v>
      </c>
      <c r="G38" s="4">
        <f>1.88</f>
        <v>1.88</v>
      </c>
      <c r="H38" s="4">
        <f>0.83</f>
        <v>0.83</v>
      </c>
      <c r="I38" s="4">
        <f>50.27</f>
        <v>50.27</v>
      </c>
      <c r="J38" s="4">
        <f>10.61</f>
        <v>10.61</v>
      </c>
      <c r="K38" s="4">
        <f>5.02</f>
        <v>5.0199999999999996</v>
      </c>
      <c r="L38" s="4">
        <f>14.2</f>
        <v>14.2</v>
      </c>
      <c r="M38" s="4">
        <f>11.64</f>
        <v>11.64</v>
      </c>
      <c r="N38" s="4">
        <v>0.1752745018300122</v>
      </c>
      <c r="O38" s="4">
        <v>9.6380642537616912E-2</v>
      </c>
      <c r="P38" s="4">
        <v>-5.4900366002440019E-2</v>
      </c>
    </row>
    <row r="39" spans="1:16" x14ac:dyDescent="0.3">
      <c r="A39" s="3">
        <v>37</v>
      </c>
      <c r="B39" s="4" t="s">
        <v>24</v>
      </c>
      <c r="C39" s="4">
        <v>2019</v>
      </c>
      <c r="D39" s="4">
        <v>-19.100000000000001</v>
      </c>
      <c r="E39" s="4">
        <f>2.16</f>
        <v>2.16</v>
      </c>
      <c r="F39" s="4">
        <f>0.28</f>
        <v>0.28000000000000003</v>
      </c>
      <c r="G39" s="4">
        <f>2.18</f>
        <v>2.1800000000000002</v>
      </c>
      <c r="H39" s="4">
        <f>0.9</f>
        <v>0.9</v>
      </c>
      <c r="I39" s="4">
        <f>31.86</f>
        <v>31.86</v>
      </c>
      <c r="J39" s="4">
        <f>10.82</f>
        <v>10.82</v>
      </c>
      <c r="K39" s="4">
        <f>5.2</f>
        <v>5.2</v>
      </c>
      <c r="L39" s="4">
        <f>17.57</f>
        <v>17.57</v>
      </c>
      <c r="M39" s="4">
        <f>10.31</f>
        <v>10.31</v>
      </c>
      <c r="N39" s="4">
        <v>-0.11453950444132772</v>
      </c>
      <c r="O39" s="4">
        <v>-4.2075736325385693E-3</v>
      </c>
      <c r="P39" s="4">
        <v>5.3295932678821878E-2</v>
      </c>
    </row>
    <row r="40" spans="1:16" x14ac:dyDescent="0.3">
      <c r="A40" s="3">
        <v>38</v>
      </c>
      <c r="B40" s="4" t="s">
        <v>24</v>
      </c>
      <c r="C40" s="4">
        <v>2020</v>
      </c>
      <c r="D40" s="4">
        <v>100.7</v>
      </c>
      <c r="E40" s="4">
        <f>2.46</f>
        <v>2.46</v>
      </c>
      <c r="F40" s="4">
        <f>0.25</f>
        <v>0.25</v>
      </c>
      <c r="G40" s="4">
        <f>1.22</f>
        <v>1.22</v>
      </c>
      <c r="H40" s="4">
        <f>0.49</f>
        <v>0.49</v>
      </c>
      <c r="I40" s="4">
        <f>31.62</f>
        <v>31.62</v>
      </c>
      <c r="J40" s="4">
        <f>16.17</f>
        <v>16.170000000000002</v>
      </c>
      <c r="K40" s="4">
        <f>7.1</f>
        <v>7.1</v>
      </c>
      <c r="L40" s="4">
        <f>29.02</f>
        <v>29.02</v>
      </c>
      <c r="M40" s="4">
        <f>12.07</f>
        <v>12.07</v>
      </c>
      <c r="N40" s="4">
        <v>-0.2012779552715655</v>
      </c>
      <c r="O40" s="4">
        <v>-7.5878594249201275E-3</v>
      </c>
      <c r="P40" s="4">
        <v>0.13258785942492013</v>
      </c>
    </row>
    <row r="41" spans="1:16" x14ac:dyDescent="0.3">
      <c r="A41" s="3">
        <v>39</v>
      </c>
      <c r="B41" s="4" t="s">
        <v>24</v>
      </c>
      <c r="C41" s="4">
        <v>2021</v>
      </c>
      <c r="D41" s="4">
        <v>284</v>
      </c>
      <c r="E41" s="4">
        <f>2.28</f>
        <v>2.2799999999999998</v>
      </c>
      <c r="F41" s="4">
        <f>0.18</f>
        <v>0.18</v>
      </c>
      <c r="G41" s="4">
        <f>2.4</f>
        <v>2.4</v>
      </c>
      <c r="H41" s="4">
        <f>1.58</f>
        <v>1.58</v>
      </c>
      <c r="I41" s="4">
        <f>63.96</f>
        <v>63.96</v>
      </c>
      <c r="J41" s="4">
        <f>15.83</f>
        <v>15.83</v>
      </c>
      <c r="K41" s="4">
        <f>6.88</f>
        <v>6.88</v>
      </c>
      <c r="L41" s="4">
        <f>38.54</f>
        <v>38.54</v>
      </c>
      <c r="M41" s="4">
        <f>38.44</f>
        <v>38.44</v>
      </c>
      <c r="N41" s="4">
        <v>-0.76024748646558393</v>
      </c>
      <c r="O41" s="4">
        <v>-1.0703789636504253</v>
      </c>
      <c r="P41" s="4">
        <v>2.0614849187935036</v>
      </c>
    </row>
    <row r="42" spans="1:16" x14ac:dyDescent="0.3">
      <c r="A42" s="3">
        <v>40</v>
      </c>
      <c r="B42" s="4" t="s">
        <v>25</v>
      </c>
      <c r="C42" s="4">
        <v>2018</v>
      </c>
      <c r="D42" s="4">
        <v>-36.4</v>
      </c>
      <c r="E42" s="4">
        <f>4.64</f>
        <v>4.6399999999999997</v>
      </c>
      <c r="F42" s="4">
        <f>0.1</f>
        <v>0.1</v>
      </c>
      <c r="G42" s="4">
        <f>1.17</f>
        <v>1.17</v>
      </c>
      <c r="H42" s="4">
        <f>0.52</f>
        <v>0.52</v>
      </c>
      <c r="I42" s="4">
        <f>56.42</f>
        <v>56.42</v>
      </c>
      <c r="J42" s="4">
        <f>9</f>
        <v>9</v>
      </c>
      <c r="K42" s="4">
        <f>4.02</f>
        <v>4.0199999999999996</v>
      </c>
      <c r="L42" s="4">
        <f>40.75</f>
        <v>40.75</v>
      </c>
      <c r="M42" s="4">
        <f>8.46</f>
        <v>8.4600000000000009</v>
      </c>
      <c r="N42" s="4">
        <v>1.5337423312883436</v>
      </c>
      <c r="O42" s="4">
        <v>-3.4294478527607364</v>
      </c>
      <c r="P42" s="4">
        <v>1.9141104294478528</v>
      </c>
    </row>
    <row r="43" spans="1:16" x14ac:dyDescent="0.3">
      <c r="A43" s="3">
        <v>41</v>
      </c>
      <c r="B43" s="4" t="s">
        <v>25</v>
      </c>
      <c r="C43" s="4">
        <v>2019</v>
      </c>
      <c r="D43" s="4">
        <v>-61</v>
      </c>
      <c r="E43" s="4">
        <f>4.4</f>
        <v>4.4000000000000004</v>
      </c>
      <c r="F43" s="4">
        <f>0.16</f>
        <v>0.16</v>
      </c>
      <c r="G43" s="4">
        <f>1.05</f>
        <v>1.05</v>
      </c>
      <c r="H43" s="4">
        <f>0.52</f>
        <v>0.52</v>
      </c>
      <c r="I43" s="4">
        <f>21.38</f>
        <v>21.38</v>
      </c>
      <c r="J43" s="4">
        <f>6.91</f>
        <v>6.91</v>
      </c>
      <c r="K43" s="4">
        <f>2.41</f>
        <v>2.41</v>
      </c>
      <c r="L43" s="4">
        <f>14.93</f>
        <v>14.93</v>
      </c>
      <c r="M43" s="4">
        <f>4.43</f>
        <v>4.43</v>
      </c>
      <c r="N43" s="4">
        <v>0.7289972899728997</v>
      </c>
      <c r="O43" s="4" t="s">
        <v>75</v>
      </c>
      <c r="P43" s="4">
        <v>-0.73170731707317072</v>
      </c>
    </row>
    <row r="44" spans="1:16" x14ac:dyDescent="0.3">
      <c r="A44" s="3">
        <v>42</v>
      </c>
      <c r="B44" s="4" t="s">
        <v>25</v>
      </c>
      <c r="C44" s="4">
        <v>2020</v>
      </c>
      <c r="D44" s="4">
        <v>106.1</v>
      </c>
      <c r="E44" s="4">
        <f>1.06</f>
        <v>1.06</v>
      </c>
      <c r="F44" s="4">
        <f>0.03</f>
        <v>0.03</v>
      </c>
      <c r="G44" s="4">
        <f>1.1</f>
        <v>1.1000000000000001</v>
      </c>
      <c r="H44" s="4">
        <f>0.55</f>
        <v>0.55000000000000004</v>
      </c>
      <c r="I44" s="4">
        <f>48.28</f>
        <v>48.28</v>
      </c>
      <c r="J44" s="4">
        <f>6.13</f>
        <v>6.13</v>
      </c>
      <c r="K44" s="4">
        <f>2.1</f>
        <v>2.1</v>
      </c>
      <c r="L44" s="4">
        <f>65.37</f>
        <v>65.37</v>
      </c>
      <c r="M44" s="4">
        <f>12.62</f>
        <v>12.62</v>
      </c>
      <c r="N44" s="4">
        <v>-1.6025641025641026</v>
      </c>
      <c r="O44" s="4">
        <v>-1.2179487179487178</v>
      </c>
      <c r="P44" s="4">
        <v>3.0384615384615383</v>
      </c>
    </row>
    <row r="45" spans="1:16" x14ac:dyDescent="0.3">
      <c r="A45" s="3">
        <v>43</v>
      </c>
      <c r="B45" s="4" t="s">
        <v>25</v>
      </c>
      <c r="C45" s="4">
        <v>2021</v>
      </c>
      <c r="D45" s="4">
        <v>164.8</v>
      </c>
      <c r="E45" s="4">
        <f>1.72</f>
        <v>1.72</v>
      </c>
      <c r="F45" s="4">
        <f>0.03</f>
        <v>0.03</v>
      </c>
      <c r="G45" s="4">
        <f>0.94</f>
        <v>0.94</v>
      </c>
      <c r="H45" s="4">
        <f>0.45</f>
        <v>0.45</v>
      </c>
      <c r="I45" s="4">
        <f>51.55</f>
        <v>51.55</v>
      </c>
      <c r="J45" s="4">
        <f>1.55</f>
        <v>1.55</v>
      </c>
      <c r="K45" s="4">
        <f>0.51</f>
        <v>0.51</v>
      </c>
      <c r="L45" s="4">
        <f>17.67</f>
        <v>17.670000000000002</v>
      </c>
      <c r="M45" s="4">
        <f>128.46</f>
        <v>128.46</v>
      </c>
      <c r="N45" s="4">
        <v>-0.04</v>
      </c>
      <c r="O45" s="4">
        <v>-0.44</v>
      </c>
      <c r="P45" s="4">
        <v>0.42666666666666669</v>
      </c>
    </row>
    <row r="46" spans="1:16" x14ac:dyDescent="0.3">
      <c r="A46" s="3">
        <v>44</v>
      </c>
      <c r="B46" s="4" t="s">
        <v>26</v>
      </c>
      <c r="C46" s="4">
        <v>2018</v>
      </c>
      <c r="D46" s="4">
        <v>-29.1</v>
      </c>
      <c r="E46" s="4">
        <f>3.06</f>
        <v>3.06</v>
      </c>
      <c r="F46" s="4">
        <f>0.09</f>
        <v>0.09</v>
      </c>
      <c r="G46" s="4">
        <f>0.59</f>
        <v>0.59</v>
      </c>
      <c r="H46" s="4">
        <f>0.58</f>
        <v>0.57999999999999996</v>
      </c>
      <c r="I46" s="4">
        <f>71.15</f>
        <v>71.150000000000006</v>
      </c>
      <c r="J46" s="4">
        <f>2.44</f>
        <v>2.44</v>
      </c>
      <c r="K46" s="4">
        <f>1.16</f>
        <v>1.1599999999999999</v>
      </c>
      <c r="L46" s="4">
        <f>13.32</f>
        <v>13.32</v>
      </c>
      <c r="M46" s="4">
        <f>27.89</f>
        <v>27.89</v>
      </c>
      <c r="N46" s="4">
        <v>-0.61111111111111116</v>
      </c>
      <c r="O46" s="4" t="s">
        <v>75</v>
      </c>
      <c r="P46" s="4">
        <v>0.63888888888888884</v>
      </c>
    </row>
    <row r="47" spans="1:16" x14ac:dyDescent="0.3">
      <c r="A47" s="3">
        <v>45</v>
      </c>
      <c r="B47" s="4" t="s">
        <v>26</v>
      </c>
      <c r="C47" s="4">
        <v>2019</v>
      </c>
      <c r="D47" s="4">
        <v>-17.7</v>
      </c>
      <c r="E47" s="4">
        <f>3.91</f>
        <v>3.91</v>
      </c>
      <c r="F47" s="4">
        <f>0.12</f>
        <v>0.12</v>
      </c>
      <c r="G47" s="4">
        <f>0.84</f>
        <v>0.84</v>
      </c>
      <c r="H47" s="4">
        <f>0.82</f>
        <v>0.82</v>
      </c>
      <c r="I47" s="4">
        <f>72.93</f>
        <v>72.930000000000007</v>
      </c>
      <c r="J47" s="4">
        <f>3.4</f>
        <v>3.4</v>
      </c>
      <c r="K47" s="4">
        <f>1.46</f>
        <v>1.46</v>
      </c>
      <c r="L47" s="4">
        <f>11.85</f>
        <v>11.85</v>
      </c>
      <c r="M47" s="4">
        <f>15.35</f>
        <v>15.35</v>
      </c>
      <c r="N47" s="4">
        <v>-0.1111111111111111</v>
      </c>
      <c r="O47" s="4">
        <v>1.8518518518518517E-2</v>
      </c>
      <c r="P47" s="4">
        <v>0.14814814814814814</v>
      </c>
    </row>
    <row r="48" spans="1:16" x14ac:dyDescent="0.3">
      <c r="A48" s="3">
        <v>46</v>
      </c>
      <c r="B48" s="4" t="s">
        <v>26</v>
      </c>
      <c r="C48" s="4">
        <v>2020</v>
      </c>
      <c r="D48" s="4">
        <v>-16.8</v>
      </c>
      <c r="E48" s="4">
        <f>2.58</f>
        <v>2.58</v>
      </c>
      <c r="F48" s="4">
        <f>0.09</f>
        <v>0.09</v>
      </c>
      <c r="G48" s="4">
        <f>0.86</f>
        <v>0.86</v>
      </c>
      <c r="H48" s="4">
        <f>0.85</f>
        <v>0.85</v>
      </c>
      <c r="I48" s="4">
        <f>76.7</f>
        <v>76.7</v>
      </c>
      <c r="J48" s="4">
        <f>-2.05</f>
        <v>-2.0499999999999998</v>
      </c>
      <c r="K48" s="4">
        <f>-0.76</f>
        <v>-0.76</v>
      </c>
      <c r="L48" s="4">
        <f>-8.84</f>
        <v>-8.84</v>
      </c>
      <c r="M48" s="4">
        <f>-22.09</f>
        <v>-22.09</v>
      </c>
      <c r="N48" s="4">
        <v>0.7021276595744681</v>
      </c>
      <c r="O48" s="4">
        <v>-0.1702127659574468</v>
      </c>
      <c r="P48" s="4">
        <v>8.5106382978723402E-2</v>
      </c>
    </row>
    <row r="49" spans="1:16" x14ac:dyDescent="0.3">
      <c r="A49" s="3">
        <v>47</v>
      </c>
      <c r="B49" s="4" t="s">
        <v>26</v>
      </c>
      <c r="C49" s="4">
        <v>2021</v>
      </c>
      <c r="D49" s="4">
        <v>395.7</v>
      </c>
      <c r="E49" s="4">
        <f>4.51</f>
        <v>4.51</v>
      </c>
      <c r="F49" s="4">
        <f>0.18</f>
        <v>0.18</v>
      </c>
      <c r="G49" s="4">
        <f>0.9</f>
        <v>0.9</v>
      </c>
      <c r="H49" s="4">
        <f>0.61</f>
        <v>0.61</v>
      </c>
      <c r="I49" s="4">
        <f>49.5</f>
        <v>49.5</v>
      </c>
      <c r="J49" s="4">
        <f>5.28</f>
        <v>5.28</v>
      </c>
      <c r="K49" s="4">
        <f>1.66</f>
        <v>1.66</v>
      </c>
      <c r="L49" s="4">
        <f>9.16</f>
        <v>9.16</v>
      </c>
      <c r="M49" s="4">
        <f>41.94</f>
        <v>41.94</v>
      </c>
      <c r="N49" s="4">
        <v>9.1743119266055051E-2</v>
      </c>
      <c r="O49" s="4">
        <v>-0.44036697247706424</v>
      </c>
      <c r="P49" s="4">
        <v>0.30275229357798167</v>
      </c>
    </row>
    <row r="50" spans="1:16" x14ac:dyDescent="0.3">
      <c r="A50" s="3">
        <v>48</v>
      </c>
      <c r="B50" s="4" t="s">
        <v>27</v>
      </c>
      <c r="C50" s="4">
        <v>2018</v>
      </c>
      <c r="D50" s="4">
        <v>24.8</v>
      </c>
      <c r="E50" s="4">
        <f>4.66</f>
        <v>4.66</v>
      </c>
      <c r="F50" s="4">
        <f>0.39</f>
        <v>0.39</v>
      </c>
      <c r="G50" s="4">
        <f>2.31</f>
        <v>2.31</v>
      </c>
      <c r="H50" s="4">
        <f>1.41</f>
        <v>1.41</v>
      </c>
      <c r="I50" s="4">
        <f>46.23</f>
        <v>46.23</v>
      </c>
      <c r="J50" s="4">
        <f>21.72</f>
        <v>21.72</v>
      </c>
      <c r="K50" s="4">
        <f>9.82</f>
        <v>9.82</v>
      </c>
      <c r="L50" s="4">
        <f>37.09</f>
        <v>37.090000000000003</v>
      </c>
      <c r="M50" s="4">
        <f>6.64</f>
        <v>6.64</v>
      </c>
      <c r="N50" s="4">
        <v>-0.20064585575888053</v>
      </c>
      <c r="O50" s="4" t="s">
        <v>75</v>
      </c>
      <c r="P50" s="4">
        <v>8.6759956942949412E-2</v>
      </c>
    </row>
    <row r="51" spans="1:16" x14ac:dyDescent="0.3">
      <c r="A51" s="3">
        <v>49</v>
      </c>
      <c r="B51" s="4" t="s">
        <v>27</v>
      </c>
      <c r="C51" s="4">
        <v>2019</v>
      </c>
      <c r="D51" s="4">
        <v>-22.5</v>
      </c>
      <c r="E51" s="4">
        <f>3.64</f>
        <v>3.64</v>
      </c>
      <c r="F51" s="4">
        <f>0.35</f>
        <v>0.35</v>
      </c>
      <c r="G51" s="4">
        <f>2.35</f>
        <v>2.35</v>
      </c>
      <c r="H51" s="4">
        <f>1.41</f>
        <v>1.41</v>
      </c>
      <c r="I51" s="4">
        <f>47.68</f>
        <v>47.68</v>
      </c>
      <c r="J51" s="4">
        <f>15.77</f>
        <v>15.77</v>
      </c>
      <c r="K51" s="4">
        <f>7.24</f>
        <v>7.24</v>
      </c>
      <c r="L51" s="4">
        <f>32.45</f>
        <v>32.450000000000003</v>
      </c>
      <c r="M51" s="4">
        <f>4.72</f>
        <v>4.72</v>
      </c>
      <c r="N51" s="4">
        <v>-0.28306104901117801</v>
      </c>
      <c r="O51" s="4">
        <v>-0.24299226139294927</v>
      </c>
      <c r="P51" s="4">
        <v>0.46311263972484951</v>
      </c>
    </row>
    <row r="52" spans="1:16" x14ac:dyDescent="0.3">
      <c r="A52" s="3">
        <v>50</v>
      </c>
      <c r="B52" s="4" t="s">
        <v>27</v>
      </c>
      <c r="C52" s="4">
        <v>2020</v>
      </c>
      <c r="D52" s="4">
        <v>10</v>
      </c>
      <c r="E52" s="4">
        <f>1.77</f>
        <v>1.77</v>
      </c>
      <c r="F52" s="4">
        <f>0.13</f>
        <v>0.13</v>
      </c>
      <c r="G52" s="4">
        <f>1.91</f>
        <v>1.91</v>
      </c>
      <c r="H52" s="4">
        <f>0.92</f>
        <v>0.92</v>
      </c>
      <c r="I52" s="4">
        <f>65.45</f>
        <v>65.45</v>
      </c>
      <c r="J52" s="4">
        <f>-5.41</f>
        <v>-5.41</v>
      </c>
      <c r="K52" s="4">
        <f>-2.3</f>
        <v>-2.2999999999999998</v>
      </c>
      <c r="L52" s="4">
        <f>-6.02</f>
        <v>-6.02</v>
      </c>
      <c r="M52" s="4">
        <f>-16.69</f>
        <v>-16.690000000000001</v>
      </c>
      <c r="N52" s="4">
        <v>-0.26905829596412556</v>
      </c>
      <c r="O52" s="4">
        <v>-0.11521214211797172</v>
      </c>
      <c r="P52" s="4">
        <v>0.72473266643670231</v>
      </c>
    </row>
    <row r="53" spans="1:16" x14ac:dyDescent="0.3">
      <c r="A53" s="3">
        <v>51</v>
      </c>
      <c r="B53" s="4" t="s">
        <v>27</v>
      </c>
      <c r="C53" s="4">
        <v>2021</v>
      </c>
      <c r="D53" s="4">
        <v>152.4</v>
      </c>
      <c r="E53" s="4">
        <f>6.62</f>
        <v>6.62</v>
      </c>
      <c r="F53" s="4">
        <f>0.39</f>
        <v>0.39</v>
      </c>
      <c r="G53" s="4">
        <f>1.91</f>
        <v>1.91</v>
      </c>
      <c r="H53" s="4">
        <f>1.06</f>
        <v>1.06</v>
      </c>
      <c r="I53" s="4">
        <f>33.48</f>
        <v>33.479999999999997</v>
      </c>
      <c r="J53" s="4">
        <f>10.3</f>
        <v>10.3</v>
      </c>
      <c r="K53" s="4">
        <f>4.49</f>
        <v>4.49</v>
      </c>
      <c r="L53" s="4">
        <f>15.81</f>
        <v>15.81</v>
      </c>
      <c r="M53" s="4">
        <f>16.36</f>
        <v>16.36</v>
      </c>
      <c r="N53" s="4">
        <v>0.12091600039482775</v>
      </c>
      <c r="O53" s="4">
        <v>9.8706939097818573E-4</v>
      </c>
      <c r="P53" s="4">
        <v>-2.7341822130095745E-2</v>
      </c>
    </row>
    <row r="54" spans="1:16" x14ac:dyDescent="0.3">
      <c r="A54" s="3">
        <v>52</v>
      </c>
      <c r="B54" s="4" t="s">
        <v>28</v>
      </c>
      <c r="C54" s="4">
        <v>2018</v>
      </c>
      <c r="D54" s="4" t="s">
        <v>75</v>
      </c>
      <c r="E54" s="4">
        <f>4.92</f>
        <v>4.92</v>
      </c>
      <c r="F54" s="4">
        <f>0.83</f>
        <v>0.83</v>
      </c>
      <c r="G54" s="4">
        <f>1.49</f>
        <v>1.49</v>
      </c>
      <c r="H54" s="4">
        <f>1.28</f>
        <v>1.28</v>
      </c>
      <c r="I54" s="4">
        <f>10.71</f>
        <v>10.71</v>
      </c>
      <c r="J54" s="4">
        <f>45.75</f>
        <v>45.75</v>
      </c>
      <c r="K54" s="4">
        <f>17.09</f>
        <v>17.09</v>
      </c>
      <c r="L54" s="4">
        <f>42</f>
        <v>42</v>
      </c>
      <c r="M54" s="4" t="s">
        <v>75</v>
      </c>
      <c r="N54" s="4">
        <v>5.8894715611133519E-2</v>
      </c>
      <c r="O54" s="4">
        <v>-0.20411456232351755</v>
      </c>
      <c r="P54" s="4">
        <v>0.19685356998789835</v>
      </c>
    </row>
    <row r="55" spans="1:16" x14ac:dyDescent="0.3">
      <c r="A55" s="3">
        <v>53</v>
      </c>
      <c r="B55" s="4" t="s">
        <v>28</v>
      </c>
      <c r="C55" s="4">
        <v>2019</v>
      </c>
      <c r="D55" s="4" t="s">
        <v>75</v>
      </c>
      <c r="E55" s="4">
        <f>3.09</f>
        <v>3.09</v>
      </c>
      <c r="F55" s="4">
        <f>0.55</f>
        <v>0.55000000000000004</v>
      </c>
      <c r="G55" s="4">
        <f>2.13</f>
        <v>2.13</v>
      </c>
      <c r="H55" s="4">
        <f>1.84</f>
        <v>1.84</v>
      </c>
      <c r="I55" s="4">
        <f>13.38</f>
        <v>13.38</v>
      </c>
      <c r="J55" s="4">
        <f>29.02</f>
        <v>29.02</v>
      </c>
      <c r="K55" s="4">
        <f>14.17</f>
        <v>14.17</v>
      </c>
      <c r="L55" s="4">
        <f>39.92</f>
        <v>39.92</v>
      </c>
      <c r="M55" s="4" t="s">
        <v>75</v>
      </c>
      <c r="N55" s="4">
        <v>-0.1615347018572825</v>
      </c>
      <c r="O55" s="4">
        <v>-0.15933528836754643</v>
      </c>
      <c r="P55" s="4">
        <v>0.32795698924731181</v>
      </c>
    </row>
    <row r="56" spans="1:16" x14ac:dyDescent="0.3">
      <c r="A56" s="3">
        <v>54</v>
      </c>
      <c r="B56" s="4" t="s">
        <v>28</v>
      </c>
      <c r="C56" s="4">
        <v>2020</v>
      </c>
      <c r="D56" s="4" t="s">
        <v>75</v>
      </c>
      <c r="E56" s="4">
        <f>2.07</f>
        <v>2.0699999999999998</v>
      </c>
      <c r="F56" s="4">
        <f>0.32</f>
        <v>0.32</v>
      </c>
      <c r="G56" s="4">
        <f>2.06</f>
        <v>2.06</v>
      </c>
      <c r="H56" s="4">
        <f>1.73</f>
        <v>1.73</v>
      </c>
      <c r="I56" s="4">
        <f>13.28</f>
        <v>13.28</v>
      </c>
      <c r="J56" s="4">
        <f>16</f>
        <v>16</v>
      </c>
      <c r="K56" s="4">
        <f>8.69</f>
        <v>8.69</v>
      </c>
      <c r="L56" s="4">
        <f>34.95</f>
        <v>34.950000000000003</v>
      </c>
      <c r="M56" s="4" t="s">
        <v>75</v>
      </c>
      <c r="N56" s="4">
        <v>0.31111793611793614</v>
      </c>
      <c r="O56" s="4">
        <v>-0.12592137592137592</v>
      </c>
      <c r="P56" s="4">
        <v>5.9275184275184273E-2</v>
      </c>
    </row>
    <row r="57" spans="1:16" x14ac:dyDescent="0.3">
      <c r="A57" s="3">
        <v>55</v>
      </c>
      <c r="B57" s="4" t="s">
        <v>28</v>
      </c>
      <c r="C57" s="4">
        <v>2021</v>
      </c>
      <c r="D57" s="4">
        <v>28.62</v>
      </c>
      <c r="E57" s="4">
        <f>2.68</f>
        <v>2.68</v>
      </c>
      <c r="F57" s="4">
        <f>0.33</f>
        <v>0.33</v>
      </c>
      <c r="G57" s="4">
        <f>2.01</f>
        <v>2.0099999999999998</v>
      </c>
      <c r="H57" s="4">
        <f>1.74</f>
        <v>1.74</v>
      </c>
      <c r="I57" s="4">
        <f>14.57</f>
        <v>14.57</v>
      </c>
      <c r="J57" s="4">
        <f>7.92</f>
        <v>7.92</v>
      </c>
      <c r="K57" s="4">
        <f>4.11</f>
        <v>4.1100000000000003</v>
      </c>
      <c r="L57" s="4">
        <f>20.18</f>
        <v>20.18</v>
      </c>
      <c r="M57" s="4">
        <f>24.8</f>
        <v>24.8</v>
      </c>
      <c r="N57" s="4">
        <v>-0.20018302447952413</v>
      </c>
      <c r="O57" s="4">
        <v>-2.9741477922672156E-2</v>
      </c>
      <c r="P57" s="4">
        <v>0.34134065431251431</v>
      </c>
    </row>
    <row r="58" spans="1:16" x14ac:dyDescent="0.3">
      <c r="A58" s="3">
        <v>56</v>
      </c>
      <c r="B58" s="4" t="s">
        <v>29</v>
      </c>
      <c r="C58" s="4">
        <v>2018</v>
      </c>
      <c r="D58" s="4">
        <v>-50.9</v>
      </c>
      <c r="E58" s="4">
        <f>7.27</f>
        <v>7.27</v>
      </c>
      <c r="F58" s="4">
        <f>0.96</f>
        <v>0.96</v>
      </c>
      <c r="G58" s="4">
        <f>3.77</f>
        <v>3.77</v>
      </c>
      <c r="H58" s="4">
        <f>2.14</f>
        <v>2.14</v>
      </c>
      <c r="I58" s="4">
        <f>2.89</f>
        <v>2.89</v>
      </c>
      <c r="J58" s="4">
        <f>5.31</f>
        <v>5.31</v>
      </c>
      <c r="K58" s="4">
        <f>4.69</f>
        <v>4.6900000000000004</v>
      </c>
      <c r="L58" s="4">
        <f>4.9</f>
        <v>4.9000000000000004</v>
      </c>
      <c r="M58" s="4">
        <f>4.42</f>
        <v>4.42</v>
      </c>
      <c r="N58" s="4">
        <v>-0.6732851985559567</v>
      </c>
      <c r="O58" s="4">
        <v>0.11371841155234658</v>
      </c>
      <c r="P58" s="4">
        <v>0.53790613718411551</v>
      </c>
    </row>
    <row r="59" spans="1:16" x14ac:dyDescent="0.3">
      <c r="A59" s="3">
        <v>57</v>
      </c>
      <c r="B59" s="4" t="s">
        <v>29</v>
      </c>
      <c r="C59" s="4">
        <v>2019</v>
      </c>
      <c r="D59" s="4">
        <v>-15.7</v>
      </c>
      <c r="E59" s="4">
        <f>4.94</f>
        <v>4.9400000000000004</v>
      </c>
      <c r="F59" s="4">
        <f>0.73</f>
        <v>0.73</v>
      </c>
      <c r="G59" s="4">
        <f>3.27</f>
        <v>3.27</v>
      </c>
      <c r="H59" s="4">
        <f>1.81</f>
        <v>1.81</v>
      </c>
      <c r="I59" s="4">
        <f>1.66</f>
        <v>1.66</v>
      </c>
      <c r="J59" s="4">
        <f>2.6</f>
        <v>2.6</v>
      </c>
      <c r="K59" s="4">
        <f>2.25</f>
        <v>2.25</v>
      </c>
      <c r="L59" s="4">
        <f>3.12</f>
        <v>3.12</v>
      </c>
      <c r="M59" s="4">
        <f>8.69</f>
        <v>8.69</v>
      </c>
      <c r="N59" s="4">
        <v>1.5384615384615385E-2</v>
      </c>
      <c r="O59" s="4">
        <v>-5.4700854700854701E-2</v>
      </c>
      <c r="P59" s="4">
        <v>4.957264957264957E-2</v>
      </c>
    </row>
    <row r="60" spans="1:16" x14ac:dyDescent="0.3">
      <c r="A60" s="3">
        <v>58</v>
      </c>
      <c r="B60" s="4" t="s">
        <v>29</v>
      </c>
      <c r="C60" s="4">
        <v>2020</v>
      </c>
      <c r="D60" s="4">
        <v>244.3</v>
      </c>
      <c r="E60" s="4">
        <f>5.11</f>
        <v>5.1100000000000003</v>
      </c>
      <c r="F60" s="4">
        <f>0.82</f>
        <v>0.82</v>
      </c>
      <c r="G60" s="4">
        <f>2.18</f>
        <v>2.1800000000000002</v>
      </c>
      <c r="H60" s="4">
        <f>1.32</f>
        <v>1.32</v>
      </c>
      <c r="I60" s="4">
        <f>0.35</f>
        <v>0.35</v>
      </c>
      <c r="J60" s="4">
        <f>2.62</f>
        <v>2.62</v>
      </c>
      <c r="K60" s="4">
        <f>2.05</f>
        <v>2.0499999999999998</v>
      </c>
      <c r="L60" s="4">
        <f>2.52</f>
        <v>2.52</v>
      </c>
      <c r="M60" s="4">
        <f>28.1</f>
        <v>28.1</v>
      </c>
      <c r="N60" s="4">
        <v>6.9010416666666671E-2</v>
      </c>
      <c r="O60" s="4">
        <v>-5.078125E-2</v>
      </c>
      <c r="P60" s="4">
        <v>-1.171875E-2</v>
      </c>
    </row>
    <row r="61" spans="1:16" x14ac:dyDescent="0.3">
      <c r="A61" s="3">
        <v>59</v>
      </c>
      <c r="B61" s="4" t="s">
        <v>29</v>
      </c>
      <c r="C61" s="4">
        <v>2021</v>
      </c>
      <c r="D61" s="4">
        <v>166</v>
      </c>
      <c r="E61" s="4">
        <f>6.86</f>
        <v>6.86</v>
      </c>
      <c r="F61" s="4">
        <f>0.63</f>
        <v>0.63</v>
      </c>
      <c r="G61" s="4">
        <f>3.96</f>
        <v>3.96</v>
      </c>
      <c r="H61" s="4">
        <f>3.34</f>
        <v>3.34</v>
      </c>
      <c r="I61" s="4">
        <f>0.13</f>
        <v>0.13</v>
      </c>
      <c r="J61" s="4">
        <f>2.03</f>
        <v>2.0299999999999998</v>
      </c>
      <c r="K61" s="4">
        <f>1.53</f>
        <v>1.53</v>
      </c>
      <c r="L61" s="4">
        <f>2.46</f>
        <v>2.46</v>
      </c>
      <c r="M61" s="4">
        <f>92.49</f>
        <v>92.49</v>
      </c>
      <c r="N61" s="4">
        <v>-0.3512396694214876</v>
      </c>
      <c r="O61" s="4">
        <v>-6.7148760330578511E-2</v>
      </c>
      <c r="P61" s="4">
        <v>0.46384297520661155</v>
      </c>
    </row>
    <row r="62" spans="1:16" x14ac:dyDescent="0.3">
      <c r="A62" s="3">
        <v>60</v>
      </c>
      <c r="B62" s="4" t="s">
        <v>30</v>
      </c>
      <c r="C62" s="4">
        <v>2018</v>
      </c>
      <c r="D62" s="4">
        <v>-38.6</v>
      </c>
      <c r="E62" s="4">
        <f>10.01</f>
        <v>10.01</v>
      </c>
      <c r="F62" s="4">
        <f>0.43</f>
        <v>0.43</v>
      </c>
      <c r="G62" s="4">
        <f>0.34</f>
        <v>0.34</v>
      </c>
      <c r="H62" s="4">
        <f>0.28</f>
        <v>0.28000000000000003</v>
      </c>
      <c r="I62" s="4">
        <f>23.56</f>
        <v>23.56</v>
      </c>
      <c r="J62" s="4">
        <f>-6.23</f>
        <v>-6.23</v>
      </c>
      <c r="K62" s="4">
        <f>-3.8</f>
        <v>-3.8</v>
      </c>
      <c r="L62" s="4">
        <f>-8.93</f>
        <v>-8.93</v>
      </c>
      <c r="M62" s="4">
        <f>-17.72</f>
        <v>-17.72</v>
      </c>
      <c r="N62" s="4">
        <v>2.5125628140703518E-3</v>
      </c>
      <c r="O62" s="4">
        <v>2.2613065326633167E-2</v>
      </c>
      <c r="P62" s="4">
        <v>2.5125628140703519E-2</v>
      </c>
    </row>
    <row r="63" spans="1:16" x14ac:dyDescent="0.3">
      <c r="A63" s="3">
        <v>61</v>
      </c>
      <c r="B63" s="4" t="s">
        <v>30</v>
      </c>
      <c r="C63" s="4">
        <v>2019</v>
      </c>
      <c r="D63" s="4">
        <v>2.8</v>
      </c>
      <c r="E63" s="4">
        <f>3.2</f>
        <v>3.2</v>
      </c>
      <c r="F63" s="4">
        <f>0.47</f>
        <v>0.47</v>
      </c>
      <c r="G63" s="4">
        <f>1.01</f>
        <v>1.01</v>
      </c>
      <c r="H63" s="4">
        <f>0.95</f>
        <v>0.95</v>
      </c>
      <c r="I63" s="4">
        <f>17.58</f>
        <v>17.579999999999998</v>
      </c>
      <c r="J63" s="4">
        <f>11.28</f>
        <v>11.28</v>
      </c>
      <c r="K63" s="4">
        <f>6.94</f>
        <v>6.94</v>
      </c>
      <c r="L63" s="4">
        <f>14.75</f>
        <v>14.75</v>
      </c>
      <c r="M63" s="4">
        <f>9.78</f>
        <v>9.7799999999999994</v>
      </c>
      <c r="N63" s="4">
        <v>-0.11883408071748879</v>
      </c>
      <c r="O63" s="4">
        <v>0.1210762331838565</v>
      </c>
      <c r="P63" s="4">
        <v>-5.1569506726457402E-2</v>
      </c>
    </row>
    <row r="64" spans="1:16" x14ac:dyDescent="0.3">
      <c r="A64" s="3">
        <v>62</v>
      </c>
      <c r="B64" s="4" t="s">
        <v>30</v>
      </c>
      <c r="C64" s="4">
        <v>2020</v>
      </c>
      <c r="D64" s="4">
        <v>-19.5</v>
      </c>
      <c r="E64" s="4">
        <f>0.79</f>
        <v>0.79</v>
      </c>
      <c r="F64" s="4">
        <f>0.2</f>
        <v>0.2</v>
      </c>
      <c r="G64" s="4">
        <f>1</f>
        <v>1</v>
      </c>
      <c r="H64" s="4">
        <f>0.96</f>
        <v>0.96</v>
      </c>
      <c r="I64" s="4">
        <f>15.64</f>
        <v>15.64</v>
      </c>
      <c r="J64" s="4">
        <f>-4.34</f>
        <v>-4.34</v>
      </c>
      <c r="K64" s="4">
        <f>-2.68</f>
        <v>-2.68</v>
      </c>
      <c r="L64" s="4">
        <f>-13.65</f>
        <v>-13.65</v>
      </c>
      <c r="M64" s="4">
        <f>-19.94</f>
        <v>-19.940000000000001</v>
      </c>
      <c r="N64" s="4">
        <v>5.263157894736842E-3</v>
      </c>
      <c r="O64" s="4">
        <v>9.4736842105263161E-2</v>
      </c>
      <c r="P64" s="4">
        <v>-0.1</v>
      </c>
    </row>
    <row r="65" spans="1:16" x14ac:dyDescent="0.3">
      <c r="A65" s="3">
        <v>63</v>
      </c>
      <c r="B65" s="4" t="s">
        <v>30</v>
      </c>
      <c r="C65" s="4">
        <v>2021</v>
      </c>
      <c r="D65" s="4">
        <v>22.8</v>
      </c>
      <c r="E65" s="4">
        <f>0.75</f>
        <v>0.75</v>
      </c>
      <c r="F65" s="4">
        <f>0.21</f>
        <v>0.21</v>
      </c>
      <c r="G65" s="4">
        <f>3.55</f>
        <v>3.55</v>
      </c>
      <c r="H65" s="4">
        <f>3.55</f>
        <v>3.55</v>
      </c>
      <c r="I65" s="4" t="s">
        <v>75</v>
      </c>
      <c r="J65" s="4">
        <f>1.59</f>
        <v>1.59</v>
      </c>
      <c r="K65" s="4">
        <f>1.09</f>
        <v>1.0900000000000001</v>
      </c>
      <c r="L65" s="4">
        <f>5.09</f>
        <v>5.09</v>
      </c>
      <c r="M65" s="4">
        <f>64.99</f>
        <v>64.989999999999995</v>
      </c>
      <c r="N65" s="4">
        <v>5.3763440860215055E-2</v>
      </c>
      <c r="O65" s="4">
        <v>0.43548387096774194</v>
      </c>
      <c r="P65" s="4">
        <v>-0.27956989247311825</v>
      </c>
    </row>
    <row r="66" spans="1:16" x14ac:dyDescent="0.3">
      <c r="A66" s="3">
        <v>64</v>
      </c>
      <c r="B66" s="4" t="s">
        <v>31</v>
      </c>
      <c r="C66" s="4">
        <v>2018</v>
      </c>
      <c r="D66" s="4">
        <v>155.6</v>
      </c>
      <c r="E66" s="4">
        <f>3.44</f>
        <v>3.44</v>
      </c>
      <c r="F66" s="4">
        <f>0.39</f>
        <v>0.39</v>
      </c>
      <c r="G66" s="4">
        <f>1.43</f>
        <v>1.43</v>
      </c>
      <c r="H66" s="4">
        <f>0.79</f>
        <v>0.79</v>
      </c>
      <c r="I66" s="4">
        <f>14.15</f>
        <v>14.15</v>
      </c>
      <c r="J66" s="4">
        <f>41.15</f>
        <v>41.15</v>
      </c>
      <c r="K66" s="4">
        <f>17.13</f>
        <v>17.13</v>
      </c>
      <c r="L66" s="4">
        <f>43.66</f>
        <v>43.66</v>
      </c>
      <c r="M66" s="4">
        <f>6.22</f>
        <v>6.22</v>
      </c>
      <c r="N66" s="4">
        <v>-0.4375</v>
      </c>
      <c r="O66" s="4">
        <v>-1.1363636363636364E-2</v>
      </c>
      <c r="P66" s="4">
        <v>0.16477272727272727</v>
      </c>
    </row>
    <row r="67" spans="1:16" x14ac:dyDescent="0.3">
      <c r="A67" s="3">
        <v>65</v>
      </c>
      <c r="B67" s="4" t="s">
        <v>31</v>
      </c>
      <c r="C67" s="4">
        <v>2019</v>
      </c>
      <c r="D67" s="4">
        <v>25.3</v>
      </c>
      <c r="E67" s="4">
        <f>6.94</f>
        <v>6.94</v>
      </c>
      <c r="F67" s="4">
        <f>0.59</f>
        <v>0.59</v>
      </c>
      <c r="G67" s="4">
        <f>2.41</f>
        <v>2.41</v>
      </c>
      <c r="H67" s="4">
        <f>1</f>
        <v>1</v>
      </c>
      <c r="I67" s="4">
        <f>0.49</f>
        <v>0.49</v>
      </c>
      <c r="J67" s="4">
        <f>33.95</f>
        <v>33.950000000000003</v>
      </c>
      <c r="K67" s="4">
        <f>16.75</f>
        <v>16.75</v>
      </c>
      <c r="L67" s="4">
        <f>28.32</f>
        <v>28.32</v>
      </c>
      <c r="M67" s="4">
        <f>6.49</f>
        <v>6.49</v>
      </c>
      <c r="N67" s="4">
        <v>0.35670731707317072</v>
      </c>
      <c r="O67" s="4">
        <v>-0.29268292682926828</v>
      </c>
      <c r="P67" s="4">
        <v>-9.1463414634146339E-2</v>
      </c>
    </row>
    <row r="68" spans="1:16" x14ac:dyDescent="0.3">
      <c r="A68" s="3">
        <v>66</v>
      </c>
      <c r="B68" s="4" t="s">
        <v>31</v>
      </c>
      <c r="C68" s="4">
        <v>2020</v>
      </c>
      <c r="D68" s="4">
        <v>20.9</v>
      </c>
      <c r="E68" s="4">
        <f>8.65</f>
        <v>8.65</v>
      </c>
      <c r="F68" s="4">
        <f>0.35</f>
        <v>0.35</v>
      </c>
      <c r="G68" s="4">
        <f>2.27</f>
        <v>2.27</v>
      </c>
      <c r="H68" s="4">
        <f>1.55</f>
        <v>1.55</v>
      </c>
      <c r="I68" s="4">
        <f>9.63</f>
        <v>9.6300000000000008</v>
      </c>
      <c r="J68" s="4">
        <f>14.13</f>
        <v>14.13</v>
      </c>
      <c r="K68" s="4">
        <f>9.67</f>
        <v>9.67</v>
      </c>
      <c r="L68" s="4">
        <f>27.33</f>
        <v>27.33</v>
      </c>
      <c r="M68" s="4">
        <f>11.79</f>
        <v>11.79</v>
      </c>
      <c r="N68" s="4">
        <v>9.0909090909090912E-2</v>
      </c>
      <c r="O68" s="4">
        <v>-0.22727272727272727</v>
      </c>
      <c r="P68" s="4">
        <v>0.19318181818181818</v>
      </c>
    </row>
    <row r="69" spans="1:16" x14ac:dyDescent="0.3">
      <c r="A69" s="3">
        <v>67</v>
      </c>
      <c r="B69" s="4" t="s">
        <v>31</v>
      </c>
      <c r="C69" s="4">
        <v>2021</v>
      </c>
      <c r="D69" s="4">
        <v>49.6</v>
      </c>
      <c r="E69" s="4">
        <f>9.63</f>
        <v>9.6300000000000008</v>
      </c>
      <c r="F69" s="4">
        <f>0.33</f>
        <v>0.33</v>
      </c>
      <c r="G69" s="4">
        <f>2.32</f>
        <v>2.3199999999999998</v>
      </c>
      <c r="H69" s="4">
        <f>1.9</f>
        <v>1.9</v>
      </c>
      <c r="I69" s="4">
        <f>19.87</f>
        <v>19.87</v>
      </c>
      <c r="J69" s="4">
        <f>10.32</f>
        <v>10.32</v>
      </c>
      <c r="K69" s="4">
        <f>6.72</f>
        <v>6.72</v>
      </c>
      <c r="L69" s="4">
        <f>20.18</f>
        <v>20.18</v>
      </c>
      <c r="M69" s="4">
        <f>27.28</f>
        <v>27.28</v>
      </c>
      <c r="N69" s="4">
        <v>-0.23979591836734693</v>
      </c>
      <c r="O69" s="4">
        <v>-2.0408163265306121E-2</v>
      </c>
      <c r="P69" s="4">
        <v>0.22959183673469388</v>
      </c>
    </row>
    <row r="70" spans="1:16" x14ac:dyDescent="0.3">
      <c r="A70" s="3">
        <v>68</v>
      </c>
      <c r="B70" s="4" t="s">
        <v>32</v>
      </c>
      <c r="C70" s="4">
        <v>2018</v>
      </c>
      <c r="D70" s="4">
        <v>-26.4</v>
      </c>
      <c r="E70" s="4">
        <f>3.4</f>
        <v>3.4</v>
      </c>
      <c r="F70" s="4">
        <f>0.48</f>
        <v>0.48</v>
      </c>
      <c r="G70" s="4">
        <f>1.18</f>
        <v>1.18</v>
      </c>
      <c r="H70" s="4">
        <f>1.04</f>
        <v>1.04</v>
      </c>
      <c r="I70" s="4">
        <f>56.69</f>
        <v>56.69</v>
      </c>
      <c r="J70" s="4">
        <f>5.24</f>
        <v>5.24</v>
      </c>
      <c r="K70" s="4">
        <f>1.89</f>
        <v>1.89</v>
      </c>
      <c r="L70" s="4">
        <f>4.02</f>
        <v>4.0199999999999996</v>
      </c>
      <c r="M70" s="4">
        <f>7.68</f>
        <v>7.68</v>
      </c>
      <c r="N70" s="4">
        <v>0.1678595206391478</v>
      </c>
      <c r="O70" s="4">
        <v>-0.22802929427430094</v>
      </c>
      <c r="P70" s="4">
        <v>4.9184420772303596E-2</v>
      </c>
    </row>
    <row r="71" spans="1:16" x14ac:dyDescent="0.3">
      <c r="A71" s="3">
        <v>69</v>
      </c>
      <c r="B71" s="4" t="s">
        <v>32</v>
      </c>
      <c r="C71" s="4">
        <v>2019</v>
      </c>
      <c r="D71" s="4">
        <v>-10.5</v>
      </c>
      <c r="E71" s="4">
        <f>3.87</f>
        <v>3.87</v>
      </c>
      <c r="F71" s="4">
        <f>0.55</f>
        <v>0.55000000000000004</v>
      </c>
      <c r="G71" s="4">
        <f>1.14</f>
        <v>1.1399999999999999</v>
      </c>
      <c r="H71" s="4">
        <f>1.04</f>
        <v>1.04</v>
      </c>
      <c r="I71" s="4">
        <f>55.51</f>
        <v>55.51</v>
      </c>
      <c r="J71" s="4">
        <f>2.92</f>
        <v>2.92</v>
      </c>
      <c r="K71" s="4">
        <f>1.04</f>
        <v>1.04</v>
      </c>
      <c r="L71" s="4">
        <f>4.41</f>
        <v>4.41</v>
      </c>
      <c r="M71" s="4">
        <f>10.83</f>
        <v>10.83</v>
      </c>
      <c r="N71" s="4">
        <v>6.020843797086891E-2</v>
      </c>
      <c r="O71" s="4">
        <v>-0.19519085886489201</v>
      </c>
      <c r="P71" s="4">
        <v>0.15369161225514816</v>
      </c>
    </row>
    <row r="72" spans="1:16" x14ac:dyDescent="0.3">
      <c r="A72" s="3">
        <v>70</v>
      </c>
      <c r="B72" s="4" t="s">
        <v>32</v>
      </c>
      <c r="C72" s="4">
        <v>2020</v>
      </c>
      <c r="D72" s="4">
        <v>-1.1000000000000001</v>
      </c>
      <c r="E72" s="4">
        <f>4.22</f>
        <v>4.22</v>
      </c>
      <c r="F72" s="4">
        <f>0.39</f>
        <v>0.39</v>
      </c>
      <c r="G72" s="4">
        <f>1.11</f>
        <v>1.1100000000000001</v>
      </c>
      <c r="H72" s="4">
        <f>0.96</f>
        <v>0.96</v>
      </c>
      <c r="I72" s="4">
        <f>48.56</f>
        <v>48.56</v>
      </c>
      <c r="J72" s="4">
        <f>1.28</f>
        <v>1.28</v>
      </c>
      <c r="K72" s="4">
        <f>0.46</f>
        <v>0.46</v>
      </c>
      <c r="L72" s="4">
        <f>2.28</f>
        <v>2.2799999999999998</v>
      </c>
      <c r="M72" s="4">
        <f>20.2</f>
        <v>20.2</v>
      </c>
      <c r="N72" s="4">
        <v>3.006961931565694E-2</v>
      </c>
      <c r="O72" s="4">
        <v>-6.961931565693971E-3</v>
      </c>
      <c r="P72" s="4">
        <v>1.9997037475929492E-2</v>
      </c>
    </row>
    <row r="73" spans="1:16" x14ac:dyDescent="0.3">
      <c r="A73" s="3">
        <v>71</v>
      </c>
      <c r="B73" s="4" t="s">
        <v>32</v>
      </c>
      <c r="C73" s="4">
        <v>2021</v>
      </c>
      <c r="D73" s="4">
        <v>295.60000000000002</v>
      </c>
      <c r="E73" s="4">
        <f>2.75</f>
        <v>2.75</v>
      </c>
      <c r="F73" s="4">
        <f>0.19</f>
        <v>0.19</v>
      </c>
      <c r="G73" s="4">
        <f>1.11</f>
        <v>1.1100000000000001</v>
      </c>
      <c r="H73" s="4">
        <f>0.97</f>
        <v>0.97</v>
      </c>
      <c r="I73" s="4">
        <f>63.82</f>
        <v>63.82</v>
      </c>
      <c r="J73" s="4">
        <f>0.73</f>
        <v>0.73</v>
      </c>
      <c r="K73" s="4">
        <f>0.24</f>
        <v>0.24</v>
      </c>
      <c r="L73" s="4">
        <f>1.23</f>
        <v>1.23</v>
      </c>
      <c r="M73" s="4">
        <f>151.3</f>
        <v>151.30000000000001</v>
      </c>
      <c r="N73" s="4">
        <v>0.17291485033420517</v>
      </c>
      <c r="O73" s="4">
        <v>-0.60360360360360366</v>
      </c>
      <c r="P73" s="4">
        <v>0.27259517582098225</v>
      </c>
    </row>
    <row r="74" spans="1:16" x14ac:dyDescent="0.3">
      <c r="A74" s="3">
        <v>72</v>
      </c>
      <c r="B74" s="4" t="s">
        <v>33</v>
      </c>
      <c r="C74" s="4">
        <v>2018</v>
      </c>
      <c r="D74" s="4">
        <v>-42.8</v>
      </c>
      <c r="E74" s="4">
        <f>7.98</f>
        <v>7.98</v>
      </c>
      <c r="F74" s="4">
        <f>0.15</f>
        <v>0.15</v>
      </c>
      <c r="G74" s="4">
        <f>6.16</f>
        <v>6.16</v>
      </c>
      <c r="H74" s="4">
        <f>6.16</f>
        <v>6.16</v>
      </c>
      <c r="I74" s="4">
        <f>0.08</f>
        <v>0.08</v>
      </c>
      <c r="J74" s="4">
        <f>1.08</f>
        <v>1.08</v>
      </c>
      <c r="K74" s="4">
        <f>0.9</f>
        <v>0.9</v>
      </c>
      <c r="L74" s="4">
        <f>6.06</f>
        <v>6.06</v>
      </c>
      <c r="M74" s="4">
        <f>43.27</f>
        <v>43.27</v>
      </c>
      <c r="N74" s="4">
        <v>0.53475935828877008</v>
      </c>
      <c r="O74" s="4">
        <v>-0.33689839572192515</v>
      </c>
      <c r="P74" s="4">
        <v>-0.20320855614973263</v>
      </c>
    </row>
    <row r="75" spans="1:16" x14ac:dyDescent="0.3">
      <c r="A75" s="3">
        <v>73</v>
      </c>
      <c r="B75" s="4" t="s">
        <v>33</v>
      </c>
      <c r="C75" s="4">
        <v>2019</v>
      </c>
      <c r="D75" s="4">
        <v>-19.8</v>
      </c>
      <c r="E75" s="4">
        <f>2.39</f>
        <v>2.39</v>
      </c>
      <c r="F75" s="4">
        <f>0.14</f>
        <v>0.14000000000000001</v>
      </c>
      <c r="G75" s="4">
        <f>14.19</f>
        <v>14.19</v>
      </c>
      <c r="H75" s="4">
        <f>14.19</f>
        <v>14.19</v>
      </c>
      <c r="I75" s="4">
        <f>7.29</f>
        <v>7.29</v>
      </c>
      <c r="J75" s="4">
        <f>0.64</f>
        <v>0.64</v>
      </c>
      <c r="K75" s="4">
        <f>0.58</f>
        <v>0.57999999999999996</v>
      </c>
      <c r="L75" s="4">
        <f>4.1</f>
        <v>4.0999999999999996</v>
      </c>
      <c r="M75" s="4">
        <f>59.14</f>
        <v>59.14</v>
      </c>
      <c r="N75" s="4">
        <v>0.2822085889570552</v>
      </c>
      <c r="O75" s="4">
        <v>-4.2944785276073622E-2</v>
      </c>
      <c r="P75" s="4">
        <v>-0.26380368098159507</v>
      </c>
    </row>
    <row r="76" spans="1:16" x14ac:dyDescent="0.3">
      <c r="A76" s="3">
        <v>74</v>
      </c>
      <c r="B76" s="4" t="s">
        <v>33</v>
      </c>
      <c r="C76" s="4">
        <v>2020</v>
      </c>
      <c r="D76" s="4">
        <v>47.9</v>
      </c>
      <c r="E76" s="4">
        <f>2.91</f>
        <v>2.91</v>
      </c>
      <c r="F76" s="4">
        <f>0.13</f>
        <v>0.13</v>
      </c>
      <c r="G76" s="4">
        <f>1.59</f>
        <v>1.59</v>
      </c>
      <c r="H76" s="4">
        <f>1.59</f>
        <v>1.59</v>
      </c>
      <c r="I76" s="4">
        <f>20.44</f>
        <v>20.440000000000001</v>
      </c>
      <c r="J76" s="4">
        <f>0.19</f>
        <v>0.19</v>
      </c>
      <c r="K76" s="4">
        <f>0.17</f>
        <v>0.17</v>
      </c>
      <c r="L76" s="4">
        <f>1.24</f>
        <v>1.24</v>
      </c>
      <c r="M76" s="4">
        <f>287.95</f>
        <v>287.95</v>
      </c>
      <c r="N76" s="4">
        <v>0.40251572327044027</v>
      </c>
      <c r="O76" s="4">
        <v>-1.0566037735849056</v>
      </c>
      <c r="P76" s="4">
        <v>0.74213836477987416</v>
      </c>
    </row>
    <row r="77" spans="1:16" x14ac:dyDescent="0.3">
      <c r="A77" s="3">
        <v>75</v>
      </c>
      <c r="B77" s="4" t="s">
        <v>33</v>
      </c>
      <c r="C77" s="4">
        <v>2021</v>
      </c>
      <c r="D77" s="4">
        <v>146.1</v>
      </c>
      <c r="E77" s="4">
        <f>3.85</f>
        <v>3.85</v>
      </c>
      <c r="F77" s="4">
        <f>0.03</f>
        <v>0.03</v>
      </c>
      <c r="G77" s="4">
        <f>2.68</f>
        <v>2.68</v>
      </c>
      <c r="H77" s="4">
        <f>2.68</f>
        <v>2.68</v>
      </c>
      <c r="I77" s="4">
        <f>15.84</f>
        <v>15.84</v>
      </c>
      <c r="J77" s="4">
        <f>3.38</f>
        <v>3.38</v>
      </c>
      <c r="K77" s="4">
        <f>2.83</f>
        <v>2.83</v>
      </c>
      <c r="L77" s="4">
        <f>83.32</f>
        <v>83.32</v>
      </c>
      <c r="M77" s="4">
        <f>38.2</f>
        <v>38.200000000000003</v>
      </c>
      <c r="N77" s="4">
        <v>-0.13953488372093023</v>
      </c>
      <c r="O77" s="4">
        <v>1.0930232558139534</v>
      </c>
      <c r="P77" s="4">
        <v>-1</v>
      </c>
    </row>
    <row r="78" spans="1:16" x14ac:dyDescent="0.3">
      <c r="A78" s="3">
        <v>76</v>
      </c>
      <c r="B78" s="4" t="s">
        <v>34</v>
      </c>
      <c r="C78" s="4">
        <v>2018</v>
      </c>
      <c r="D78" s="4">
        <v>-17.100000000000001</v>
      </c>
      <c r="E78" s="4">
        <f>3.17</f>
        <v>3.17</v>
      </c>
      <c r="F78" s="4">
        <f>0.46</f>
        <v>0.46</v>
      </c>
      <c r="G78" s="4">
        <f>2.43</f>
        <v>2.4300000000000002</v>
      </c>
      <c r="H78" s="4">
        <f>1.22</f>
        <v>1.22</v>
      </c>
      <c r="I78" s="4">
        <f>75.45</f>
        <v>75.45</v>
      </c>
      <c r="J78" s="4">
        <f>13.78</f>
        <v>13.78</v>
      </c>
      <c r="K78" s="4">
        <f>6.66</f>
        <v>6.66</v>
      </c>
      <c r="L78" s="4">
        <f>14.82</f>
        <v>14.82</v>
      </c>
      <c r="M78" s="4">
        <f>6.35</f>
        <v>6.35</v>
      </c>
      <c r="N78" s="4">
        <v>-0.27793296089385477</v>
      </c>
      <c r="O78" s="4">
        <v>0.16061452513966482</v>
      </c>
      <c r="P78" s="4">
        <v>0.10335195530726257</v>
      </c>
    </row>
    <row r="79" spans="1:16" x14ac:dyDescent="0.3">
      <c r="A79" s="3">
        <v>77</v>
      </c>
      <c r="B79" s="4" t="s">
        <v>34</v>
      </c>
      <c r="C79" s="4">
        <v>2019</v>
      </c>
      <c r="D79" s="4">
        <v>56.4</v>
      </c>
      <c r="E79" s="4">
        <f>2.97</f>
        <v>2.97</v>
      </c>
      <c r="F79" s="4">
        <f>0.4</f>
        <v>0.4</v>
      </c>
      <c r="G79" s="4">
        <f>1.87</f>
        <v>1.87</v>
      </c>
      <c r="H79" s="4">
        <f>0.72</f>
        <v>0.72</v>
      </c>
      <c r="I79" s="4">
        <f>78.81</f>
        <v>78.81</v>
      </c>
      <c r="J79" s="4">
        <f>14.76</f>
        <v>14.76</v>
      </c>
      <c r="K79" s="4">
        <f>7.05</f>
        <v>7.05</v>
      </c>
      <c r="L79" s="4">
        <f>17.71</f>
        <v>17.71</v>
      </c>
      <c r="M79" s="4">
        <f>8.96</f>
        <v>8.9600000000000009</v>
      </c>
      <c r="N79" s="4">
        <v>9.9393939393939396E-2</v>
      </c>
      <c r="O79" s="4">
        <v>-0.50545454545454549</v>
      </c>
      <c r="P79" s="4">
        <v>0.37090909090909091</v>
      </c>
    </row>
    <row r="80" spans="1:16" x14ac:dyDescent="0.3">
      <c r="A80" s="3">
        <v>78</v>
      </c>
      <c r="B80" s="4" t="s">
        <v>34</v>
      </c>
      <c r="C80" s="4">
        <v>2020</v>
      </c>
      <c r="D80" s="4">
        <v>78.5</v>
      </c>
      <c r="E80" s="4">
        <f>2.36</f>
        <v>2.36</v>
      </c>
      <c r="F80" s="4">
        <f>0.29</f>
        <v>0.28999999999999998</v>
      </c>
      <c r="G80" s="4">
        <f>1.22</f>
        <v>1.22</v>
      </c>
      <c r="H80" s="4">
        <f>0.29</f>
        <v>0.28999999999999998</v>
      </c>
      <c r="I80" s="4">
        <f>88.83</f>
        <v>88.83</v>
      </c>
      <c r="J80" s="4">
        <f>20.02</f>
        <v>20.02</v>
      </c>
      <c r="K80" s="4">
        <f>7.94</f>
        <v>7.94</v>
      </c>
      <c r="L80" s="4">
        <f>27.57</f>
        <v>27.57</v>
      </c>
      <c r="M80" s="4">
        <f>10.02</f>
        <v>10.02</v>
      </c>
      <c r="N80" s="4">
        <v>0.32626619552414604</v>
      </c>
      <c r="O80" s="4">
        <v>-0.46525323910482919</v>
      </c>
      <c r="P80" s="4">
        <v>0.10954063604240283</v>
      </c>
    </row>
    <row r="81" spans="1:16" x14ac:dyDescent="0.3">
      <c r="A81" s="3">
        <v>79</v>
      </c>
      <c r="B81" s="4" t="s">
        <v>34</v>
      </c>
      <c r="C81" s="4">
        <v>2021</v>
      </c>
      <c r="D81" s="4">
        <v>221.4</v>
      </c>
      <c r="E81" s="4">
        <f>2.79</f>
        <v>2.79</v>
      </c>
      <c r="F81" s="4">
        <f>0.38</f>
        <v>0.38</v>
      </c>
      <c r="G81" s="4">
        <f>1.82</f>
        <v>1.82</v>
      </c>
      <c r="H81" s="4">
        <f>0.55</f>
        <v>0.55000000000000004</v>
      </c>
      <c r="I81" s="4">
        <f>90.52</f>
        <v>90.52</v>
      </c>
      <c r="J81" s="4">
        <f>23.56</f>
        <v>23.56</v>
      </c>
      <c r="K81" s="4">
        <f>8.7</f>
        <v>8.6999999999999993</v>
      </c>
      <c r="L81" s="4">
        <f>23.02</f>
        <v>23.02</v>
      </c>
      <c r="M81" s="4">
        <f>23.31</f>
        <v>23.31</v>
      </c>
      <c r="N81" s="4">
        <v>-0.21914893617021278</v>
      </c>
      <c r="O81" s="4">
        <v>-3.3333333333333333E-2</v>
      </c>
      <c r="P81" s="4">
        <v>0.27517730496453902</v>
      </c>
    </row>
    <row r="82" spans="1:16" x14ac:dyDescent="0.3">
      <c r="A82" s="3">
        <v>80</v>
      </c>
      <c r="B82" s="4" t="s">
        <v>35</v>
      </c>
      <c r="C82" s="4">
        <v>2018</v>
      </c>
      <c r="D82" s="4">
        <v>31.8</v>
      </c>
      <c r="E82" s="4">
        <f>4.98</f>
        <v>4.9800000000000004</v>
      </c>
      <c r="F82" s="4">
        <f>0.33</f>
        <v>0.33</v>
      </c>
      <c r="G82" s="4">
        <f>1.76</f>
        <v>1.76</v>
      </c>
      <c r="H82" s="4">
        <f>0.76</f>
        <v>0.76</v>
      </c>
      <c r="I82" s="4">
        <f>98.19</f>
        <v>98.19</v>
      </c>
      <c r="J82" s="4">
        <f>26.53</f>
        <v>26.53</v>
      </c>
      <c r="K82" s="4">
        <f>6.5</f>
        <v>6.5</v>
      </c>
      <c r="L82" s="4">
        <f>24.45</f>
        <v>24.45</v>
      </c>
      <c r="M82" s="4">
        <f>4.37</f>
        <v>4.37</v>
      </c>
      <c r="N82" s="4">
        <v>0.12290502793296089</v>
      </c>
      <c r="O82" s="4">
        <v>-0.44754810676598389</v>
      </c>
      <c r="P82" s="4">
        <v>0.22687771570453136</v>
      </c>
    </row>
    <row r="83" spans="1:16" x14ac:dyDescent="0.3">
      <c r="A83" s="3">
        <v>81</v>
      </c>
      <c r="B83" s="4" t="s">
        <v>35</v>
      </c>
      <c r="C83" s="4">
        <v>2019</v>
      </c>
      <c r="D83" s="4">
        <v>12.2</v>
      </c>
      <c r="E83" s="4">
        <f>5.86</f>
        <v>5.86</v>
      </c>
      <c r="F83" s="4">
        <f>0.35</f>
        <v>0.35</v>
      </c>
      <c r="G83" s="4">
        <f>1.03</f>
        <v>1.03</v>
      </c>
      <c r="H83" s="4">
        <f>0.44</f>
        <v>0.44</v>
      </c>
      <c r="I83" s="4">
        <f>177.44</f>
        <v>177.44</v>
      </c>
      <c r="J83" s="4">
        <f>31.21</f>
        <v>31.21</v>
      </c>
      <c r="K83" s="4">
        <f>7.47</f>
        <v>7.47</v>
      </c>
      <c r="L83" s="4">
        <f>25.72</f>
        <v>25.72</v>
      </c>
      <c r="M83" s="4">
        <f>3.46</f>
        <v>3.46</v>
      </c>
      <c r="N83" s="4">
        <v>0.17453373244301174</v>
      </c>
      <c r="O83" s="4">
        <v>-0.60211835137002068</v>
      </c>
      <c r="P83" s="4">
        <v>0.43472254202164401</v>
      </c>
    </row>
    <row r="84" spans="1:16" x14ac:dyDescent="0.3">
      <c r="A84" s="3">
        <v>82</v>
      </c>
      <c r="B84" s="4" t="s">
        <v>35</v>
      </c>
      <c r="C84" s="4">
        <v>2020</v>
      </c>
      <c r="D84" s="4">
        <v>69.400000000000006</v>
      </c>
      <c r="E84" s="4">
        <f>7.12</f>
        <v>7.12</v>
      </c>
      <c r="F84" s="4">
        <f>0.36</f>
        <v>0.36</v>
      </c>
      <c r="G84" s="4">
        <f>1.04</f>
        <v>1.04</v>
      </c>
      <c r="H84" s="4">
        <f>0.6</f>
        <v>0.6</v>
      </c>
      <c r="I84" s="4">
        <f>165.13</f>
        <v>165.13</v>
      </c>
      <c r="J84" s="4">
        <f>26.98</f>
        <v>26.98</v>
      </c>
      <c r="K84" s="4">
        <f>7.06</f>
        <v>7.06</v>
      </c>
      <c r="L84" s="4">
        <f>25.08</f>
        <v>25.08</v>
      </c>
      <c r="M84" s="4">
        <f>5.48</f>
        <v>5.48</v>
      </c>
      <c r="N84" s="4">
        <v>0.28525705141028207</v>
      </c>
      <c r="O84" s="4">
        <v>-0.41108221644328868</v>
      </c>
      <c r="P84" s="4">
        <v>0.13762752550510102</v>
      </c>
    </row>
    <row r="85" spans="1:16" x14ac:dyDescent="0.3">
      <c r="A85" s="3">
        <v>83</v>
      </c>
      <c r="B85" s="4" t="s">
        <v>35</v>
      </c>
      <c r="C85" s="4">
        <v>2021</v>
      </c>
      <c r="D85" s="4">
        <v>108.7</v>
      </c>
      <c r="E85" s="4">
        <f>4.1</f>
        <v>4.0999999999999996</v>
      </c>
      <c r="F85" s="4">
        <f>0.25</f>
        <v>0.25</v>
      </c>
      <c r="G85" s="4">
        <f>0.96</f>
        <v>0.96</v>
      </c>
      <c r="H85" s="4">
        <f>0.64</f>
        <v>0.64</v>
      </c>
      <c r="I85" s="4">
        <f>136.82</f>
        <v>136.82</v>
      </c>
      <c r="J85" s="4">
        <f>23.41</f>
        <v>23.41</v>
      </c>
      <c r="K85" s="4">
        <f>7.37</f>
        <v>7.37</v>
      </c>
      <c r="L85" s="4">
        <f>35.57</f>
        <v>35.57</v>
      </c>
      <c r="M85" s="4">
        <f>9.67</f>
        <v>9.67</v>
      </c>
      <c r="N85" s="4">
        <v>0.27977766013763894</v>
      </c>
      <c r="O85" s="4">
        <v>-0.54896770778189519</v>
      </c>
      <c r="P85" s="4">
        <v>0.22366331392271044</v>
      </c>
    </row>
    <row r="86" spans="1:16" x14ac:dyDescent="0.3">
      <c r="A86" s="3">
        <v>84</v>
      </c>
      <c r="B86" s="4" t="s">
        <v>36</v>
      </c>
      <c r="C86" s="4">
        <v>2018</v>
      </c>
      <c r="D86" s="4">
        <v>-8.3000000000000007</v>
      </c>
      <c r="E86" s="4">
        <f>6.7</f>
        <v>6.7</v>
      </c>
      <c r="F86" s="4">
        <f>0.29</f>
        <v>0.28999999999999998</v>
      </c>
      <c r="G86" s="4">
        <f>1.23</f>
        <v>1.23</v>
      </c>
      <c r="H86" s="4">
        <f>0.76</f>
        <v>0.76</v>
      </c>
      <c r="I86" s="4">
        <f>88.4</f>
        <v>88.4</v>
      </c>
      <c r="J86" s="4">
        <f>19.46</f>
        <v>19.46</v>
      </c>
      <c r="K86" s="4">
        <f>6.47</f>
        <v>6.47</v>
      </c>
      <c r="L86" s="4">
        <f>22.39</f>
        <v>22.39</v>
      </c>
      <c r="M86" s="4">
        <f>9.03</f>
        <v>9.0299999999999994</v>
      </c>
      <c r="N86" s="4">
        <v>-0.27920792079207923</v>
      </c>
      <c r="O86" s="4">
        <v>1.0396039603960397E-2</v>
      </c>
      <c r="P86" s="4">
        <v>0.19752475247524753</v>
      </c>
    </row>
    <row r="87" spans="1:16" x14ac:dyDescent="0.3">
      <c r="A87" s="3">
        <v>85</v>
      </c>
      <c r="B87" s="4" t="s">
        <v>36</v>
      </c>
      <c r="C87" s="4">
        <v>2019</v>
      </c>
      <c r="D87" s="4">
        <v>1.3</v>
      </c>
      <c r="E87" s="4">
        <f>7.08</f>
        <v>7.08</v>
      </c>
      <c r="F87" s="4">
        <f>0.48</f>
        <v>0.48</v>
      </c>
      <c r="G87" s="4">
        <f>1.74</f>
        <v>1.74</v>
      </c>
      <c r="H87" s="4">
        <f>0.8</f>
        <v>0.8</v>
      </c>
      <c r="I87" s="4">
        <f>67.22</f>
        <v>67.22</v>
      </c>
      <c r="J87" s="4">
        <f>16.09</f>
        <v>16.09</v>
      </c>
      <c r="K87" s="4">
        <f>6.28</f>
        <v>6.28</v>
      </c>
      <c r="L87" s="4">
        <f>13.2</f>
        <v>13.2</v>
      </c>
      <c r="M87" s="4">
        <f>11.8</f>
        <v>11.8</v>
      </c>
      <c r="N87" s="4">
        <v>0.40326340326340326</v>
      </c>
      <c r="O87" s="4">
        <v>-0.34411421911421913</v>
      </c>
      <c r="P87" s="4">
        <v>-6.2645687645687648E-2</v>
      </c>
    </row>
    <row r="88" spans="1:16" x14ac:dyDescent="0.3">
      <c r="A88" s="3">
        <v>86</v>
      </c>
      <c r="B88" s="4" t="s">
        <v>36</v>
      </c>
      <c r="C88" s="4">
        <v>2020</v>
      </c>
      <c r="D88" s="4">
        <v>43</v>
      </c>
      <c r="E88" s="4">
        <f>3.38</f>
        <v>3.38</v>
      </c>
      <c r="F88" s="4">
        <f>0.19</f>
        <v>0.19</v>
      </c>
      <c r="G88" s="4">
        <f>2.04</f>
        <v>2.04</v>
      </c>
      <c r="H88" s="4">
        <f>1.15</f>
        <v>1.1499999999999999</v>
      </c>
      <c r="I88" s="4">
        <f>67.39</f>
        <v>67.39</v>
      </c>
      <c r="J88" s="4">
        <f>2.79</f>
        <v>2.79</v>
      </c>
      <c r="K88" s="4">
        <f>1.3</f>
        <v>1.3</v>
      </c>
      <c r="L88" s="4">
        <f>7.34</f>
        <v>7.34</v>
      </c>
      <c r="M88" s="4">
        <f>71.53</f>
        <v>71.53</v>
      </c>
      <c r="N88" s="4">
        <v>-0.55263157894736847</v>
      </c>
      <c r="O88" s="4">
        <v>0.39699248120300751</v>
      </c>
      <c r="P88" s="4">
        <v>0.30601503759398496</v>
      </c>
    </row>
    <row r="89" spans="1:16" x14ac:dyDescent="0.3">
      <c r="A89" s="3">
        <v>87</v>
      </c>
      <c r="B89" s="4" t="s">
        <v>36</v>
      </c>
      <c r="C89" s="4">
        <v>2021</v>
      </c>
      <c r="D89" s="4">
        <v>16.8</v>
      </c>
      <c r="E89" s="4">
        <f>5.24</f>
        <v>5.24</v>
      </c>
      <c r="F89" s="4">
        <f>0.17</f>
        <v>0.17</v>
      </c>
      <c r="G89" s="4">
        <f>1.91</f>
        <v>1.91</v>
      </c>
      <c r="H89" s="4">
        <f>0.83</f>
        <v>0.83</v>
      </c>
      <c r="I89" s="4">
        <f>133.05</f>
        <v>133.05000000000001</v>
      </c>
      <c r="J89" s="4">
        <f>6.99</f>
        <v>6.99</v>
      </c>
      <c r="K89" s="4">
        <f>2.95</f>
        <v>2.95</v>
      </c>
      <c r="L89" s="4">
        <f>20.17</f>
        <v>20.170000000000002</v>
      </c>
      <c r="M89" s="4">
        <f>36.89</f>
        <v>36.89</v>
      </c>
      <c r="N89" s="4">
        <v>-2.1037402964008467</v>
      </c>
      <c r="O89" s="4">
        <v>-0.20324629498941427</v>
      </c>
      <c r="P89" s="4">
        <v>2.3295695130557514</v>
      </c>
    </row>
    <row r="90" spans="1:16" x14ac:dyDescent="0.3">
      <c r="A90" s="3">
        <v>88</v>
      </c>
      <c r="B90" s="4" t="s">
        <v>37</v>
      </c>
      <c r="C90" s="4">
        <v>2018</v>
      </c>
      <c r="D90" s="4">
        <v>-44.06</v>
      </c>
      <c r="E90" s="4">
        <f>0.46</f>
        <v>0.46</v>
      </c>
      <c r="F90" s="4">
        <f>0.07</f>
        <v>7.0000000000000007E-2</v>
      </c>
      <c r="G90" s="4">
        <f>2.02</f>
        <v>2.02</v>
      </c>
      <c r="H90" s="4">
        <f>1.65</f>
        <v>1.65</v>
      </c>
      <c r="I90" s="4">
        <f>8.3</f>
        <v>8.3000000000000007</v>
      </c>
      <c r="J90" s="4">
        <f>1</f>
        <v>1</v>
      </c>
      <c r="K90" s="4">
        <f>0.66</f>
        <v>0.66</v>
      </c>
      <c r="L90" s="4">
        <f>9.07</f>
        <v>9.07</v>
      </c>
      <c r="M90" s="4">
        <f>16.37</f>
        <v>16.37</v>
      </c>
      <c r="N90" s="4">
        <v>0.32270168855534709</v>
      </c>
      <c r="O90" s="4">
        <v>0.2607879924953096</v>
      </c>
      <c r="P90" s="4">
        <v>-0.59849906191369606</v>
      </c>
    </row>
    <row r="91" spans="1:16" x14ac:dyDescent="0.3">
      <c r="A91" s="3">
        <v>89</v>
      </c>
      <c r="B91" s="4" t="s">
        <v>37</v>
      </c>
      <c r="C91" s="4">
        <v>2019</v>
      </c>
      <c r="D91" s="4">
        <v>-26.03</v>
      </c>
      <c r="E91" s="4">
        <f>0.55</f>
        <v>0.55000000000000004</v>
      </c>
      <c r="F91" s="4">
        <f>0.1</f>
        <v>0.1</v>
      </c>
      <c r="G91" s="4">
        <f>2.09</f>
        <v>2.09</v>
      </c>
      <c r="H91" s="4">
        <f>1.76</f>
        <v>1.76</v>
      </c>
      <c r="I91" s="4">
        <f>7.74</f>
        <v>7.74</v>
      </c>
      <c r="J91" s="4">
        <f>0.96</f>
        <v>0.96</v>
      </c>
      <c r="K91" s="4">
        <f>0.62</f>
        <v>0.62</v>
      </c>
      <c r="L91" s="4">
        <f>6.32</f>
        <v>6.32</v>
      </c>
      <c r="M91" s="4">
        <f>12.4</f>
        <v>12.4</v>
      </c>
      <c r="N91" s="4">
        <v>1.7743979721166033E-2</v>
      </c>
      <c r="O91" s="4">
        <v>5.0697084917617234E-3</v>
      </c>
      <c r="P91" s="4">
        <v>-2.6615969581749048E-2</v>
      </c>
    </row>
    <row r="92" spans="1:16" x14ac:dyDescent="0.3">
      <c r="A92" s="3">
        <v>90</v>
      </c>
      <c r="B92" s="4" t="s">
        <v>37</v>
      </c>
      <c r="C92" s="4">
        <v>2020</v>
      </c>
      <c r="D92" s="4">
        <v>78.7</v>
      </c>
      <c r="E92" s="4">
        <f>0.42</f>
        <v>0.42</v>
      </c>
      <c r="F92" s="4">
        <f>0.08</f>
        <v>0.08</v>
      </c>
      <c r="G92" s="4">
        <f>1.33</f>
        <v>1.33</v>
      </c>
      <c r="H92" s="4">
        <f>1.13</f>
        <v>1.1299999999999999</v>
      </c>
      <c r="I92" s="4">
        <f>7.45</f>
        <v>7.45</v>
      </c>
      <c r="J92" s="4">
        <f>0.22</f>
        <v>0.22</v>
      </c>
      <c r="K92" s="4">
        <f>0.14</f>
        <v>0.14000000000000001</v>
      </c>
      <c r="L92" s="4">
        <f>1.78</f>
        <v>1.78</v>
      </c>
      <c r="M92" s="4">
        <f>95.86</f>
        <v>95.86</v>
      </c>
      <c r="N92" s="4">
        <v>0.29982363315696647</v>
      </c>
      <c r="O92" s="4">
        <v>-0.2874779541446208</v>
      </c>
      <c r="P92" s="4">
        <v>-2.1164021164021163E-2</v>
      </c>
    </row>
    <row r="93" spans="1:16" x14ac:dyDescent="0.3">
      <c r="A93" s="3">
        <v>91</v>
      </c>
      <c r="B93" s="4" t="s">
        <v>37</v>
      </c>
      <c r="C93" s="4">
        <v>2021</v>
      </c>
      <c r="D93" s="4">
        <v>355.96</v>
      </c>
      <c r="E93" s="4">
        <f>0.21</f>
        <v>0.21</v>
      </c>
      <c r="F93" s="4">
        <f>0.03</f>
        <v>0.03</v>
      </c>
      <c r="G93" s="4">
        <f>0.93</f>
        <v>0.93</v>
      </c>
      <c r="H93" s="4">
        <f>0.77</f>
        <v>0.77</v>
      </c>
      <c r="I93" s="4">
        <f>0.3</f>
        <v>0.3</v>
      </c>
      <c r="J93" s="4">
        <f>0.1</f>
        <v>0.1</v>
      </c>
      <c r="K93" s="4">
        <f>0.05</f>
        <v>0.05</v>
      </c>
      <c r="L93" s="4">
        <f>1.49</f>
        <v>1.49</v>
      </c>
      <c r="M93" s="4">
        <f>1009.35</f>
        <v>1009.35</v>
      </c>
      <c r="N93" s="4">
        <v>6.5504322766570606</v>
      </c>
      <c r="O93" s="4">
        <v>-5.6541786743515852</v>
      </c>
      <c r="P93" s="4">
        <v>-0.89337175792507206</v>
      </c>
    </row>
    <row r="94" spans="1:16" x14ac:dyDescent="0.3">
      <c r="A94" s="3">
        <v>92</v>
      </c>
      <c r="B94" s="4" t="s">
        <v>38</v>
      </c>
      <c r="C94" s="4">
        <v>2018</v>
      </c>
      <c r="D94" s="4">
        <v>53.3</v>
      </c>
      <c r="E94" s="4">
        <f>1.09</f>
        <v>1.0900000000000001</v>
      </c>
      <c r="F94" s="4">
        <f>0.52</f>
        <v>0.52</v>
      </c>
      <c r="G94" s="4">
        <f>1.24</f>
        <v>1.24</v>
      </c>
      <c r="H94" s="4">
        <f>1.1</f>
        <v>1.1000000000000001</v>
      </c>
      <c r="I94" s="4">
        <f>219.14</f>
        <v>219.14</v>
      </c>
      <c r="J94" s="4">
        <f>4.91</f>
        <v>4.91</v>
      </c>
      <c r="K94" s="4">
        <f>0.87</f>
        <v>0.87</v>
      </c>
      <c r="L94" s="4">
        <f>1.71</f>
        <v>1.71</v>
      </c>
      <c r="M94" s="4">
        <f>13.8</f>
        <v>13.8</v>
      </c>
      <c r="N94" s="4">
        <v>6.0483870967741937E-2</v>
      </c>
      <c r="O94" s="4">
        <v>-2.0161290322580645E-3</v>
      </c>
      <c r="P94" s="4">
        <v>-6.0483870967741934E-3</v>
      </c>
    </row>
    <row r="95" spans="1:16" x14ac:dyDescent="0.3">
      <c r="A95" s="3">
        <v>93</v>
      </c>
      <c r="B95" s="4" t="s">
        <v>38</v>
      </c>
      <c r="C95" s="4">
        <v>2019</v>
      </c>
      <c r="D95" s="4">
        <v>-27</v>
      </c>
      <c r="E95" s="4">
        <f>2.16</f>
        <v>2.16</v>
      </c>
      <c r="F95" s="4">
        <f>0.57</f>
        <v>0.56999999999999995</v>
      </c>
      <c r="G95" s="4">
        <f>0.91</f>
        <v>0.91</v>
      </c>
      <c r="H95" s="4">
        <f>0.8</f>
        <v>0.8</v>
      </c>
      <c r="I95" s="4">
        <f>203.95</f>
        <v>203.95</v>
      </c>
      <c r="J95" s="4">
        <f>5</f>
        <v>5</v>
      </c>
      <c r="K95" s="4">
        <f>0.83</f>
        <v>0.83</v>
      </c>
      <c r="L95" s="4">
        <f>1.46</f>
        <v>1.46</v>
      </c>
      <c r="M95" s="4">
        <f>10.11</f>
        <v>10.11</v>
      </c>
      <c r="N95" s="4">
        <v>0.25739130434782609</v>
      </c>
      <c r="O95" s="4">
        <v>1.7391304347826088E-3</v>
      </c>
      <c r="P95" s="4">
        <v>-5.565217391304348E-2</v>
      </c>
    </row>
    <row r="96" spans="1:16" x14ac:dyDescent="0.3">
      <c r="A96" s="3">
        <v>94</v>
      </c>
      <c r="B96" s="4" t="s">
        <v>38</v>
      </c>
      <c r="C96" s="4">
        <v>2020</v>
      </c>
      <c r="D96" s="4">
        <v>3.3</v>
      </c>
      <c r="E96" s="4">
        <f>2.1</f>
        <v>2.1</v>
      </c>
      <c r="F96" s="4">
        <f>0.4</f>
        <v>0.4</v>
      </c>
      <c r="G96" s="4">
        <f>0.72</f>
        <v>0.72</v>
      </c>
      <c r="H96" s="4">
        <f>0.61</f>
        <v>0.61</v>
      </c>
      <c r="I96" s="4">
        <f>64.5</f>
        <v>64.5</v>
      </c>
      <c r="J96" s="4">
        <f>3.12</f>
        <v>3.12</v>
      </c>
      <c r="K96" s="4">
        <f>0.5</f>
        <v>0.5</v>
      </c>
      <c r="L96" s="4">
        <f>1.28</f>
        <v>1.28</v>
      </c>
      <c r="M96" s="4">
        <f>17.33</f>
        <v>17.329999999999998</v>
      </c>
      <c r="N96" s="4">
        <v>0.29145728643216079</v>
      </c>
      <c r="O96" s="4">
        <v>-2.5125628140703518E-3</v>
      </c>
      <c r="P96" s="4">
        <v>-0.62060301507537685</v>
      </c>
    </row>
    <row r="97" spans="1:16" x14ac:dyDescent="0.3">
      <c r="A97" s="3">
        <v>95</v>
      </c>
      <c r="B97" s="4" t="s">
        <v>38</v>
      </c>
      <c r="C97" s="4">
        <v>2021</v>
      </c>
      <c r="D97" s="4">
        <v>59</v>
      </c>
      <c r="E97" s="4">
        <f>3.4</f>
        <v>3.4</v>
      </c>
      <c r="F97" s="4">
        <f>1</f>
        <v>1</v>
      </c>
      <c r="G97" s="4">
        <f>1.25</f>
        <v>1.25</v>
      </c>
      <c r="H97" s="4">
        <f>1.01</f>
        <v>1.01</v>
      </c>
      <c r="I97" s="4">
        <f>55.83</f>
        <v>55.83</v>
      </c>
      <c r="J97" s="4">
        <f>-2.55</f>
        <v>-2.5499999999999998</v>
      </c>
      <c r="K97" s="4">
        <f>-0.48</f>
        <v>-0.48</v>
      </c>
      <c r="L97" s="4">
        <f>-0.48</f>
        <v>-0.48</v>
      </c>
      <c r="M97" s="4">
        <f>-35.83</f>
        <v>-35.83</v>
      </c>
      <c r="N97" s="4">
        <v>3.7688442211055273E-2</v>
      </c>
      <c r="O97" s="4">
        <v>-6.2814070351758797E-3</v>
      </c>
      <c r="P97" s="4">
        <v>-2.0100502512562814E-2</v>
      </c>
    </row>
    <row r="98" spans="1:16" x14ac:dyDescent="0.3">
      <c r="A98" s="3">
        <v>96</v>
      </c>
      <c r="B98" s="4" t="s">
        <v>39</v>
      </c>
      <c r="C98" s="4">
        <v>2018</v>
      </c>
      <c r="D98" s="4">
        <v>-23.4</v>
      </c>
      <c r="E98" s="4">
        <f>1.6</f>
        <v>1.6</v>
      </c>
      <c r="F98" s="4">
        <f>0.15</f>
        <v>0.15</v>
      </c>
      <c r="G98" s="4">
        <f>1.15</f>
        <v>1.1499999999999999</v>
      </c>
      <c r="H98" s="4">
        <f>0.21</f>
        <v>0.21</v>
      </c>
      <c r="I98" s="4">
        <f>95.49</f>
        <v>95.49</v>
      </c>
      <c r="J98" s="4">
        <f>13.71</f>
        <v>13.71</v>
      </c>
      <c r="K98" s="4">
        <f>2.88</f>
        <v>2.88</v>
      </c>
      <c r="L98" s="4">
        <f>18.7</f>
        <v>18.7</v>
      </c>
      <c r="M98" s="4">
        <f>4.44</f>
        <v>4.4400000000000004</v>
      </c>
      <c r="N98" s="4">
        <v>0.3555219364599092</v>
      </c>
      <c r="O98" s="4">
        <v>-2.6475037821482601E-2</v>
      </c>
      <c r="P98" s="4">
        <v>-0.22844175491679275</v>
      </c>
    </row>
    <row r="99" spans="1:16" x14ac:dyDescent="0.3">
      <c r="A99" s="3">
        <v>97</v>
      </c>
      <c r="B99" s="4" t="s">
        <v>39</v>
      </c>
      <c r="C99" s="4">
        <v>2019</v>
      </c>
      <c r="D99" s="4">
        <v>111.9</v>
      </c>
      <c r="E99" s="4">
        <f>1.86</f>
        <v>1.86</v>
      </c>
      <c r="F99" s="4">
        <f>0.2</f>
        <v>0.2</v>
      </c>
      <c r="G99" s="4">
        <f>1.15</f>
        <v>1.1499999999999999</v>
      </c>
      <c r="H99" s="4">
        <f>0.2</f>
        <v>0.2</v>
      </c>
      <c r="I99" s="4">
        <f>28.09</f>
        <v>28.09</v>
      </c>
      <c r="J99" s="4">
        <f>15.94</f>
        <v>15.94</v>
      </c>
      <c r="K99" s="4">
        <f>3.63</f>
        <v>3.63</v>
      </c>
      <c r="L99" s="4">
        <f>17.78</f>
        <v>17.78</v>
      </c>
      <c r="M99" s="4">
        <f>7.71</f>
        <v>7.71</v>
      </c>
      <c r="N99" s="4">
        <v>0.65096618357487923</v>
      </c>
      <c r="O99" s="4">
        <v>-3.0193236714975844E-2</v>
      </c>
      <c r="P99" s="4">
        <v>-0.71135265700483097</v>
      </c>
    </row>
    <row r="100" spans="1:16" x14ac:dyDescent="0.3">
      <c r="A100" s="3">
        <v>98</v>
      </c>
      <c r="B100" s="4" t="s">
        <v>39</v>
      </c>
      <c r="C100" s="4">
        <v>2020</v>
      </c>
      <c r="D100" s="4">
        <v>53.1</v>
      </c>
      <c r="E100" s="4">
        <f>2.95</f>
        <v>2.95</v>
      </c>
      <c r="F100" s="4">
        <f>0.3</f>
        <v>0.3</v>
      </c>
      <c r="G100" s="4">
        <f>1.48</f>
        <v>1.48</v>
      </c>
      <c r="H100" s="4">
        <f>0.33</f>
        <v>0.33</v>
      </c>
      <c r="I100" s="4">
        <f>45.47</f>
        <v>45.47</v>
      </c>
      <c r="J100" s="4">
        <f>18.96</f>
        <v>18.96</v>
      </c>
      <c r="K100" s="4">
        <f>5.21</f>
        <v>5.21</v>
      </c>
      <c r="L100" s="4">
        <f>17.27</f>
        <v>17.27</v>
      </c>
      <c r="M100" s="4">
        <f>9.08</f>
        <v>9.08</v>
      </c>
      <c r="N100" s="4">
        <v>0.25889967637540451</v>
      </c>
      <c r="O100" s="4">
        <v>-1.3869625520110957E-3</v>
      </c>
      <c r="P100" s="4">
        <v>-0.14932963476652797</v>
      </c>
    </row>
    <row r="101" spans="1:16" x14ac:dyDescent="0.3">
      <c r="A101" s="3">
        <v>99</v>
      </c>
      <c r="B101" s="4" t="s">
        <v>39</v>
      </c>
      <c r="C101" s="4">
        <v>2021</v>
      </c>
      <c r="D101" s="4">
        <v>27.8</v>
      </c>
      <c r="E101" s="4">
        <f>4.77</f>
        <v>4.7699999999999996</v>
      </c>
      <c r="F101" s="4">
        <f>0.39</f>
        <v>0.39</v>
      </c>
      <c r="G101" s="4">
        <f>2.48</f>
        <v>2.48</v>
      </c>
      <c r="H101" s="4">
        <f>0.4</f>
        <v>0.4</v>
      </c>
      <c r="I101" s="4">
        <f>33.59</f>
        <v>33.590000000000003</v>
      </c>
      <c r="J101" s="4">
        <f>22.94</f>
        <v>22.94</v>
      </c>
      <c r="K101" s="4">
        <f>9.24</f>
        <v>9.24</v>
      </c>
      <c r="L101" s="4">
        <f>23.87</f>
        <v>23.87</v>
      </c>
      <c r="M101" s="4">
        <f>10.89</f>
        <v>10.89</v>
      </c>
      <c r="N101" s="4">
        <v>-0.36892460773057789</v>
      </c>
      <c r="O101" s="4">
        <v>-1.3777267508610792E-2</v>
      </c>
      <c r="P101" s="4">
        <v>0.32721010332950634</v>
      </c>
    </row>
    <row r="102" spans="1:16" x14ac:dyDescent="0.3">
      <c r="A102" s="3">
        <v>100</v>
      </c>
      <c r="B102" s="4" t="s">
        <v>40</v>
      </c>
      <c r="C102" s="4">
        <v>2018</v>
      </c>
      <c r="D102" s="4">
        <v>-6.1</v>
      </c>
      <c r="E102" s="4">
        <f>0.97</f>
        <v>0.97</v>
      </c>
      <c r="F102" s="4">
        <f>0.04</f>
        <v>0.04</v>
      </c>
      <c r="G102" s="4">
        <f>3.25</f>
        <v>3.25</v>
      </c>
      <c r="H102" s="4">
        <f>0.83</f>
        <v>0.83</v>
      </c>
      <c r="I102" s="4">
        <f>8.18</f>
        <v>8.18</v>
      </c>
      <c r="J102" s="4">
        <f>0.78</f>
        <v>0.78</v>
      </c>
      <c r="K102" s="4">
        <f>0.62</f>
        <v>0.62</v>
      </c>
      <c r="L102" s="4">
        <f>16.93</f>
        <v>16.93</v>
      </c>
      <c r="M102" s="4">
        <f>35.36</f>
        <v>35.36</v>
      </c>
      <c r="N102" s="4">
        <v>0.36429608127721336</v>
      </c>
      <c r="O102" s="4">
        <v>4.3541364296081277E-2</v>
      </c>
      <c r="P102" s="4">
        <v>-0.49927431059506533</v>
      </c>
    </row>
    <row r="103" spans="1:16" x14ac:dyDescent="0.3">
      <c r="A103" s="3">
        <v>101</v>
      </c>
      <c r="B103" s="4" t="s">
        <v>40</v>
      </c>
      <c r="C103" s="4">
        <v>2019</v>
      </c>
      <c r="D103" s="4">
        <v>-5.9</v>
      </c>
      <c r="E103" s="4">
        <f>2.82</f>
        <v>2.82</v>
      </c>
      <c r="F103" s="4">
        <f>0.1</f>
        <v>0.1</v>
      </c>
      <c r="G103" s="4">
        <f>3.12</f>
        <v>3.12</v>
      </c>
      <c r="H103" s="4">
        <f>0.99</f>
        <v>0.99</v>
      </c>
      <c r="I103" s="4">
        <f>4.25</f>
        <v>4.25</v>
      </c>
      <c r="J103" s="4">
        <f>1.93</f>
        <v>1.93</v>
      </c>
      <c r="K103" s="4">
        <f>1.54</f>
        <v>1.54</v>
      </c>
      <c r="L103" s="4">
        <f>15.79</f>
        <v>15.79</v>
      </c>
      <c r="M103" s="4">
        <f>13.32</f>
        <v>13.32</v>
      </c>
      <c r="N103" s="4">
        <v>0.36869826937547029</v>
      </c>
      <c r="O103" s="4">
        <v>-6.772009029345373E-2</v>
      </c>
      <c r="P103" s="4">
        <v>-0.26185101580135439</v>
      </c>
    </row>
    <row r="104" spans="1:16" x14ac:dyDescent="0.3">
      <c r="A104" s="3">
        <v>102</v>
      </c>
      <c r="B104" s="4" t="s">
        <v>40</v>
      </c>
      <c r="C104" s="4">
        <v>2020</v>
      </c>
      <c r="D104" s="4">
        <v>143.1</v>
      </c>
      <c r="E104" s="4">
        <f>1.4</f>
        <v>1.4</v>
      </c>
      <c r="F104" s="4">
        <f>0.05</f>
        <v>0.05</v>
      </c>
      <c r="G104" s="4">
        <f>3</f>
        <v>3</v>
      </c>
      <c r="H104" s="4">
        <f>1.05</f>
        <v>1.05</v>
      </c>
      <c r="I104" s="4">
        <f>2.79</f>
        <v>2.79</v>
      </c>
      <c r="J104" s="4">
        <f>1.65</f>
        <v>1.65</v>
      </c>
      <c r="K104" s="4">
        <f>1.31</f>
        <v>1.31</v>
      </c>
      <c r="L104" s="4">
        <f>27.61</f>
        <v>27.61</v>
      </c>
      <c r="M104" s="4">
        <f>37.28</f>
        <v>37.28</v>
      </c>
      <c r="N104" s="4">
        <v>0.25731895223420648</v>
      </c>
      <c r="O104" s="4">
        <v>-5.7010785824345149E-2</v>
      </c>
      <c r="P104" s="4">
        <v>-0.23112480739599384</v>
      </c>
    </row>
    <row r="105" spans="1:16" x14ac:dyDescent="0.3">
      <c r="A105" s="3">
        <v>103</v>
      </c>
      <c r="B105" s="4" t="s">
        <v>40</v>
      </c>
      <c r="C105" s="4">
        <v>2021</v>
      </c>
      <c r="D105" s="4">
        <v>137.1</v>
      </c>
      <c r="E105" s="4">
        <f>2.08</f>
        <v>2.08</v>
      </c>
      <c r="F105" s="4">
        <f>0.07</f>
        <v>7.0000000000000007E-2</v>
      </c>
      <c r="G105" s="4">
        <f>2.94</f>
        <v>2.94</v>
      </c>
      <c r="H105" s="4">
        <f>1.08</f>
        <v>1.08</v>
      </c>
      <c r="I105" s="4">
        <f>1.24</f>
        <v>1.24</v>
      </c>
      <c r="J105" s="4">
        <f>2.4</f>
        <v>2.4</v>
      </c>
      <c r="K105" s="4">
        <f>1.96</f>
        <v>1.96</v>
      </c>
      <c r="L105" s="4">
        <f>28.42</f>
        <v>28.42</v>
      </c>
      <c r="M105" s="4">
        <f>59.52</f>
        <v>59.52</v>
      </c>
      <c r="N105" s="4">
        <v>0.52789699570815452</v>
      </c>
      <c r="O105" s="4">
        <v>-0.18133047210300429</v>
      </c>
      <c r="P105" s="4">
        <v>-0.18562231759656653</v>
      </c>
    </row>
    <row r="106" spans="1:16" x14ac:dyDescent="0.3">
      <c r="A106" s="3">
        <v>104</v>
      </c>
      <c r="B106" s="4" t="s">
        <v>41</v>
      </c>
      <c r="C106" s="4">
        <v>2018</v>
      </c>
      <c r="D106" s="4">
        <v>-15.5</v>
      </c>
      <c r="E106" s="4">
        <f>4.45</f>
        <v>4.45</v>
      </c>
      <c r="F106" s="4">
        <f>0.18</f>
        <v>0.18</v>
      </c>
      <c r="G106" s="4">
        <f>3.21</f>
        <v>3.21</v>
      </c>
      <c r="H106" s="4">
        <f>0.37</f>
        <v>0.37</v>
      </c>
      <c r="I106" s="4">
        <f>52.16</f>
        <v>52.16</v>
      </c>
      <c r="J106" s="4">
        <f>5.16</f>
        <v>5.16</v>
      </c>
      <c r="K106" s="4">
        <f>2.33</f>
        <v>2.33</v>
      </c>
      <c r="L106" s="4">
        <f>13.26</f>
        <v>13.26</v>
      </c>
      <c r="M106" s="4">
        <f>10.08</f>
        <v>10.08</v>
      </c>
      <c r="N106" s="4">
        <v>0.2427652733118971</v>
      </c>
      <c r="O106" s="4">
        <v>0.15594855305466238</v>
      </c>
      <c r="P106" s="4">
        <v>-0.34565916398713825</v>
      </c>
    </row>
    <row r="107" spans="1:16" x14ac:dyDescent="0.3">
      <c r="A107" s="3">
        <v>105</v>
      </c>
      <c r="B107" s="4" t="s">
        <v>41</v>
      </c>
      <c r="C107" s="4">
        <v>2019</v>
      </c>
      <c r="D107" s="4">
        <v>53.5</v>
      </c>
      <c r="E107" s="4">
        <f>4.41</f>
        <v>4.41</v>
      </c>
      <c r="F107" s="4">
        <f>0.12</f>
        <v>0.12</v>
      </c>
      <c r="G107" s="4">
        <f>1.24</f>
        <v>1.24</v>
      </c>
      <c r="H107" s="4">
        <f>0.25</f>
        <v>0.25</v>
      </c>
      <c r="I107" s="4">
        <f>45.64</f>
        <v>45.64</v>
      </c>
      <c r="J107" s="4">
        <f>6.86</f>
        <v>6.86</v>
      </c>
      <c r="K107" s="4">
        <f>3.06</f>
        <v>3.06</v>
      </c>
      <c r="L107" s="4">
        <f>25.17</f>
        <v>25.17</v>
      </c>
      <c r="M107" s="4">
        <f>10</f>
        <v>10</v>
      </c>
      <c r="N107" s="4">
        <v>4.6563192904656318E-2</v>
      </c>
      <c r="O107" s="4">
        <v>-5.3215077605321508E-2</v>
      </c>
      <c r="P107" s="4">
        <v>-5.3215077605321508E-2</v>
      </c>
    </row>
    <row r="108" spans="1:16" x14ac:dyDescent="0.3">
      <c r="A108" s="3">
        <v>106</v>
      </c>
      <c r="B108" s="4" t="s">
        <v>41</v>
      </c>
      <c r="C108" s="4">
        <v>2020</v>
      </c>
      <c r="D108" s="4">
        <v>8</v>
      </c>
      <c r="E108" s="4">
        <f>8.53</f>
        <v>8.5299999999999994</v>
      </c>
      <c r="F108" s="4">
        <f>0.22</f>
        <v>0.22</v>
      </c>
      <c r="G108" s="4">
        <f>1.19</f>
        <v>1.19</v>
      </c>
      <c r="H108" s="4">
        <f>0.27</f>
        <v>0.27</v>
      </c>
      <c r="I108" s="4">
        <f>42.62</f>
        <v>42.62</v>
      </c>
      <c r="J108" s="4">
        <f>7.54</f>
        <v>7.54</v>
      </c>
      <c r="K108" s="4">
        <f>3.31</f>
        <v>3.31</v>
      </c>
      <c r="L108" s="4">
        <f>14.78</f>
        <v>14.78</v>
      </c>
      <c r="M108" s="4">
        <f>7.84</f>
        <v>7.84</v>
      </c>
      <c r="N108" s="4">
        <v>9.719222462203024E-2</v>
      </c>
      <c r="O108" s="4">
        <v>-7.0194384449244057E-2</v>
      </c>
      <c r="P108" s="4">
        <v>-3.4557235421166309E-2</v>
      </c>
    </row>
    <row r="109" spans="1:16" x14ac:dyDescent="0.3">
      <c r="A109" s="3">
        <v>107</v>
      </c>
      <c r="B109" s="4" t="s">
        <v>41</v>
      </c>
      <c r="C109" s="4">
        <v>2021</v>
      </c>
      <c r="D109" s="4">
        <v>67.7</v>
      </c>
      <c r="E109" s="4">
        <f>5.69</f>
        <v>5.69</v>
      </c>
      <c r="F109" s="4">
        <f>0.17</f>
        <v>0.17</v>
      </c>
      <c r="G109" s="4">
        <f>1.23</f>
        <v>1.23</v>
      </c>
      <c r="H109" s="4">
        <f>0.29</f>
        <v>0.28999999999999998</v>
      </c>
      <c r="I109" s="4">
        <f>34.4</f>
        <v>34.4</v>
      </c>
      <c r="J109" s="4">
        <f>6.78</f>
        <v>6.78</v>
      </c>
      <c r="K109" s="4">
        <f>3.14</f>
        <v>3.14</v>
      </c>
      <c r="L109" s="4">
        <f>19.29</f>
        <v>19.29</v>
      </c>
      <c r="M109" s="4">
        <f>13.76</f>
        <v>13.76</v>
      </c>
      <c r="N109" s="4">
        <v>0.24171270718232044</v>
      </c>
      <c r="O109" s="4">
        <v>-7.3204419889502756E-2</v>
      </c>
      <c r="P109" s="4">
        <v>-0.13812154696132597</v>
      </c>
    </row>
    <row r="110" spans="1:16" x14ac:dyDescent="0.3">
      <c r="A110" s="3">
        <v>108</v>
      </c>
      <c r="B110" s="4" t="s">
        <v>42</v>
      </c>
      <c r="C110" s="4">
        <v>2018</v>
      </c>
      <c r="D110" s="4">
        <v>-1.9</v>
      </c>
      <c r="E110" s="4">
        <f>1.67</f>
        <v>1.67</v>
      </c>
      <c r="F110" s="4">
        <f>0.15</f>
        <v>0.15</v>
      </c>
      <c r="G110" s="4">
        <f>3.78</f>
        <v>3.78</v>
      </c>
      <c r="H110" s="4">
        <f>1.59</f>
        <v>1.59</v>
      </c>
      <c r="I110" s="4">
        <f>25.28</f>
        <v>25.28</v>
      </c>
      <c r="J110" s="4">
        <f>7.91</f>
        <v>7.91</v>
      </c>
      <c r="K110" s="4">
        <f>4.57</f>
        <v>4.57</v>
      </c>
      <c r="L110" s="4">
        <f>32.47</f>
        <v>32.47</v>
      </c>
      <c r="M110" s="4">
        <f>8.28</f>
        <v>8.2799999999999994</v>
      </c>
      <c r="N110" s="4">
        <v>5.2187876354877559E-2</v>
      </c>
      <c r="O110" s="4">
        <v>-6.2224006423123243E-2</v>
      </c>
      <c r="P110" s="4">
        <v>-0.10236852669610598</v>
      </c>
    </row>
    <row r="111" spans="1:16" x14ac:dyDescent="0.3">
      <c r="A111" s="3">
        <v>109</v>
      </c>
      <c r="B111" s="4" t="s">
        <v>42</v>
      </c>
      <c r="C111" s="4">
        <v>2019</v>
      </c>
      <c r="D111" s="4">
        <v>17.5</v>
      </c>
      <c r="E111" s="4">
        <f>2.06</f>
        <v>2.06</v>
      </c>
      <c r="F111" s="4">
        <f>0.19</f>
        <v>0.19</v>
      </c>
      <c r="G111" s="4">
        <f>3.42</f>
        <v>3.42</v>
      </c>
      <c r="H111" s="4">
        <f>1.56</f>
        <v>1.56</v>
      </c>
      <c r="I111" s="4">
        <f>18.55</f>
        <v>18.55</v>
      </c>
      <c r="J111" s="4">
        <f>9.08</f>
        <v>9.08</v>
      </c>
      <c r="K111" s="4">
        <f>5.51</f>
        <v>5.51</v>
      </c>
      <c r="L111" s="4">
        <f>32.42</f>
        <v>32.42</v>
      </c>
      <c r="M111" s="4">
        <f>7.9</f>
        <v>7.9</v>
      </c>
      <c r="N111" s="4">
        <v>0.47943925233644857</v>
      </c>
      <c r="O111" s="4">
        <v>-2.336448598130841E-2</v>
      </c>
      <c r="P111" s="4">
        <v>-0.32305295950155766</v>
      </c>
    </row>
    <row r="112" spans="1:16" x14ac:dyDescent="0.3">
      <c r="A112" s="3">
        <v>110</v>
      </c>
      <c r="B112" s="4" t="s">
        <v>42</v>
      </c>
      <c r="C112" s="4">
        <v>2020</v>
      </c>
      <c r="D112" s="4">
        <v>57.9</v>
      </c>
      <c r="E112" s="4">
        <f>1.57</f>
        <v>1.57</v>
      </c>
      <c r="F112" s="4">
        <f>0.11</f>
        <v>0.11</v>
      </c>
      <c r="G112" s="4">
        <f>3.07</f>
        <v>3.07</v>
      </c>
      <c r="H112" s="4">
        <f>1.42</f>
        <v>1.42</v>
      </c>
      <c r="I112" s="4">
        <f>54.11</f>
        <v>54.11</v>
      </c>
      <c r="J112" s="4">
        <f>2.13</f>
        <v>2.13</v>
      </c>
      <c r="K112" s="4">
        <f>1.11</f>
        <v>1.1100000000000001</v>
      </c>
      <c r="L112" s="4">
        <f>14.87</f>
        <v>14.87</v>
      </c>
      <c r="M112" s="4">
        <f>51.18</f>
        <v>51.18</v>
      </c>
      <c r="N112" s="4">
        <v>-1.3542538354253835</v>
      </c>
      <c r="O112" s="4">
        <v>-0.22315202231520223</v>
      </c>
      <c r="P112" s="4">
        <v>1.7624360762436075</v>
      </c>
    </row>
    <row r="113" spans="1:16" x14ac:dyDescent="0.3">
      <c r="A113" s="3">
        <v>111</v>
      </c>
      <c r="B113" s="4" t="s">
        <v>42</v>
      </c>
      <c r="C113" s="4">
        <v>2021</v>
      </c>
      <c r="D113" s="4">
        <v>149.19999999999999</v>
      </c>
      <c r="E113" s="4">
        <f>2.56</f>
        <v>2.56</v>
      </c>
      <c r="F113" s="4">
        <f>0.16</f>
        <v>0.16</v>
      </c>
      <c r="G113" s="4">
        <f>3.94</f>
        <v>3.94</v>
      </c>
      <c r="H113" s="4">
        <f>2.18</f>
        <v>2.1800000000000002</v>
      </c>
      <c r="I113" s="4">
        <f>43.62</f>
        <v>43.62</v>
      </c>
      <c r="J113" s="4">
        <f>5.83</f>
        <v>5.83</v>
      </c>
      <c r="K113" s="4">
        <f>2.88</f>
        <v>2.88</v>
      </c>
      <c r="L113" s="4">
        <f>22.46</f>
        <v>22.46</v>
      </c>
      <c r="M113" s="4">
        <f>38.44</f>
        <v>38.44</v>
      </c>
      <c r="N113" s="4">
        <v>-0.29015544041450775</v>
      </c>
      <c r="O113" s="4">
        <v>-0.74211022138483274</v>
      </c>
      <c r="P113" s="4">
        <v>1.3886010362694301</v>
      </c>
    </row>
    <row r="114" spans="1:16" x14ac:dyDescent="0.3">
      <c r="A114" s="3">
        <v>112</v>
      </c>
      <c r="B114" s="4" t="s">
        <v>43</v>
      </c>
      <c r="C114" s="4">
        <v>2018</v>
      </c>
      <c r="D114" s="4">
        <v>19.8</v>
      </c>
      <c r="E114" s="4">
        <f>4.77</f>
        <v>4.7699999999999996</v>
      </c>
      <c r="F114" s="4">
        <f>0.29</f>
        <v>0.28999999999999998</v>
      </c>
      <c r="G114" s="4">
        <f>3.45</f>
        <v>3.45</v>
      </c>
      <c r="H114" s="4">
        <f>1.35</f>
        <v>1.35</v>
      </c>
      <c r="I114" s="4">
        <f>14.03</f>
        <v>14.03</v>
      </c>
      <c r="J114" s="4">
        <f>12.35</f>
        <v>12.35</v>
      </c>
      <c r="K114" s="4">
        <f>8.1</f>
        <v>8.1</v>
      </c>
      <c r="L114" s="4">
        <f>27.76</f>
        <v>27.76</v>
      </c>
      <c r="M114" s="4">
        <f>15.73</f>
        <v>15.73</v>
      </c>
      <c r="N114" s="4">
        <v>-0.24623287671232877</v>
      </c>
      <c r="O114" s="4">
        <v>0.17773972602739727</v>
      </c>
      <c r="P114" s="4">
        <v>-0.19041095890410958</v>
      </c>
    </row>
    <row r="115" spans="1:16" x14ac:dyDescent="0.3">
      <c r="A115" s="3">
        <v>113</v>
      </c>
      <c r="B115" s="4" t="s">
        <v>43</v>
      </c>
      <c r="C115" s="4">
        <v>2019</v>
      </c>
      <c r="D115" s="4">
        <v>-2.5</v>
      </c>
      <c r="E115" s="4">
        <f>2.3</f>
        <v>2.2999999999999998</v>
      </c>
      <c r="F115" s="4">
        <f>0.24</f>
        <v>0.24</v>
      </c>
      <c r="G115" s="4">
        <f>2.7</f>
        <v>2.7</v>
      </c>
      <c r="H115" s="4">
        <f>1.16</f>
        <v>1.1599999999999999</v>
      </c>
      <c r="I115" s="4">
        <f>10.21</f>
        <v>10.210000000000001</v>
      </c>
      <c r="J115" s="4">
        <f>12.57</f>
        <v>12.57</v>
      </c>
      <c r="K115" s="4">
        <f>7.8</f>
        <v>7.8</v>
      </c>
      <c r="L115" s="4">
        <f>32.59</f>
        <v>32.590000000000003</v>
      </c>
      <c r="M115" s="4">
        <f>14.32</f>
        <v>14.32</v>
      </c>
      <c r="N115" s="4">
        <v>-5.7644991212653776E-2</v>
      </c>
      <c r="O115" s="4">
        <v>-7.065026362038665E-2</v>
      </c>
      <c r="P115" s="4">
        <v>-0.10404217926186292</v>
      </c>
    </row>
    <row r="116" spans="1:16" x14ac:dyDescent="0.3">
      <c r="A116" s="3">
        <v>114</v>
      </c>
      <c r="B116" s="4" t="s">
        <v>43</v>
      </c>
      <c r="C116" s="4">
        <v>2020</v>
      </c>
      <c r="D116" s="4">
        <v>16.600000000000001</v>
      </c>
      <c r="E116" s="4">
        <f>4.04</f>
        <v>4.04</v>
      </c>
      <c r="F116" s="4">
        <f>0.33</f>
        <v>0.33</v>
      </c>
      <c r="G116" s="4">
        <f>3.09</f>
        <v>3.09</v>
      </c>
      <c r="H116" s="4">
        <f>1.35</f>
        <v>1.35</v>
      </c>
      <c r="I116" s="4">
        <f>22.62</f>
        <v>22.62</v>
      </c>
      <c r="J116" s="4">
        <f>14.57</f>
        <v>14.57</v>
      </c>
      <c r="K116" s="4">
        <f>8.49</f>
        <v>8.49</v>
      </c>
      <c r="L116" s="4">
        <f>25.47</f>
        <v>25.47</v>
      </c>
      <c r="M116" s="4">
        <f>13.83</f>
        <v>13.83</v>
      </c>
      <c r="N116" s="4">
        <v>3.5304310158111328E-2</v>
      </c>
      <c r="O116" s="4">
        <v>2.5990903183885639E-3</v>
      </c>
      <c r="P116" s="4">
        <v>0.10526315789473684</v>
      </c>
    </row>
    <row r="117" spans="1:16" x14ac:dyDescent="0.3">
      <c r="A117" s="3">
        <v>115</v>
      </c>
      <c r="B117" s="4" t="s">
        <v>43</v>
      </c>
      <c r="C117" s="4">
        <v>2021</v>
      </c>
      <c r="D117" s="4">
        <v>91.5</v>
      </c>
      <c r="E117" s="4">
        <f>5.75</f>
        <v>5.75</v>
      </c>
      <c r="F117" s="4">
        <f>0.26</f>
        <v>0.26</v>
      </c>
      <c r="G117" s="4">
        <f>5.95</f>
        <v>5.95</v>
      </c>
      <c r="H117" s="4">
        <f>2.52</f>
        <v>2.52</v>
      </c>
      <c r="I117" s="4">
        <f>24.97</f>
        <v>24.97</v>
      </c>
      <c r="J117" s="4">
        <f>13.09</f>
        <v>13.09</v>
      </c>
      <c r="K117" s="4">
        <f>8.5</f>
        <v>8.5</v>
      </c>
      <c r="L117" s="4">
        <f>32.22</f>
        <v>32.22</v>
      </c>
      <c r="M117" s="4">
        <f>25.43</f>
        <v>25.43</v>
      </c>
      <c r="N117" s="4">
        <v>-0.53657234383342234</v>
      </c>
      <c r="O117" s="4">
        <v>-2.8296849973304859E-2</v>
      </c>
      <c r="P117" s="4">
        <v>0.4394020288307528</v>
      </c>
    </row>
    <row r="118" spans="1:16" x14ac:dyDescent="0.3">
      <c r="A118" s="3">
        <v>116</v>
      </c>
      <c r="B118" s="4" t="s">
        <v>44</v>
      </c>
      <c r="C118" s="4">
        <v>2018</v>
      </c>
      <c r="D118" s="4" t="s">
        <v>75</v>
      </c>
      <c r="E118" s="4">
        <f>30.09</f>
        <v>30.09</v>
      </c>
      <c r="F118" s="4">
        <f>0.24</f>
        <v>0.24</v>
      </c>
      <c r="G118" s="4">
        <f>4.5</f>
        <v>4.5</v>
      </c>
      <c r="H118" s="4">
        <f>4.5</f>
        <v>4.5</v>
      </c>
      <c r="I118" s="4" t="s">
        <v>75</v>
      </c>
      <c r="J118" s="4">
        <f>2.63</f>
        <v>2.63</v>
      </c>
      <c r="K118" s="4">
        <f>2.32</f>
        <v>2.3199999999999998</v>
      </c>
      <c r="L118" s="4">
        <f>9.61</f>
        <v>9.61</v>
      </c>
      <c r="M118" s="4" t="s">
        <v>75</v>
      </c>
      <c r="N118" s="4">
        <v>0.21637426900584794</v>
      </c>
      <c r="O118" s="4">
        <v>-0.10526315789473684</v>
      </c>
      <c r="P118" s="4" t="s">
        <v>75</v>
      </c>
    </row>
    <row r="119" spans="1:16" x14ac:dyDescent="0.3">
      <c r="A119" s="3">
        <v>117</v>
      </c>
      <c r="B119" s="4" t="s">
        <v>44</v>
      </c>
      <c r="C119" s="4">
        <v>2019</v>
      </c>
      <c r="D119" s="4" t="s">
        <v>75</v>
      </c>
      <c r="E119" s="4">
        <f>11.14</f>
        <v>11.14</v>
      </c>
      <c r="F119" s="4">
        <f>0.1</f>
        <v>0.1</v>
      </c>
      <c r="G119" s="4">
        <f>6.13</f>
        <v>6.13</v>
      </c>
      <c r="H119" s="4">
        <f>6.13</f>
        <v>6.13</v>
      </c>
      <c r="I119" s="4">
        <f>1.44</f>
        <v>1.44</v>
      </c>
      <c r="J119" s="4">
        <f>0.81</f>
        <v>0.81</v>
      </c>
      <c r="K119" s="4">
        <f>0.72</f>
        <v>0.72</v>
      </c>
      <c r="L119" s="4">
        <f>7.43</f>
        <v>7.43</v>
      </c>
      <c r="M119" s="4" t="s">
        <v>75</v>
      </c>
      <c r="N119" s="4">
        <v>-0.18248175182481752</v>
      </c>
      <c r="O119" s="4">
        <v>7.2992700729927005E-3</v>
      </c>
      <c r="P119" s="4">
        <v>0.13138686131386862</v>
      </c>
    </row>
    <row r="120" spans="1:16" x14ac:dyDescent="0.3">
      <c r="A120" s="3">
        <v>118</v>
      </c>
      <c r="B120" s="4" t="s">
        <v>44</v>
      </c>
      <c r="C120" s="4">
        <v>2020</v>
      </c>
      <c r="D120" s="4" t="s">
        <v>75</v>
      </c>
      <c r="E120" s="4">
        <f>3.16</f>
        <v>3.16</v>
      </c>
      <c r="F120" s="4">
        <f>0.16</f>
        <v>0.16</v>
      </c>
      <c r="G120" s="4">
        <f>2.15</f>
        <v>2.15</v>
      </c>
      <c r="H120" s="4">
        <f>2.15</f>
        <v>2.15</v>
      </c>
      <c r="I120" s="4">
        <f>20.53</f>
        <v>20.53</v>
      </c>
      <c r="J120" s="4">
        <f>6.41</f>
        <v>6.41</v>
      </c>
      <c r="K120" s="4">
        <f>5.13</f>
        <v>5.13</v>
      </c>
      <c r="L120" s="4">
        <f>31.92</f>
        <v>31.92</v>
      </c>
      <c r="M120" s="4" t="s">
        <v>75</v>
      </c>
      <c r="N120" s="4">
        <v>0.63366336633663367</v>
      </c>
      <c r="O120" s="4">
        <v>-2.6402640264026402</v>
      </c>
      <c r="P120" s="4">
        <v>2.4785478547854787</v>
      </c>
    </row>
    <row r="121" spans="1:16" x14ac:dyDescent="0.3">
      <c r="A121" s="3">
        <v>119</v>
      </c>
      <c r="B121" s="4" t="s">
        <v>44</v>
      </c>
      <c r="C121" s="4">
        <v>2021</v>
      </c>
      <c r="D121" s="4">
        <v>2.56</v>
      </c>
      <c r="E121" s="4">
        <f>3.58</f>
        <v>3.58</v>
      </c>
      <c r="F121" s="4">
        <f>0.29</f>
        <v>0.28999999999999998</v>
      </c>
      <c r="G121" s="4">
        <f>1.85</f>
        <v>1.85</v>
      </c>
      <c r="H121" s="4">
        <f>1.52</f>
        <v>1.52</v>
      </c>
      <c r="I121" s="4">
        <f>14</f>
        <v>14</v>
      </c>
      <c r="J121" s="4">
        <f>12.81</f>
        <v>12.81</v>
      </c>
      <c r="K121" s="4">
        <f>9.41</f>
        <v>9.41</v>
      </c>
      <c r="L121" s="4">
        <f>32.1</f>
        <v>32.1</v>
      </c>
      <c r="M121" s="4">
        <f>9.79</f>
        <v>9.7899999999999991</v>
      </c>
      <c r="N121" s="4">
        <v>-1.9324534161490683</v>
      </c>
      <c r="O121" s="4">
        <v>5.434782608695652E-2</v>
      </c>
      <c r="P121" s="4">
        <v>2.1902173913043477</v>
      </c>
    </row>
    <row r="122" spans="1:16" x14ac:dyDescent="0.3">
      <c r="A122" s="3">
        <v>120</v>
      </c>
      <c r="B122" s="4" t="s">
        <v>45</v>
      </c>
      <c r="C122" s="4">
        <v>2018</v>
      </c>
      <c r="D122" s="4">
        <v>-30</v>
      </c>
      <c r="E122" s="4">
        <f>4.28</f>
        <v>4.28</v>
      </c>
      <c r="F122" s="4">
        <f>0.73</f>
        <v>0.73</v>
      </c>
      <c r="G122" s="4">
        <f>4.19</f>
        <v>4.1900000000000004</v>
      </c>
      <c r="H122" s="4">
        <f>2.85</f>
        <v>2.85</v>
      </c>
      <c r="I122" s="4">
        <f>27.21</f>
        <v>27.21</v>
      </c>
      <c r="J122" s="4">
        <f>5.76</f>
        <v>5.76</v>
      </c>
      <c r="K122" s="4">
        <f>3.67</f>
        <v>3.67</v>
      </c>
      <c r="L122" s="4">
        <f>5.01</f>
        <v>5.01</v>
      </c>
      <c r="M122" s="4">
        <f>37.21</f>
        <v>37.21</v>
      </c>
      <c r="N122" s="4">
        <v>-0.59222222222222221</v>
      </c>
      <c r="O122" s="4">
        <v>-9.3333333333333338E-2</v>
      </c>
      <c r="P122" s="4">
        <v>0.85111111111111115</v>
      </c>
    </row>
    <row r="123" spans="1:16" x14ac:dyDescent="0.3">
      <c r="A123" s="3">
        <v>121</v>
      </c>
      <c r="B123" s="4" t="s">
        <v>45</v>
      </c>
      <c r="C123" s="4">
        <v>2019</v>
      </c>
      <c r="D123" s="4">
        <v>14</v>
      </c>
      <c r="E123" s="4">
        <f>3.66</f>
        <v>3.66</v>
      </c>
      <c r="F123" s="4">
        <f>0.59</f>
        <v>0.59</v>
      </c>
      <c r="G123" s="4">
        <f>3.52</f>
        <v>3.52</v>
      </c>
      <c r="H123" s="4">
        <f>1.86</f>
        <v>1.86</v>
      </c>
      <c r="I123" s="4">
        <f>32.32</f>
        <v>32.32</v>
      </c>
      <c r="J123" s="4">
        <f>1.78</f>
        <v>1.78</v>
      </c>
      <c r="K123" s="4">
        <f>1.11</f>
        <v>1.1100000000000001</v>
      </c>
      <c r="L123" s="4">
        <f>1.89</f>
        <v>1.89</v>
      </c>
      <c r="M123" s="4">
        <f>142.73</f>
        <v>142.72999999999999</v>
      </c>
      <c r="N123" s="4">
        <v>-0.18626528692380057</v>
      </c>
      <c r="O123" s="4">
        <v>-1.4111006585136407E-2</v>
      </c>
      <c r="P123" s="4">
        <v>6.0206961429915336E-2</v>
      </c>
    </row>
    <row r="124" spans="1:16" x14ac:dyDescent="0.3">
      <c r="A124" s="3">
        <v>122</v>
      </c>
      <c r="B124" s="4" t="s">
        <v>45</v>
      </c>
      <c r="C124" s="4">
        <v>2020</v>
      </c>
      <c r="D124" s="4">
        <v>21</v>
      </c>
      <c r="E124" s="4">
        <f>4.1</f>
        <v>4.0999999999999996</v>
      </c>
      <c r="F124" s="4">
        <f>0.64</f>
        <v>0.64</v>
      </c>
      <c r="G124" s="4">
        <f>2.56</f>
        <v>2.56</v>
      </c>
      <c r="H124" s="4">
        <f>1.15</f>
        <v>1.1499999999999999</v>
      </c>
      <c r="I124" s="4">
        <f>67.55</f>
        <v>67.55</v>
      </c>
      <c r="J124" s="4">
        <f>1.91</f>
        <v>1.91</v>
      </c>
      <c r="K124" s="4">
        <f>1.07</f>
        <v>1.07</v>
      </c>
      <c r="L124" s="4">
        <f>1.67</f>
        <v>1.67</v>
      </c>
      <c r="M124" s="4">
        <f>115.06</f>
        <v>115.06</v>
      </c>
      <c r="N124" s="4">
        <v>-0.26508785332314744</v>
      </c>
      <c r="O124" s="4">
        <v>-4.1252864782276549E-2</v>
      </c>
      <c r="P124" s="4">
        <v>0.3170359052711994</v>
      </c>
    </row>
    <row r="125" spans="1:16" x14ac:dyDescent="0.3">
      <c r="A125" s="3">
        <v>123</v>
      </c>
      <c r="B125" s="4" t="s">
        <v>45</v>
      </c>
      <c r="C125" s="4">
        <v>2021</v>
      </c>
      <c r="D125" s="4">
        <v>32</v>
      </c>
      <c r="E125" s="4">
        <f>3.28</f>
        <v>3.28</v>
      </c>
      <c r="F125" s="4">
        <f>0.36</f>
        <v>0.36</v>
      </c>
      <c r="G125" s="4">
        <f>2.93</f>
        <v>2.93</v>
      </c>
      <c r="H125" s="4">
        <f>1.37</f>
        <v>1.37</v>
      </c>
      <c r="I125" s="4">
        <f>53.86</f>
        <v>53.86</v>
      </c>
      <c r="J125" s="4">
        <f>1.32</f>
        <v>1.32</v>
      </c>
      <c r="K125" s="4">
        <f>0.74</f>
        <v>0.74</v>
      </c>
      <c r="L125" s="4">
        <f>2.04</f>
        <v>2.04</v>
      </c>
      <c r="M125" s="4">
        <f>233.26</f>
        <v>233.26</v>
      </c>
      <c r="N125" s="4">
        <v>-0.25925925925925924</v>
      </c>
      <c r="O125" s="4">
        <v>-8.0397470641373078E-2</v>
      </c>
      <c r="P125" s="4">
        <v>0.33604336043360433</v>
      </c>
    </row>
    <row r="126" spans="1:16" x14ac:dyDescent="0.3">
      <c r="A126" s="3">
        <v>124</v>
      </c>
      <c r="B126" s="4" t="s">
        <v>46</v>
      </c>
      <c r="C126" s="4">
        <v>2018</v>
      </c>
      <c r="D126" s="4">
        <v>-16.2</v>
      </c>
      <c r="E126" s="4">
        <f>3.4</f>
        <v>3.4</v>
      </c>
      <c r="F126" s="4">
        <f>0.4</f>
        <v>0.4</v>
      </c>
      <c r="G126" s="4">
        <f>2.31</f>
        <v>2.31</v>
      </c>
      <c r="H126" s="4">
        <f>1.23</f>
        <v>1.23</v>
      </c>
      <c r="I126" s="4">
        <f>6.09</f>
        <v>6.09</v>
      </c>
      <c r="J126" s="4">
        <f>26.37</f>
        <v>26.37</v>
      </c>
      <c r="K126" s="4">
        <f>14.17</f>
        <v>14.17</v>
      </c>
      <c r="L126" s="4">
        <f>35.15</f>
        <v>35.15</v>
      </c>
      <c r="M126" s="4">
        <f>4.13</f>
        <v>4.13</v>
      </c>
      <c r="N126" s="4">
        <v>0.1579746835443038</v>
      </c>
      <c r="O126" s="4">
        <v>6.3797468354430384E-2</v>
      </c>
      <c r="P126" s="4">
        <v>3.6962025316455697E-2</v>
      </c>
    </row>
    <row r="127" spans="1:16" x14ac:dyDescent="0.3">
      <c r="A127" s="3">
        <v>125</v>
      </c>
      <c r="B127" s="4" t="s">
        <v>46</v>
      </c>
      <c r="C127" s="4">
        <v>2019</v>
      </c>
      <c r="D127" s="4">
        <v>-38.6</v>
      </c>
      <c r="E127" s="4">
        <f>1.61</f>
        <v>1.61</v>
      </c>
      <c r="F127" s="4">
        <f>0.15</f>
        <v>0.15</v>
      </c>
      <c r="G127" s="4">
        <f>1.54</f>
        <v>1.54</v>
      </c>
      <c r="H127" s="4">
        <f>0.86</f>
        <v>0.86</v>
      </c>
      <c r="I127" s="4">
        <f>8.05</f>
        <v>8.0500000000000007</v>
      </c>
      <c r="J127" s="4">
        <f>21.19</f>
        <v>21.19</v>
      </c>
      <c r="K127" s="4">
        <f>11.26</f>
        <v>11.26</v>
      </c>
      <c r="L127" s="4">
        <f>76.89</f>
        <v>76.89</v>
      </c>
      <c r="M127" s="4">
        <f>3.19</f>
        <v>3.19</v>
      </c>
      <c r="N127" s="4">
        <v>-2.240506329113924</v>
      </c>
      <c r="O127" s="4">
        <v>1.4278481012658228</v>
      </c>
      <c r="P127" s="4">
        <v>0.12025316455696203</v>
      </c>
    </row>
    <row r="128" spans="1:16" x14ac:dyDescent="0.3">
      <c r="A128" s="3">
        <v>126</v>
      </c>
      <c r="B128" s="4" t="s">
        <v>46</v>
      </c>
      <c r="C128" s="4">
        <v>2020</v>
      </c>
      <c r="D128" s="4">
        <v>-9.4</v>
      </c>
      <c r="E128" s="4">
        <f>3.06</f>
        <v>3.06</v>
      </c>
      <c r="F128" s="4">
        <f>0.24</f>
        <v>0.24</v>
      </c>
      <c r="G128" s="4">
        <f>1.68</f>
        <v>1.68</v>
      </c>
      <c r="H128" s="4">
        <f>1.23</f>
        <v>1.23</v>
      </c>
      <c r="I128" s="4">
        <f>18.95</f>
        <v>18.95</v>
      </c>
      <c r="J128" s="4">
        <f>0.41</f>
        <v>0.41</v>
      </c>
      <c r="K128" s="4">
        <f>0.23</f>
        <v>0.23</v>
      </c>
      <c r="L128" s="4">
        <f>0.93</f>
        <v>0.93</v>
      </c>
      <c r="M128" s="4">
        <f>145.83</f>
        <v>145.83000000000001</v>
      </c>
      <c r="N128" s="4">
        <v>-6.5363881401617252E-2</v>
      </c>
      <c r="O128" s="4">
        <v>-0.18194070080862534</v>
      </c>
      <c r="P128" s="4">
        <v>0.22708894878706198</v>
      </c>
    </row>
    <row r="129" spans="1:16" x14ac:dyDescent="0.3">
      <c r="A129" s="3">
        <v>127</v>
      </c>
      <c r="B129" s="4" t="s">
        <v>46</v>
      </c>
      <c r="C129" s="4">
        <v>2021</v>
      </c>
      <c r="D129" s="4">
        <v>173.9</v>
      </c>
      <c r="E129" s="4">
        <f>0.74</f>
        <v>0.74</v>
      </c>
      <c r="F129" s="4">
        <f>0.05</f>
        <v>0.05</v>
      </c>
      <c r="G129" s="4">
        <f>1.91</f>
        <v>1.91</v>
      </c>
      <c r="H129" s="4">
        <f>1.49</f>
        <v>1.49</v>
      </c>
      <c r="I129" s="4">
        <f>39.15</f>
        <v>39.15</v>
      </c>
      <c r="J129" s="4">
        <f>4.43</f>
        <v>4.43</v>
      </c>
      <c r="K129" s="4">
        <f>2.27</f>
        <v>2.27</v>
      </c>
      <c r="L129" s="4">
        <f>43.78</f>
        <v>43.78</v>
      </c>
      <c r="M129" s="4">
        <f>36.6</f>
        <v>36.6</v>
      </c>
      <c r="N129" s="4">
        <v>-2</v>
      </c>
      <c r="O129" s="4">
        <v>0.71129707112970708</v>
      </c>
      <c r="P129" s="4">
        <v>1.4246861924686192</v>
      </c>
    </row>
    <row r="130" spans="1:16" x14ac:dyDescent="0.3">
      <c r="A130" s="3">
        <v>128</v>
      </c>
      <c r="B130" s="4" t="s">
        <v>47</v>
      </c>
      <c r="C130" s="4">
        <v>2018</v>
      </c>
      <c r="D130" s="4">
        <v>-28</v>
      </c>
      <c r="E130" s="4">
        <f>5.21</f>
        <v>5.21</v>
      </c>
      <c r="F130" s="4">
        <f>0.5</f>
        <v>0.5</v>
      </c>
      <c r="G130" s="4">
        <f>1.34</f>
        <v>1.34</v>
      </c>
      <c r="H130" s="4">
        <f>0.49</f>
        <v>0.49</v>
      </c>
      <c r="I130" s="4">
        <f>104.72</f>
        <v>104.72</v>
      </c>
      <c r="J130" s="4">
        <f>17.02</f>
        <v>17.02</v>
      </c>
      <c r="K130" s="4">
        <f>4.78</f>
        <v>4.78</v>
      </c>
      <c r="L130" s="4">
        <f>9.75</f>
        <v>9.75</v>
      </c>
      <c r="M130" s="4">
        <f>2.66</f>
        <v>2.66</v>
      </c>
      <c r="N130" s="4">
        <v>-3.7510656436487641E-2</v>
      </c>
      <c r="O130" s="4">
        <v>-3.4953111679454391E-2</v>
      </c>
      <c r="P130" s="4">
        <v>0.13299232736572891</v>
      </c>
    </row>
    <row r="131" spans="1:16" x14ac:dyDescent="0.3">
      <c r="A131" s="3">
        <v>129</v>
      </c>
      <c r="B131" s="4" t="s">
        <v>47</v>
      </c>
      <c r="C131" s="4">
        <v>2019</v>
      </c>
      <c r="D131" s="4">
        <v>19.3</v>
      </c>
      <c r="E131" s="4">
        <f>4.23</f>
        <v>4.2300000000000004</v>
      </c>
      <c r="F131" s="4">
        <f>0.61</f>
        <v>0.61</v>
      </c>
      <c r="G131" s="4">
        <f>1.12</f>
        <v>1.1200000000000001</v>
      </c>
      <c r="H131" s="4">
        <f>0.71</f>
        <v>0.71</v>
      </c>
      <c r="I131" s="4">
        <f>52.98</f>
        <v>52.98</v>
      </c>
      <c r="J131" s="4">
        <f>8.11</f>
        <v>8.11</v>
      </c>
      <c r="K131" s="4">
        <f>2.97</f>
        <v>2.97</v>
      </c>
      <c r="L131" s="4">
        <f>5.35</f>
        <v>5.35</v>
      </c>
      <c r="M131" s="4">
        <f>6.62</f>
        <v>6.62</v>
      </c>
      <c r="N131" s="4">
        <v>0.34890965732087226</v>
      </c>
      <c r="O131" s="4">
        <v>-0.10046728971962617</v>
      </c>
      <c r="P131" s="4">
        <v>-0.36682242990654207</v>
      </c>
    </row>
    <row r="132" spans="1:16" x14ac:dyDescent="0.3">
      <c r="A132" s="3">
        <v>130</v>
      </c>
      <c r="B132" s="4" t="s">
        <v>47</v>
      </c>
      <c r="C132" s="4">
        <v>2020</v>
      </c>
      <c r="D132" s="4">
        <v>-20.9</v>
      </c>
      <c r="E132" s="4">
        <f>0.51</f>
        <v>0.51</v>
      </c>
      <c r="F132" s="4">
        <f>0.1</f>
        <v>0.1</v>
      </c>
      <c r="G132" s="4">
        <f>1.23</f>
        <v>1.23</v>
      </c>
      <c r="H132" s="4">
        <f>0.81</f>
        <v>0.81</v>
      </c>
      <c r="I132" s="4">
        <f>42.99</f>
        <v>42.99</v>
      </c>
      <c r="J132" s="4">
        <f>0.27</f>
        <v>0.27</v>
      </c>
      <c r="K132" s="4">
        <f>0.12</f>
        <v>0.12</v>
      </c>
      <c r="L132" s="4">
        <f>2.36</f>
        <v>2.36</v>
      </c>
      <c r="M132" s="4">
        <f>160.33</f>
        <v>160.33000000000001</v>
      </c>
      <c r="N132" s="4">
        <v>0.91812865497076024</v>
      </c>
      <c r="O132" s="4">
        <v>-0.2046783625730994</v>
      </c>
      <c r="P132" s="4">
        <v>-0.42105263157894735</v>
      </c>
    </row>
    <row r="133" spans="1:16" x14ac:dyDescent="0.3">
      <c r="A133" s="3">
        <v>131</v>
      </c>
      <c r="B133" s="4" t="s">
        <v>47</v>
      </c>
      <c r="C133" s="4">
        <v>2021</v>
      </c>
      <c r="D133" s="4">
        <v>99.7</v>
      </c>
      <c r="E133" s="4">
        <f>0.39</f>
        <v>0.39</v>
      </c>
      <c r="F133" s="4">
        <f>0.07</f>
        <v>7.0000000000000007E-2</v>
      </c>
      <c r="G133" s="4">
        <f>1.23</f>
        <v>1.23</v>
      </c>
      <c r="H133" s="4">
        <f>0.83</f>
        <v>0.83</v>
      </c>
      <c r="I133" s="4">
        <f>34.04</f>
        <v>34.04</v>
      </c>
      <c r="J133" s="4">
        <f>0.17</f>
        <v>0.17</v>
      </c>
      <c r="K133" s="4">
        <f>0.07</f>
        <v>7.0000000000000007E-2</v>
      </c>
      <c r="L133" s="4">
        <f>3.68</f>
        <v>3.68</v>
      </c>
      <c r="M133" s="4">
        <f>529.47</f>
        <v>529.47</v>
      </c>
      <c r="N133" s="4">
        <v>0.16</v>
      </c>
      <c r="O133" s="4">
        <v>0.04</v>
      </c>
      <c r="P133" s="4">
        <v>-0.57599999999999996</v>
      </c>
    </row>
    <row r="134" spans="1:16" x14ac:dyDescent="0.3">
      <c r="A134" s="3">
        <v>132</v>
      </c>
      <c r="B134" s="4" t="s">
        <v>48</v>
      </c>
      <c r="C134" s="4">
        <v>2018</v>
      </c>
      <c r="D134" s="4">
        <v>9.1</v>
      </c>
      <c r="E134" s="4">
        <f>11.32</f>
        <v>11.32</v>
      </c>
      <c r="F134" s="4">
        <f>0.21</f>
        <v>0.21</v>
      </c>
      <c r="G134" s="4">
        <f>2.47</f>
        <v>2.4700000000000002</v>
      </c>
      <c r="H134" s="4">
        <f>1.67</f>
        <v>1.67</v>
      </c>
      <c r="I134" s="4">
        <f>5.97</f>
        <v>5.97</v>
      </c>
      <c r="J134" s="4">
        <f>15.72</f>
        <v>15.72</v>
      </c>
      <c r="K134" s="4">
        <f>8.57</f>
        <v>8.57</v>
      </c>
      <c r="L134" s="4">
        <f>40.9</f>
        <v>40.9</v>
      </c>
      <c r="M134" s="4">
        <f>5.27</f>
        <v>5.27</v>
      </c>
      <c r="N134" s="4">
        <v>-0.15771230502599654</v>
      </c>
      <c r="O134" s="4">
        <v>9.7053726169844021E-2</v>
      </c>
      <c r="P134" s="4">
        <v>-0.1195840554592721</v>
      </c>
    </row>
    <row r="135" spans="1:16" x14ac:dyDescent="0.3">
      <c r="A135" s="3">
        <v>133</v>
      </c>
      <c r="B135" s="4" t="s">
        <v>48</v>
      </c>
      <c r="C135" s="4">
        <v>2019</v>
      </c>
      <c r="D135" s="4">
        <v>-17</v>
      </c>
      <c r="E135" s="4">
        <f>21.69</f>
        <v>21.69</v>
      </c>
      <c r="F135" s="4">
        <f>0.28</f>
        <v>0.28000000000000003</v>
      </c>
      <c r="G135" s="4">
        <f>2.36</f>
        <v>2.36</v>
      </c>
      <c r="H135" s="4">
        <f>1.41</f>
        <v>1.41</v>
      </c>
      <c r="I135" s="4">
        <f>9.14</f>
        <v>9.14</v>
      </c>
      <c r="J135" s="4">
        <f>12.21</f>
        <v>12.21</v>
      </c>
      <c r="K135" s="4">
        <f>6.56</f>
        <v>6.56</v>
      </c>
      <c r="L135" s="4">
        <f>23.83</f>
        <v>23.83</v>
      </c>
      <c r="M135" s="4">
        <f>5.4</f>
        <v>5.4</v>
      </c>
      <c r="N135" s="4">
        <v>2.5041736227045076E-2</v>
      </c>
      <c r="O135" s="4">
        <v>-0.29215358931552587</v>
      </c>
      <c r="P135" s="4">
        <v>-6.6777963272120197E-2</v>
      </c>
    </row>
    <row r="136" spans="1:16" x14ac:dyDescent="0.3">
      <c r="A136" s="3">
        <v>134</v>
      </c>
      <c r="B136" s="4" t="s">
        <v>48</v>
      </c>
      <c r="C136" s="4">
        <v>2020</v>
      </c>
      <c r="D136" s="4">
        <v>122.7</v>
      </c>
      <c r="E136" s="4">
        <f>17.21</f>
        <v>17.21</v>
      </c>
      <c r="F136" s="4">
        <f>0.27</f>
        <v>0.27</v>
      </c>
      <c r="G136" s="4">
        <f>2.28</f>
        <v>2.2799999999999998</v>
      </c>
      <c r="H136" s="4">
        <f>1.35</f>
        <v>1.35</v>
      </c>
      <c r="I136" s="4">
        <f>16.31</f>
        <v>16.309999999999999</v>
      </c>
      <c r="J136" s="4">
        <f>16.05</f>
        <v>16.05</v>
      </c>
      <c r="K136" s="4">
        <f>8.22</f>
        <v>8.2200000000000006</v>
      </c>
      <c r="L136" s="4">
        <f>30.87</f>
        <v>30.87</v>
      </c>
      <c r="M136" s="4">
        <f>8.64</f>
        <v>8.64</v>
      </c>
      <c r="N136" s="4">
        <v>0.32740740740740742</v>
      </c>
      <c r="O136" s="4">
        <v>-0.17333333333333334</v>
      </c>
      <c r="P136" s="4">
        <v>7.4074074074074077E-3</v>
      </c>
    </row>
    <row r="137" spans="1:16" x14ac:dyDescent="0.3">
      <c r="A137" s="3">
        <v>135</v>
      </c>
      <c r="B137" s="4" t="s">
        <v>48</v>
      </c>
      <c r="C137" s="4">
        <v>2021</v>
      </c>
      <c r="D137" s="4">
        <v>54.5</v>
      </c>
      <c r="E137" s="4">
        <f>24.95</f>
        <v>24.95</v>
      </c>
      <c r="F137" s="4">
        <f>0.29</f>
        <v>0.28999999999999998</v>
      </c>
      <c r="G137" s="4">
        <f>2.47</f>
        <v>2.4700000000000002</v>
      </c>
      <c r="H137" s="4">
        <f>1.7</f>
        <v>1.7</v>
      </c>
      <c r="I137" s="4">
        <f>12.74</f>
        <v>12.74</v>
      </c>
      <c r="J137" s="4">
        <f>21.57</f>
        <v>21.57</v>
      </c>
      <c r="K137" s="4">
        <f>10.88</f>
        <v>10.88</v>
      </c>
      <c r="L137" s="4">
        <f>37.91</f>
        <v>37.909999999999997</v>
      </c>
      <c r="M137" s="4">
        <f>8.95</f>
        <v>8.9499999999999993</v>
      </c>
      <c r="N137" s="4">
        <v>0.60230179028132991</v>
      </c>
      <c r="O137" s="4">
        <v>-0.6675191815856778</v>
      </c>
      <c r="P137" s="4">
        <v>-0.15089514066496162</v>
      </c>
    </row>
    <row r="138" spans="1:16" x14ac:dyDescent="0.3">
      <c r="A138" s="3">
        <v>136</v>
      </c>
      <c r="B138" s="4" t="s">
        <v>49</v>
      </c>
      <c r="C138" s="4">
        <v>2018</v>
      </c>
      <c r="D138" s="4">
        <v>2</v>
      </c>
      <c r="E138" s="4">
        <f>3.94</f>
        <v>3.94</v>
      </c>
      <c r="F138" s="4">
        <f>0.23</f>
        <v>0.23</v>
      </c>
      <c r="G138" s="4">
        <f>1.93</f>
        <v>1.93</v>
      </c>
      <c r="H138" s="4">
        <f>0.64</f>
        <v>0.64</v>
      </c>
      <c r="I138" s="4">
        <f>15.84</f>
        <v>15.84</v>
      </c>
      <c r="J138" s="4">
        <f>7.66</f>
        <v>7.66</v>
      </c>
      <c r="K138" s="4">
        <f>3.03</f>
        <v>3.03</v>
      </c>
      <c r="L138" s="4">
        <f>13.56</f>
        <v>13.56</v>
      </c>
      <c r="M138" s="4">
        <f>13</f>
        <v>13</v>
      </c>
      <c r="N138" s="4">
        <v>0.20983318700614575</v>
      </c>
      <c r="O138" s="4">
        <v>1.4925373134328358E-2</v>
      </c>
      <c r="P138" s="4">
        <v>-0.32660228270412645</v>
      </c>
    </row>
    <row r="139" spans="1:16" x14ac:dyDescent="0.3">
      <c r="A139" s="3">
        <v>137</v>
      </c>
      <c r="B139" s="4" t="s">
        <v>49</v>
      </c>
      <c r="C139" s="4">
        <v>2019</v>
      </c>
      <c r="D139" s="4">
        <v>-2</v>
      </c>
      <c r="E139" s="4">
        <f>0.78</f>
        <v>0.78</v>
      </c>
      <c r="F139" s="4">
        <f>0.06</f>
        <v>0.06</v>
      </c>
      <c r="G139" s="4">
        <f>1.66</f>
        <v>1.66</v>
      </c>
      <c r="H139" s="4">
        <f>0.38</f>
        <v>0.38</v>
      </c>
      <c r="I139" s="4">
        <f>12.8</f>
        <v>12.8</v>
      </c>
      <c r="J139" s="4">
        <f>16.41</f>
        <v>16.41</v>
      </c>
      <c r="K139" s="4">
        <f>6.44</f>
        <v>6.44</v>
      </c>
      <c r="L139" s="4">
        <f>104.94</f>
        <v>104.94</v>
      </c>
      <c r="M139" s="4">
        <f>5.47</f>
        <v>5.47</v>
      </c>
      <c r="N139" s="4">
        <v>0.71601208459214505</v>
      </c>
      <c r="O139" s="4">
        <v>-0.13595166163141995</v>
      </c>
      <c r="P139" s="4">
        <v>-0.55287009063444104</v>
      </c>
    </row>
    <row r="140" spans="1:16" x14ac:dyDescent="0.3">
      <c r="A140" s="3">
        <v>138</v>
      </c>
      <c r="B140" s="4" t="s">
        <v>49</v>
      </c>
      <c r="C140" s="4">
        <v>2020</v>
      </c>
      <c r="D140" s="4">
        <v>39.1</v>
      </c>
      <c r="E140" s="4">
        <f>8</f>
        <v>8</v>
      </c>
      <c r="F140" s="4">
        <f>0.72</f>
        <v>0.72</v>
      </c>
      <c r="G140" s="4">
        <f>1.75</f>
        <v>1.75</v>
      </c>
      <c r="H140" s="4">
        <f>0.57</f>
        <v>0.56999999999999995</v>
      </c>
      <c r="I140" s="4">
        <f>29.36</f>
        <v>29.36</v>
      </c>
      <c r="J140" s="4">
        <f>16.66</f>
        <v>16.66</v>
      </c>
      <c r="K140" s="4">
        <f>6.71</f>
        <v>6.71</v>
      </c>
      <c r="L140" s="4">
        <f>9.35</f>
        <v>9.35</v>
      </c>
      <c r="M140" s="4">
        <f>6.78</f>
        <v>6.78</v>
      </c>
      <c r="N140" s="4">
        <v>8.7403598971722368E-2</v>
      </c>
      <c r="O140" s="4">
        <v>-7.1408169094544418E-3</v>
      </c>
      <c r="P140" s="4">
        <v>-0.10111396743787489</v>
      </c>
    </row>
    <row r="141" spans="1:16" x14ac:dyDescent="0.3">
      <c r="A141" s="3">
        <v>139</v>
      </c>
      <c r="B141" s="4" t="s">
        <v>49</v>
      </c>
      <c r="C141" s="4">
        <v>2021</v>
      </c>
      <c r="D141" s="4">
        <v>147.9</v>
      </c>
      <c r="E141" s="4">
        <f>1.36</f>
        <v>1.36</v>
      </c>
      <c r="F141" s="4">
        <f>0.13</f>
        <v>0.13</v>
      </c>
      <c r="G141" s="4">
        <f>0.81</f>
        <v>0.81</v>
      </c>
      <c r="H141" s="4">
        <f>0.39</f>
        <v>0.39</v>
      </c>
      <c r="I141" s="4">
        <f>64.86</f>
        <v>64.86</v>
      </c>
      <c r="J141" s="4">
        <f>17.48</f>
        <v>17.48</v>
      </c>
      <c r="K141" s="4">
        <f>7.43</f>
        <v>7.43</v>
      </c>
      <c r="L141" s="4">
        <f>55.39</f>
        <v>55.39</v>
      </c>
      <c r="M141" s="4">
        <f>11.67</f>
        <v>11.67</v>
      </c>
      <c r="N141" s="4">
        <v>-0.18230088495575222</v>
      </c>
      <c r="O141" s="4">
        <v>-0.84424778761061947</v>
      </c>
      <c r="P141" s="4">
        <v>0.9610619469026549</v>
      </c>
    </row>
    <row r="142" spans="1:16" x14ac:dyDescent="0.3">
      <c r="A142" s="3">
        <v>140</v>
      </c>
      <c r="B142" s="4" t="s">
        <v>50</v>
      </c>
      <c r="C142" s="4">
        <v>2018</v>
      </c>
      <c r="D142" s="4">
        <v>-49.6</v>
      </c>
      <c r="E142" s="4">
        <f>4.35</f>
        <v>4.3499999999999996</v>
      </c>
      <c r="F142" s="4">
        <f>0.61</f>
        <v>0.61</v>
      </c>
      <c r="G142" s="4">
        <f>5.77</f>
        <v>5.77</v>
      </c>
      <c r="H142" s="4">
        <f>2.92</f>
        <v>2.92</v>
      </c>
      <c r="I142" s="4" t="s">
        <v>75</v>
      </c>
      <c r="J142" s="4">
        <f>16.63</f>
        <v>16.63</v>
      </c>
      <c r="K142" s="4">
        <f>15.83</f>
        <v>15.83</v>
      </c>
      <c r="L142" s="4">
        <f>26.15</f>
        <v>26.15</v>
      </c>
      <c r="M142" s="4">
        <f>3.52</f>
        <v>3.52</v>
      </c>
      <c r="N142" s="4">
        <v>8.5714285714285715E-2</v>
      </c>
      <c r="O142" s="4">
        <v>-8.5714285714285715E-2</v>
      </c>
      <c r="P142" s="4" t="s">
        <v>75</v>
      </c>
    </row>
    <row r="143" spans="1:16" x14ac:dyDescent="0.3">
      <c r="A143" s="3">
        <v>141</v>
      </c>
      <c r="B143" s="4" t="s">
        <v>50</v>
      </c>
      <c r="C143" s="4">
        <v>2019</v>
      </c>
      <c r="D143" s="4">
        <v>19.3</v>
      </c>
      <c r="E143" s="4">
        <f>6.55</f>
        <v>6.55</v>
      </c>
      <c r="F143" s="4">
        <f>0.74</f>
        <v>0.74</v>
      </c>
      <c r="G143" s="4">
        <f>5.49</f>
        <v>5.49</v>
      </c>
      <c r="H143" s="4">
        <f>5.12</f>
        <v>5.12</v>
      </c>
      <c r="I143" s="4" t="s">
        <v>75</v>
      </c>
      <c r="J143" s="4">
        <f>32.16</f>
        <v>32.159999999999997</v>
      </c>
      <c r="K143" s="4">
        <f>29.91</f>
        <v>29.91</v>
      </c>
      <c r="L143" s="4">
        <f>40.18</f>
        <v>40.18</v>
      </c>
      <c r="M143" s="4">
        <f>1.5</f>
        <v>1.5</v>
      </c>
      <c r="N143" s="4">
        <v>0.3235294117647059</v>
      </c>
      <c r="O143" s="4">
        <v>-0.14705882352941177</v>
      </c>
      <c r="P143" s="4" t="s">
        <v>75</v>
      </c>
    </row>
    <row r="144" spans="1:16" x14ac:dyDescent="0.3">
      <c r="A144" s="3">
        <v>142</v>
      </c>
      <c r="B144" s="4" t="s">
        <v>50</v>
      </c>
      <c r="C144" s="4">
        <v>2020</v>
      </c>
      <c r="D144" s="4">
        <v>253.5</v>
      </c>
      <c r="E144" s="4">
        <f>3.95</f>
        <v>3.95</v>
      </c>
      <c r="F144" s="4">
        <f>0.55</f>
        <v>0.55000000000000004</v>
      </c>
      <c r="G144" s="4">
        <f>3.4</f>
        <v>3.4</v>
      </c>
      <c r="H144" s="4">
        <f>2.27</f>
        <v>2.27</v>
      </c>
      <c r="I144" s="4" t="s">
        <v>75</v>
      </c>
      <c r="J144" s="4">
        <f>13.62</f>
        <v>13.62</v>
      </c>
      <c r="K144" s="4">
        <f>12.28</f>
        <v>12.28</v>
      </c>
      <c r="L144" s="4">
        <f>22.29</f>
        <v>22.29</v>
      </c>
      <c r="M144" s="4">
        <f>11.59</f>
        <v>11.59</v>
      </c>
      <c r="N144" s="4">
        <v>-0.16666666666666666</v>
      </c>
      <c r="O144" s="4">
        <v>-2.4691358024691357E-2</v>
      </c>
      <c r="P144" s="4" t="s">
        <v>75</v>
      </c>
    </row>
    <row r="145" spans="1:16" x14ac:dyDescent="0.3">
      <c r="A145" s="3">
        <v>143</v>
      </c>
      <c r="B145" s="4" t="s">
        <v>50</v>
      </c>
      <c r="C145" s="4">
        <v>2021</v>
      </c>
      <c r="D145" s="4">
        <v>312.7</v>
      </c>
      <c r="E145" s="4">
        <f>2.21</f>
        <v>2.21</v>
      </c>
      <c r="F145" s="4">
        <f>0.3</f>
        <v>0.3</v>
      </c>
      <c r="G145" s="4">
        <f>0.61</f>
        <v>0.61</v>
      </c>
      <c r="H145" s="4">
        <f>0.48</f>
        <v>0.48</v>
      </c>
      <c r="I145" s="4">
        <f>46.23</f>
        <v>46.23</v>
      </c>
      <c r="J145" s="4">
        <f>0.84</f>
        <v>0.84</v>
      </c>
      <c r="K145" s="4">
        <f>0.58</f>
        <v>0.57999999999999996</v>
      </c>
      <c r="L145" s="4">
        <f>1.95</f>
        <v>1.95</v>
      </c>
      <c r="M145" s="4">
        <f>836.31</f>
        <v>836.31</v>
      </c>
      <c r="N145" s="4">
        <v>-0.35245901639344263</v>
      </c>
      <c r="O145" s="4">
        <v>-0.72131147540983609</v>
      </c>
      <c r="P145" s="4">
        <v>1.0819672131147542</v>
      </c>
    </row>
    <row r="146" spans="1:16" x14ac:dyDescent="0.3">
      <c r="A146" s="3">
        <v>144</v>
      </c>
      <c r="B146" s="4" t="s">
        <v>51</v>
      </c>
      <c r="C146" s="4">
        <v>2018</v>
      </c>
      <c r="D146" s="4">
        <v>4.7</v>
      </c>
      <c r="E146" s="4">
        <f>14.03</f>
        <v>14.03</v>
      </c>
      <c r="F146" s="4">
        <f>0.4</f>
        <v>0.4</v>
      </c>
      <c r="G146" s="4">
        <f>2.72</f>
        <v>2.72</v>
      </c>
      <c r="H146" s="4">
        <f>1.51</f>
        <v>1.51</v>
      </c>
      <c r="I146" s="4">
        <f>21.9</f>
        <v>21.9</v>
      </c>
      <c r="J146" s="4">
        <f>18.35</f>
        <v>18.350000000000001</v>
      </c>
      <c r="K146" s="4">
        <f>8.74</f>
        <v>8.74</v>
      </c>
      <c r="L146" s="4">
        <f>25.5</f>
        <v>25.5</v>
      </c>
      <c r="M146" s="4">
        <f>6.52</f>
        <v>6.52</v>
      </c>
      <c r="N146" s="4">
        <v>0.28477011494252874</v>
      </c>
      <c r="O146" s="4">
        <v>-0.52586206896551724</v>
      </c>
      <c r="P146" s="4">
        <v>0.2413793103448276</v>
      </c>
    </row>
    <row r="147" spans="1:16" x14ac:dyDescent="0.3">
      <c r="A147" s="3">
        <v>145</v>
      </c>
      <c r="B147" s="4" t="s">
        <v>51</v>
      </c>
      <c r="C147" s="4">
        <v>2019</v>
      </c>
      <c r="D147" s="4">
        <v>18.5</v>
      </c>
      <c r="E147" s="4">
        <f>7.02</f>
        <v>7.02</v>
      </c>
      <c r="F147" s="4">
        <f>0.25</f>
        <v>0.25</v>
      </c>
      <c r="G147" s="4">
        <f>2.62</f>
        <v>2.62</v>
      </c>
      <c r="H147" s="4">
        <f>1.2</f>
        <v>1.2</v>
      </c>
      <c r="I147" s="4">
        <f>14.02</f>
        <v>14.02</v>
      </c>
      <c r="J147" s="4">
        <f>17.79</f>
        <v>17.79</v>
      </c>
      <c r="K147" s="4">
        <f>9.38</f>
        <v>9.3800000000000008</v>
      </c>
      <c r="L147" s="4">
        <f>39.56</f>
        <v>39.56</v>
      </c>
      <c r="M147" s="4">
        <f>6.88</f>
        <v>6.88</v>
      </c>
      <c r="N147" s="4">
        <v>0.12750098077677521</v>
      </c>
      <c r="O147" s="4">
        <v>-0.14790113770105923</v>
      </c>
      <c r="P147" s="4">
        <v>-5.139270302079247E-2</v>
      </c>
    </row>
    <row r="148" spans="1:16" x14ac:dyDescent="0.3">
      <c r="A148" s="3">
        <v>146</v>
      </c>
      <c r="B148" s="4" t="s">
        <v>51</v>
      </c>
      <c r="C148" s="4">
        <v>2020</v>
      </c>
      <c r="D148" s="4">
        <v>21.8</v>
      </c>
      <c r="E148" s="4">
        <f>4.16</f>
        <v>4.16</v>
      </c>
      <c r="F148" s="4">
        <f>0.18</f>
        <v>0.18</v>
      </c>
      <c r="G148" s="4">
        <f>2.16</f>
        <v>2.16</v>
      </c>
      <c r="H148" s="4">
        <f>0.79</f>
        <v>0.79</v>
      </c>
      <c r="I148" s="4">
        <f>36.56</f>
        <v>36.56</v>
      </c>
      <c r="J148" s="4">
        <f>12.92</f>
        <v>12.92</v>
      </c>
      <c r="K148" s="4">
        <f>6.8</f>
        <v>6.8</v>
      </c>
      <c r="L148" s="4">
        <f>38.36</f>
        <v>38.36</v>
      </c>
      <c r="M148" s="4">
        <f>9.08</f>
        <v>9.08</v>
      </c>
      <c r="N148" s="4">
        <v>-0.49159292035398228</v>
      </c>
      <c r="O148" s="4">
        <v>-0.46150442477876108</v>
      </c>
      <c r="P148" s="4">
        <v>0.58672566371681412</v>
      </c>
    </row>
    <row r="149" spans="1:16" x14ac:dyDescent="0.3">
      <c r="A149" s="3">
        <v>147</v>
      </c>
      <c r="B149" s="4" t="s">
        <v>51</v>
      </c>
      <c r="C149" s="4">
        <v>2021</v>
      </c>
      <c r="D149" s="4">
        <v>146.1</v>
      </c>
      <c r="E149" s="4">
        <f>7.83</f>
        <v>7.83</v>
      </c>
      <c r="F149" s="4">
        <f>0.28</f>
        <v>0.28000000000000003</v>
      </c>
      <c r="G149" s="4">
        <f>3.45</f>
        <v>3.45</v>
      </c>
      <c r="H149" s="4">
        <f>1</f>
        <v>1</v>
      </c>
      <c r="I149" s="4">
        <f>26.67</f>
        <v>26.67</v>
      </c>
      <c r="J149" s="4">
        <f>10.58</f>
        <v>10.58</v>
      </c>
      <c r="K149" s="4">
        <f>5.75</f>
        <v>5.75</v>
      </c>
      <c r="L149" s="4">
        <f>28.39</f>
        <v>28.39</v>
      </c>
      <c r="M149" s="4">
        <f>18.32</f>
        <v>18.32</v>
      </c>
      <c r="N149" s="4">
        <v>0.24894352669996159</v>
      </c>
      <c r="O149" s="4">
        <v>-0.38532462543219365</v>
      </c>
      <c r="P149" s="4">
        <v>0.52804456396465616</v>
      </c>
    </row>
    <row r="150" spans="1:16" x14ac:dyDescent="0.3">
      <c r="A150" s="3">
        <v>148</v>
      </c>
      <c r="B150" s="4" t="s">
        <v>52</v>
      </c>
      <c r="C150" s="4">
        <v>2018</v>
      </c>
      <c r="D150" s="4">
        <v>74.3</v>
      </c>
      <c r="E150" s="4">
        <f>10.6</f>
        <v>10.6</v>
      </c>
      <c r="F150" s="4">
        <f>0.44</f>
        <v>0.44</v>
      </c>
      <c r="G150" s="4">
        <f>2.48</f>
        <v>2.48</v>
      </c>
      <c r="H150" s="4">
        <f>0.74</f>
        <v>0.74</v>
      </c>
      <c r="I150" s="4">
        <f>22.05</f>
        <v>22.05</v>
      </c>
      <c r="J150" s="4">
        <f>10.31</f>
        <v>10.31</v>
      </c>
      <c r="K150" s="4">
        <f>6.17</f>
        <v>6.17</v>
      </c>
      <c r="L150" s="4">
        <f>14.17</f>
        <v>14.17</v>
      </c>
      <c r="M150" s="4">
        <f>11.45</f>
        <v>11.45</v>
      </c>
      <c r="N150" s="4">
        <v>4.2016806722689074E-3</v>
      </c>
      <c r="O150" s="4">
        <v>-3.2212885154061621E-2</v>
      </c>
      <c r="P150" s="4">
        <v>0.12464985994397759</v>
      </c>
    </row>
    <row r="151" spans="1:16" x14ac:dyDescent="0.3">
      <c r="A151" s="3">
        <v>149</v>
      </c>
      <c r="B151" s="4" t="s">
        <v>52</v>
      </c>
      <c r="C151" s="4">
        <v>2019</v>
      </c>
      <c r="D151" s="4">
        <v>24.7</v>
      </c>
      <c r="E151" s="4">
        <f>10.42</f>
        <v>10.42</v>
      </c>
      <c r="F151" s="4">
        <f>0.51</f>
        <v>0.51</v>
      </c>
      <c r="G151" s="4">
        <f>2.71</f>
        <v>2.71</v>
      </c>
      <c r="H151" s="4">
        <f>0.85</f>
        <v>0.85</v>
      </c>
      <c r="I151" s="4">
        <f>15.73</f>
        <v>15.73</v>
      </c>
      <c r="J151" s="4">
        <f>22.68</f>
        <v>22.68</v>
      </c>
      <c r="K151" s="4">
        <f>14.16</f>
        <v>14.16</v>
      </c>
      <c r="L151" s="4">
        <f>28</f>
        <v>28</v>
      </c>
      <c r="M151" s="4">
        <f>6.18</f>
        <v>6.18</v>
      </c>
      <c r="N151" s="4">
        <v>0.20718562874251498</v>
      </c>
      <c r="O151" s="4">
        <v>-9.5808383233532933E-3</v>
      </c>
      <c r="P151" s="4">
        <v>-0.24790419161676647</v>
      </c>
    </row>
    <row r="152" spans="1:16" x14ac:dyDescent="0.3">
      <c r="A152" s="3">
        <v>150</v>
      </c>
      <c r="B152" s="4" t="s">
        <v>52</v>
      </c>
      <c r="C152" s="4">
        <v>2020</v>
      </c>
      <c r="D152" s="4">
        <v>6.5</v>
      </c>
      <c r="E152" s="4">
        <f>13.64</f>
        <v>13.64</v>
      </c>
      <c r="F152" s="4">
        <f>0.38</f>
        <v>0.38</v>
      </c>
      <c r="G152" s="4">
        <f>2.72</f>
        <v>2.72</v>
      </c>
      <c r="H152" s="4">
        <f>0.89</f>
        <v>0.89</v>
      </c>
      <c r="I152" s="4">
        <f>10.57</f>
        <v>10.57</v>
      </c>
      <c r="J152" s="4">
        <f>26.46</f>
        <v>26.46</v>
      </c>
      <c r="K152" s="4">
        <f>17.21</f>
        <v>17.21</v>
      </c>
      <c r="L152" s="4">
        <f>45.25</f>
        <v>45.25</v>
      </c>
      <c r="M152" s="4">
        <f>5.22</f>
        <v>5.22</v>
      </c>
      <c r="N152" s="4">
        <v>0.51454823889739665</v>
      </c>
      <c r="O152" s="4">
        <v>6.1255742725880554E-3</v>
      </c>
      <c r="P152" s="4">
        <v>-0.29862174578866768</v>
      </c>
    </row>
    <row r="153" spans="1:16" x14ac:dyDescent="0.3">
      <c r="A153" s="3">
        <v>151</v>
      </c>
      <c r="B153" s="4" t="s">
        <v>52</v>
      </c>
      <c r="C153" s="4">
        <v>2021</v>
      </c>
      <c r="D153" s="4">
        <v>65.099999999999994</v>
      </c>
      <c r="E153" s="4">
        <f>20.7</f>
        <v>20.7</v>
      </c>
      <c r="F153" s="4">
        <f>0.31</f>
        <v>0.31</v>
      </c>
      <c r="G153" s="4">
        <f>2.87</f>
        <v>2.87</v>
      </c>
      <c r="H153" s="4">
        <f>1.06</f>
        <v>1.06</v>
      </c>
      <c r="I153" s="4" t="s">
        <v>75</v>
      </c>
      <c r="J153" s="4">
        <f>19.88</f>
        <v>19.88</v>
      </c>
      <c r="K153" s="4">
        <f>12.91</f>
        <v>12.91</v>
      </c>
      <c r="L153" s="4">
        <f>41.26</f>
        <v>41.26</v>
      </c>
      <c r="M153" s="4">
        <f>10.69</f>
        <v>10.69</v>
      </c>
      <c r="N153" s="4">
        <v>0.56845753899480067</v>
      </c>
      <c r="O153" s="4">
        <v>5.1993067590987867E-2</v>
      </c>
      <c r="P153" s="4">
        <v>-0.4783362218370884</v>
      </c>
    </row>
    <row r="154" spans="1:16" x14ac:dyDescent="0.3">
      <c r="A154" s="3">
        <v>152</v>
      </c>
      <c r="B154" s="4" t="s">
        <v>53</v>
      </c>
      <c r="C154" s="4">
        <v>2018</v>
      </c>
      <c r="D154" s="4">
        <v>29</v>
      </c>
      <c r="E154" s="4">
        <f>26.6</f>
        <v>26.6</v>
      </c>
      <c r="F154" s="4">
        <f>0.26</f>
        <v>0.26</v>
      </c>
      <c r="G154" s="4">
        <f>1.82</f>
        <v>1.82</v>
      </c>
      <c r="H154" s="4">
        <f>0.64</f>
        <v>0.64</v>
      </c>
      <c r="I154" s="4">
        <f>136.4</f>
        <v>136.4</v>
      </c>
      <c r="J154" s="4">
        <f>19.14</f>
        <v>19.14</v>
      </c>
      <c r="K154" s="4">
        <f>5.41</f>
        <v>5.41</v>
      </c>
      <c r="L154" s="4">
        <f>21.37</f>
        <v>21.37</v>
      </c>
      <c r="M154" s="4">
        <f>16.47</f>
        <v>16.47</v>
      </c>
      <c r="N154" s="4">
        <v>3.677646306363927E-2</v>
      </c>
      <c r="O154" s="4">
        <v>-0.37486408698433005</v>
      </c>
      <c r="P154" s="4">
        <v>0.70118324272465626</v>
      </c>
    </row>
    <row r="155" spans="1:16" x14ac:dyDescent="0.3">
      <c r="A155" s="3">
        <v>153</v>
      </c>
      <c r="B155" s="4" t="s">
        <v>53</v>
      </c>
      <c r="C155" s="4">
        <v>2019</v>
      </c>
      <c r="D155" s="4">
        <v>-7</v>
      </c>
      <c r="E155" s="4">
        <f>11.91</f>
        <v>11.91</v>
      </c>
      <c r="F155" s="4">
        <f>0.14</f>
        <v>0.14000000000000001</v>
      </c>
      <c r="G155" s="4">
        <f>3.79</f>
        <v>3.79</v>
      </c>
      <c r="H155" s="4">
        <f>0.74</f>
        <v>0.74</v>
      </c>
      <c r="I155" s="4">
        <f>141.41</f>
        <v>141.41</v>
      </c>
      <c r="J155" s="4">
        <f>15.28</f>
        <v>15.28</v>
      </c>
      <c r="K155" s="4">
        <f>4.29</f>
        <v>4.29</v>
      </c>
      <c r="L155" s="4">
        <f>30.99</f>
        <v>30.99</v>
      </c>
      <c r="M155" s="4">
        <f>16.16</f>
        <v>16.16</v>
      </c>
      <c r="N155" s="4">
        <v>0.27897696354072193</v>
      </c>
      <c r="O155" s="4">
        <v>-1.2158534373299474</v>
      </c>
      <c r="P155" s="4">
        <v>0.40776346816615272</v>
      </c>
    </row>
    <row r="156" spans="1:16" x14ac:dyDescent="0.3">
      <c r="A156" s="3">
        <v>154</v>
      </c>
      <c r="B156" s="4" t="s">
        <v>53</v>
      </c>
      <c r="C156" s="4">
        <v>2020</v>
      </c>
      <c r="D156" s="4">
        <v>11</v>
      </c>
      <c r="E156" s="4">
        <f>4.32</f>
        <v>4.32</v>
      </c>
      <c r="F156" s="4">
        <f>0.04</f>
        <v>0.04</v>
      </c>
      <c r="G156" s="4">
        <f>3.63</f>
        <v>3.63</v>
      </c>
      <c r="H156" s="4">
        <f>0.87</f>
        <v>0.87</v>
      </c>
      <c r="I156" s="4">
        <f>153.14</f>
        <v>153.13999999999999</v>
      </c>
      <c r="J156" s="4">
        <f>13.9</f>
        <v>13.9</v>
      </c>
      <c r="K156" s="4">
        <f>3.34</f>
        <v>3.34</v>
      </c>
      <c r="L156" s="4">
        <f>77.72</f>
        <v>77.72</v>
      </c>
      <c r="M156" s="4">
        <f>16.41</f>
        <v>16.41</v>
      </c>
      <c r="N156" s="4">
        <v>-0.66501335368180081</v>
      </c>
      <c r="O156" s="4">
        <v>-0.93685616177031672</v>
      </c>
      <c r="P156" s="4">
        <v>2.5734452499046165</v>
      </c>
    </row>
    <row r="157" spans="1:16" x14ac:dyDescent="0.3">
      <c r="A157" s="3">
        <v>155</v>
      </c>
      <c r="B157" s="4" t="s">
        <v>53</v>
      </c>
      <c r="C157" s="4">
        <v>2021</v>
      </c>
      <c r="D157" s="4">
        <v>148</v>
      </c>
      <c r="E157" s="4">
        <f>8.24</f>
        <v>8.24</v>
      </c>
      <c r="F157" s="4">
        <f>0.09</f>
        <v>0.09</v>
      </c>
      <c r="G157" s="4">
        <f>3.17</f>
        <v>3.17</v>
      </c>
      <c r="H157" s="4">
        <f>0.93</f>
        <v>0.93</v>
      </c>
      <c r="I157" s="4">
        <f>146.99</f>
        <v>146.99</v>
      </c>
      <c r="J157" s="4">
        <f>8.82</f>
        <v>8.82</v>
      </c>
      <c r="K157" s="4">
        <f>1.86</f>
        <v>1.86</v>
      </c>
      <c r="L157" s="4">
        <f>23.18</f>
        <v>23.18</v>
      </c>
      <c r="M157" s="4">
        <f>35.92</f>
        <v>35.92</v>
      </c>
      <c r="N157" s="4">
        <v>0.25663125542860959</v>
      </c>
      <c r="O157" s="4">
        <v>-0.87759738090465689</v>
      </c>
      <c r="P157" s="4">
        <v>1.0011358321640944</v>
      </c>
    </row>
    <row r="158" spans="1:16" x14ac:dyDescent="0.3">
      <c r="A158" s="3">
        <v>156</v>
      </c>
      <c r="B158" s="4" t="s">
        <v>54</v>
      </c>
      <c r="C158" s="4">
        <v>2018</v>
      </c>
      <c r="D158" s="4">
        <v>-27.4</v>
      </c>
      <c r="E158" s="4">
        <f>3.86</f>
        <v>3.86</v>
      </c>
      <c r="F158" s="4">
        <f>0.2</f>
        <v>0.2</v>
      </c>
      <c r="G158" s="4">
        <f>10.16</f>
        <v>10.16</v>
      </c>
      <c r="H158" s="4">
        <f>2.76</f>
        <v>2.76</v>
      </c>
      <c r="I158" s="4" t="s">
        <v>75</v>
      </c>
      <c r="J158" s="4">
        <f>20.3</f>
        <v>20.3</v>
      </c>
      <c r="K158" s="4">
        <f>6.12</f>
        <v>6.12</v>
      </c>
      <c r="L158" s="4">
        <f>29.95</f>
        <v>29.95</v>
      </c>
      <c r="M158" s="4">
        <f>9.97</f>
        <v>9.9700000000000006</v>
      </c>
      <c r="N158" s="4">
        <v>0.14235345967386515</v>
      </c>
      <c r="O158" s="4">
        <v>-0.10136624063464081</v>
      </c>
      <c r="P158" s="4">
        <v>-2.0713970912296167E-2</v>
      </c>
    </row>
    <row r="159" spans="1:16" x14ac:dyDescent="0.3">
      <c r="A159" s="3">
        <v>157</v>
      </c>
      <c r="B159" s="4" t="s">
        <v>54</v>
      </c>
      <c r="C159" s="4">
        <v>2019</v>
      </c>
      <c r="D159" s="4">
        <v>0.5</v>
      </c>
      <c r="E159" s="4">
        <f>4.07</f>
        <v>4.07</v>
      </c>
      <c r="F159" s="4">
        <f>0.27</f>
        <v>0.27</v>
      </c>
      <c r="G159" s="4">
        <f>3.37</f>
        <v>3.37</v>
      </c>
      <c r="H159" s="4">
        <f>0.77</f>
        <v>0.77</v>
      </c>
      <c r="I159" s="4">
        <f>49.71</f>
        <v>49.71</v>
      </c>
      <c r="J159" s="4">
        <f>22.18</f>
        <v>22.18</v>
      </c>
      <c r="K159" s="4">
        <f>6.99</f>
        <v>6.99</v>
      </c>
      <c r="L159" s="4">
        <f>25.71</f>
        <v>25.71</v>
      </c>
      <c r="M159" s="4">
        <f>9.24</f>
        <v>9.24</v>
      </c>
      <c r="N159" s="4">
        <v>-0.29853372434017594</v>
      </c>
      <c r="O159" s="4">
        <v>-0.20439882697947215</v>
      </c>
      <c r="P159" s="4">
        <v>0.63695014662756599</v>
      </c>
    </row>
    <row r="160" spans="1:16" x14ac:dyDescent="0.3">
      <c r="A160" s="3">
        <v>158</v>
      </c>
      <c r="B160" s="4" t="s">
        <v>54</v>
      </c>
      <c r="C160" s="4">
        <v>2020</v>
      </c>
      <c r="D160" s="4">
        <v>74.400000000000006</v>
      </c>
      <c r="E160" s="4">
        <f>8.1</f>
        <v>8.1</v>
      </c>
      <c r="F160" s="4">
        <f>0.26</f>
        <v>0.26</v>
      </c>
      <c r="G160" s="4">
        <f>2.49</f>
        <v>2.4900000000000002</v>
      </c>
      <c r="H160" s="4">
        <f>0.36</f>
        <v>0.36</v>
      </c>
      <c r="I160" s="4">
        <f>36.56</f>
        <v>36.56</v>
      </c>
      <c r="J160" s="4">
        <f>25.52</f>
        <v>25.52</v>
      </c>
      <c r="K160" s="4">
        <f>8.25</f>
        <v>8.25</v>
      </c>
      <c r="L160" s="4">
        <f>31.2</f>
        <v>31.2</v>
      </c>
      <c r="M160" s="4">
        <f>15.06</f>
        <v>15.06</v>
      </c>
      <c r="N160" s="4">
        <v>1.1211966249041165</v>
      </c>
      <c r="O160" s="4">
        <v>-1.0976732293531066</v>
      </c>
      <c r="P160" s="4">
        <v>-0.1751470212221938</v>
      </c>
    </row>
    <row r="161" spans="1:16" x14ac:dyDescent="0.3">
      <c r="A161" s="3">
        <v>159</v>
      </c>
      <c r="B161" s="4" t="s">
        <v>54</v>
      </c>
      <c r="C161" s="4">
        <v>2021</v>
      </c>
      <c r="D161" s="4">
        <v>127.1</v>
      </c>
      <c r="E161" s="4">
        <f>8.67</f>
        <v>8.67</v>
      </c>
      <c r="F161" s="4">
        <f>0.2</f>
        <v>0.2</v>
      </c>
      <c r="G161" s="4">
        <f>1.76</f>
        <v>1.76</v>
      </c>
      <c r="H161" s="4">
        <f>0.36</f>
        <v>0.36</v>
      </c>
      <c r="I161" s="4">
        <f>42.08</f>
        <v>42.08</v>
      </c>
      <c r="J161" s="4">
        <f>27.96</f>
        <v>27.96</v>
      </c>
      <c r="K161" s="4">
        <f>10.31</f>
        <v>10.31</v>
      </c>
      <c r="L161" s="4">
        <f>51.39</f>
        <v>51.39</v>
      </c>
      <c r="M161" s="4">
        <f>23.61</f>
        <v>23.61</v>
      </c>
      <c r="N161" s="4">
        <v>0.2201657458563536</v>
      </c>
      <c r="O161" s="4">
        <v>-0.76049723756906074</v>
      </c>
      <c r="P161" s="4">
        <v>0.6621546961325967</v>
      </c>
    </row>
    <row r="162" spans="1:16" x14ac:dyDescent="0.3">
      <c r="A162" s="3">
        <v>160</v>
      </c>
      <c r="B162" s="4" t="s">
        <v>55</v>
      </c>
      <c r="C162" s="4">
        <v>2018</v>
      </c>
      <c r="D162" s="4">
        <v>-30.8</v>
      </c>
      <c r="E162" s="4">
        <f>0.28</f>
        <v>0.28000000000000003</v>
      </c>
      <c r="F162" s="4">
        <f>0.04</f>
        <v>0.04</v>
      </c>
      <c r="G162" s="4">
        <f>2.52</f>
        <v>2.52</v>
      </c>
      <c r="H162" s="4">
        <f>1.92</f>
        <v>1.92</v>
      </c>
      <c r="I162" s="4" t="s">
        <v>75</v>
      </c>
      <c r="J162" s="4">
        <f>-1.98</f>
        <v>-1.98</v>
      </c>
      <c r="K162" s="4">
        <f>-1.32</f>
        <v>-1.32</v>
      </c>
      <c r="L162" s="4">
        <f>-36.86</f>
        <v>-36.86</v>
      </c>
      <c r="M162" s="4">
        <f>-16.79</f>
        <v>-16.79</v>
      </c>
      <c r="N162" s="4">
        <v>-1.8541666666666667</v>
      </c>
      <c r="O162" s="4">
        <v>2.625</v>
      </c>
      <c r="P162" s="4" t="s">
        <v>75</v>
      </c>
    </row>
    <row r="163" spans="1:16" x14ac:dyDescent="0.3">
      <c r="A163" s="3">
        <v>161</v>
      </c>
      <c r="B163" s="4" t="s">
        <v>55</v>
      </c>
      <c r="C163" s="4">
        <v>2019</v>
      </c>
      <c r="D163" s="4">
        <v>56.1</v>
      </c>
      <c r="E163" s="4">
        <f>0.3</f>
        <v>0.3</v>
      </c>
      <c r="F163" s="4">
        <f>0.04</f>
        <v>0.04</v>
      </c>
      <c r="G163" s="4">
        <f>2.3</f>
        <v>2.2999999999999998</v>
      </c>
      <c r="H163" s="4">
        <f>2</f>
        <v>2</v>
      </c>
      <c r="I163" s="4" t="s">
        <v>75</v>
      </c>
      <c r="J163" s="4">
        <f>0.11</f>
        <v>0.11</v>
      </c>
      <c r="K163" s="4">
        <f>0.07</f>
        <v>7.0000000000000007E-2</v>
      </c>
      <c r="L163" s="4">
        <f>0.5</f>
        <v>0.5</v>
      </c>
      <c r="M163" s="4">
        <f>534.68</f>
        <v>534.67999999999995</v>
      </c>
      <c r="N163" s="4">
        <v>0.43181818181818182</v>
      </c>
      <c r="O163" s="4">
        <v>-2.1818181818181817</v>
      </c>
      <c r="P163" s="4" t="s">
        <v>75</v>
      </c>
    </row>
    <row r="164" spans="1:16" x14ac:dyDescent="0.3">
      <c r="A164" s="3">
        <v>162</v>
      </c>
      <c r="B164" s="4" t="s">
        <v>55</v>
      </c>
      <c r="C164" s="4">
        <v>2020</v>
      </c>
      <c r="D164" s="4">
        <v>43.8</v>
      </c>
      <c r="E164" s="4">
        <f>0.29</f>
        <v>0.28999999999999998</v>
      </c>
      <c r="F164" s="4">
        <f>0.04</f>
        <v>0.04</v>
      </c>
      <c r="G164" s="4">
        <f>2.2</f>
        <v>2.2000000000000002</v>
      </c>
      <c r="H164" s="4">
        <f>1.83</f>
        <v>1.83</v>
      </c>
      <c r="I164" s="4" t="s">
        <v>75</v>
      </c>
      <c r="J164" s="4">
        <f>0.34</f>
        <v>0.34</v>
      </c>
      <c r="K164" s="4">
        <f>0.22</f>
        <v>0.22</v>
      </c>
      <c r="L164" s="4">
        <f>4.07</f>
        <v>4.07</v>
      </c>
      <c r="M164" s="4">
        <f>265.85</f>
        <v>265.85000000000002</v>
      </c>
      <c r="N164" s="4">
        <v>-1.1399999999999999</v>
      </c>
      <c r="O164" s="4">
        <v>0.62</v>
      </c>
      <c r="P164" s="4" t="s">
        <v>75</v>
      </c>
    </row>
    <row r="165" spans="1:16" x14ac:dyDescent="0.3">
      <c r="A165" s="3">
        <v>163</v>
      </c>
      <c r="B165" s="4" t="s">
        <v>55</v>
      </c>
      <c r="C165" s="4">
        <v>2021</v>
      </c>
      <c r="D165" s="4">
        <v>154.5</v>
      </c>
      <c r="E165" s="4">
        <f>0.47</f>
        <v>0.47</v>
      </c>
      <c r="F165" s="4">
        <f>0.08</f>
        <v>0.08</v>
      </c>
      <c r="G165" s="4">
        <f>2.21</f>
        <v>2.21</v>
      </c>
      <c r="H165" s="4">
        <f>1.97</f>
        <v>1.97</v>
      </c>
      <c r="I165" s="4" t="s">
        <v>75</v>
      </c>
      <c r="J165" s="4">
        <f>3.64</f>
        <v>3.64</v>
      </c>
      <c r="K165" s="4">
        <f>2.31</f>
        <v>2.31</v>
      </c>
      <c r="L165" s="4">
        <f>29.12</f>
        <v>29.12</v>
      </c>
      <c r="M165" s="4">
        <f>61.16</f>
        <v>61.16</v>
      </c>
      <c r="N165" s="4">
        <v>0.46875</v>
      </c>
      <c r="O165" s="4">
        <v>1.4791666666666667</v>
      </c>
      <c r="P165" s="4" t="s">
        <v>75</v>
      </c>
    </row>
    <row r="166" spans="1:16" x14ac:dyDescent="0.3">
      <c r="A166" s="3">
        <v>164</v>
      </c>
      <c r="B166" s="4" t="s">
        <v>56</v>
      </c>
      <c r="C166" s="4">
        <v>2018</v>
      </c>
      <c r="D166" s="4">
        <v>-0.4</v>
      </c>
      <c r="E166" s="4">
        <f>1.51</f>
        <v>1.51</v>
      </c>
      <c r="F166" s="4">
        <f>0.52</f>
        <v>0.52</v>
      </c>
      <c r="G166" s="4">
        <f>1.31</f>
        <v>1.31</v>
      </c>
      <c r="H166" s="4">
        <f>0.6</f>
        <v>0.6</v>
      </c>
      <c r="I166" s="4">
        <f>35.78</f>
        <v>35.78</v>
      </c>
      <c r="J166" s="4">
        <f>0.21</f>
        <v>0.21</v>
      </c>
      <c r="K166" s="4">
        <f>0.05</f>
        <v>0.05</v>
      </c>
      <c r="L166" s="4">
        <f>0.09</f>
        <v>0.09</v>
      </c>
      <c r="M166" s="4">
        <f>139.59</f>
        <v>139.59</v>
      </c>
      <c r="N166" s="4">
        <v>0.31978798586572438</v>
      </c>
      <c r="O166" s="4">
        <v>5.3003533568904597E-3</v>
      </c>
      <c r="P166" s="4">
        <v>-0.32685512367491165</v>
      </c>
    </row>
    <row r="167" spans="1:16" x14ac:dyDescent="0.3">
      <c r="A167" s="3">
        <v>165</v>
      </c>
      <c r="B167" s="4" t="s">
        <v>56</v>
      </c>
      <c r="C167" s="4">
        <v>2019</v>
      </c>
      <c r="D167" s="4">
        <v>15.7</v>
      </c>
      <c r="E167" s="4">
        <f>1.24</f>
        <v>1.24</v>
      </c>
      <c r="F167" s="4">
        <f>0.59</f>
        <v>0.59</v>
      </c>
      <c r="G167" s="4">
        <f>1.73</f>
        <v>1.73</v>
      </c>
      <c r="H167" s="4">
        <f>1.18</f>
        <v>1.18</v>
      </c>
      <c r="I167" s="4">
        <f>12.79</f>
        <v>12.79</v>
      </c>
      <c r="J167" s="4">
        <f>-3.95</f>
        <v>-3.95</v>
      </c>
      <c r="K167" s="4">
        <f>-1.31</f>
        <v>-1.31</v>
      </c>
      <c r="L167" s="4">
        <f>-2.22</f>
        <v>-2.2200000000000002</v>
      </c>
      <c r="M167" s="4">
        <f>-8.28</f>
        <v>-8.2799999999999994</v>
      </c>
      <c r="N167" s="4">
        <v>0.11040339702760085</v>
      </c>
      <c r="O167" s="4">
        <v>1.2738853503184714E-2</v>
      </c>
      <c r="P167" s="4">
        <v>-0.12101910828025478</v>
      </c>
    </row>
    <row r="168" spans="1:16" x14ac:dyDescent="0.3">
      <c r="A168" s="3">
        <v>166</v>
      </c>
      <c r="B168" s="4" t="s">
        <v>56</v>
      </c>
      <c r="C168" s="4">
        <v>2020</v>
      </c>
      <c r="D168" s="4">
        <v>14.6</v>
      </c>
      <c r="E168" s="4">
        <f>0.03</f>
        <v>0.03</v>
      </c>
      <c r="F168" s="4">
        <f>0.02</f>
        <v>0.02</v>
      </c>
      <c r="G168" s="4">
        <f>2</f>
        <v>2</v>
      </c>
      <c r="H168" s="4">
        <f>1.29</f>
        <v>1.29</v>
      </c>
      <c r="I168" s="4">
        <f>4.86</f>
        <v>4.8600000000000003</v>
      </c>
      <c r="J168" s="4">
        <f>-20.32</f>
        <v>-20.32</v>
      </c>
      <c r="K168" s="4">
        <f>-9.55</f>
        <v>-9.5500000000000007</v>
      </c>
      <c r="L168" s="4">
        <f>-603.66</f>
        <v>-603.66</v>
      </c>
      <c r="M168" s="4">
        <f>-1.98</f>
        <v>-1.98</v>
      </c>
      <c r="N168" s="4">
        <v>2.625</v>
      </c>
      <c r="O168" s="4">
        <v>0.375</v>
      </c>
      <c r="P168" s="4">
        <v>-3</v>
      </c>
    </row>
    <row r="169" spans="1:16" x14ac:dyDescent="0.3">
      <c r="A169" s="3">
        <v>167</v>
      </c>
      <c r="B169" s="4" t="s">
        <v>56</v>
      </c>
      <c r="C169" s="4">
        <v>2021</v>
      </c>
      <c r="D169" s="4">
        <v>169.1</v>
      </c>
      <c r="E169" s="4">
        <f>-0.09</f>
        <v>-0.09</v>
      </c>
      <c r="F169" s="4">
        <f>-0.05</f>
        <v>-0.05</v>
      </c>
      <c r="G169" s="4">
        <f>2.03</f>
        <v>2.0299999999999998</v>
      </c>
      <c r="H169" s="4">
        <f>1.13</f>
        <v>1.1299999999999999</v>
      </c>
      <c r="I169" s="4">
        <f>0.26</f>
        <v>0.26</v>
      </c>
      <c r="J169" s="4">
        <f>-14.73</f>
        <v>-14.73</v>
      </c>
      <c r="K169" s="4">
        <f>-7.6</f>
        <v>-7.6</v>
      </c>
      <c r="L169" s="4">
        <f>163.67</f>
        <v>163.66999999999999</v>
      </c>
      <c r="M169" s="4">
        <f>-8.79</f>
        <v>-8.7899999999999991</v>
      </c>
      <c r="N169" s="4">
        <v>-0.42105263157894735</v>
      </c>
      <c r="O169" s="4">
        <v>-0.10526315789473684</v>
      </c>
      <c r="P169" s="4">
        <v>0.52631578947368418</v>
      </c>
    </row>
    <row r="170" spans="1:16" x14ac:dyDescent="0.3">
      <c r="A170" s="3">
        <v>168</v>
      </c>
      <c r="B170" s="4" t="s">
        <v>57</v>
      </c>
      <c r="C170" s="4">
        <v>2018</v>
      </c>
      <c r="D170" s="4">
        <v>-69.099999999999994</v>
      </c>
      <c r="E170" s="4">
        <f>5.22</f>
        <v>5.22</v>
      </c>
      <c r="F170" s="4">
        <f>0.07</f>
        <v>7.0000000000000007E-2</v>
      </c>
      <c r="G170" s="4">
        <f>1.38</f>
        <v>1.38</v>
      </c>
      <c r="H170" s="4">
        <f>0.21</f>
        <v>0.21</v>
      </c>
      <c r="I170" s="4">
        <f>14.2</f>
        <v>14.2</v>
      </c>
      <c r="J170" s="4">
        <f>2.34</f>
        <v>2.34</v>
      </c>
      <c r="K170" s="4">
        <f>0.86</f>
        <v>0.86</v>
      </c>
      <c r="L170" s="4">
        <f>13.8</f>
        <v>13.8</v>
      </c>
      <c r="M170" s="4">
        <f>13.06</f>
        <v>13.06</v>
      </c>
      <c r="N170" s="4">
        <v>1.1352459016393444</v>
      </c>
      <c r="O170" s="4">
        <v>-1.1120218579234973</v>
      </c>
      <c r="P170" s="4">
        <v>2.5956284153005466E-2</v>
      </c>
    </row>
    <row r="171" spans="1:16" x14ac:dyDescent="0.3">
      <c r="A171" s="3">
        <v>169</v>
      </c>
      <c r="B171" s="4" t="s">
        <v>57</v>
      </c>
      <c r="C171" s="4">
        <v>2019</v>
      </c>
      <c r="D171" s="4">
        <v>-13.5</v>
      </c>
      <c r="E171" s="4">
        <f>7.3</f>
        <v>7.3</v>
      </c>
      <c r="F171" s="4">
        <f>0.08</f>
        <v>0.08</v>
      </c>
      <c r="G171" s="4">
        <f>1.36</f>
        <v>1.36</v>
      </c>
      <c r="H171" s="4">
        <f>0.1</f>
        <v>0.1</v>
      </c>
      <c r="I171" s="4">
        <f>11.45</f>
        <v>11.45</v>
      </c>
      <c r="J171" s="4">
        <f>1.39</f>
        <v>1.39</v>
      </c>
      <c r="K171" s="4">
        <f>0.53</f>
        <v>0.53</v>
      </c>
      <c r="L171" s="4">
        <f>6.81</f>
        <v>6.81</v>
      </c>
      <c r="M171" s="4">
        <f>18.57</f>
        <v>18.57</v>
      </c>
      <c r="N171" s="4">
        <v>-0.32167832167832167</v>
      </c>
      <c r="O171" s="4">
        <v>-3.0303030303030304E-2</v>
      </c>
      <c r="P171" s="4">
        <v>0.21561771561771562</v>
      </c>
    </row>
    <row r="172" spans="1:16" x14ac:dyDescent="0.3">
      <c r="A172" s="3">
        <v>170</v>
      </c>
      <c r="B172" s="4" t="s">
        <v>57</v>
      </c>
      <c r="C172" s="4">
        <v>2020</v>
      </c>
      <c r="D172" s="4">
        <v>127.6</v>
      </c>
      <c r="E172" s="4">
        <f>14.54</f>
        <v>14.54</v>
      </c>
      <c r="F172" s="4">
        <f>0.17</f>
        <v>0.17</v>
      </c>
      <c r="G172" s="4">
        <f>1.4</f>
        <v>1.4</v>
      </c>
      <c r="H172" s="4">
        <f>0.11</f>
        <v>0.11</v>
      </c>
      <c r="I172" s="4">
        <f>11.91</f>
        <v>11.91</v>
      </c>
      <c r="J172" s="4">
        <f>1.17</f>
        <v>1.17</v>
      </c>
      <c r="K172" s="4">
        <f>0.46</f>
        <v>0.46</v>
      </c>
      <c r="L172" s="4">
        <f>4.42</f>
        <v>4.42</v>
      </c>
      <c r="M172" s="4">
        <f>50</f>
        <v>50</v>
      </c>
      <c r="N172" s="4">
        <v>-2.3019271948608137E-2</v>
      </c>
      <c r="O172" s="4">
        <v>2.7837259100642397E-2</v>
      </c>
      <c r="P172" s="4">
        <v>8.0299785867237686E-3</v>
      </c>
    </row>
    <row r="173" spans="1:16" x14ac:dyDescent="0.3">
      <c r="A173" s="3">
        <v>171</v>
      </c>
      <c r="B173" s="4" t="s">
        <v>57</v>
      </c>
      <c r="C173" s="4">
        <v>2021</v>
      </c>
      <c r="D173" s="4">
        <v>72.7</v>
      </c>
      <c r="E173" s="4">
        <f>6.01</f>
        <v>6.01</v>
      </c>
      <c r="F173" s="4">
        <f>0.1</f>
        <v>0.1</v>
      </c>
      <c r="G173" s="4">
        <f>1.48</f>
        <v>1.48</v>
      </c>
      <c r="H173" s="4">
        <f>0.07</f>
        <v>7.0000000000000007E-2</v>
      </c>
      <c r="I173" s="4">
        <f>10.56</f>
        <v>10.56</v>
      </c>
      <c r="J173" s="4">
        <f>1.53</f>
        <v>1.53</v>
      </c>
      <c r="K173" s="4">
        <f>0.65</f>
        <v>0.65</v>
      </c>
      <c r="L173" s="4">
        <f>6.7</f>
        <v>6.7</v>
      </c>
      <c r="M173" s="4">
        <f>65.88</f>
        <v>65.88</v>
      </c>
      <c r="N173" s="4">
        <v>4.476190476190476E-2</v>
      </c>
      <c r="O173" s="4">
        <v>-6.6666666666666671E-3</v>
      </c>
      <c r="P173" s="4">
        <v>-4.7619047619047616E-2</v>
      </c>
    </row>
    <row r="174" spans="1:16" x14ac:dyDescent="0.3">
      <c r="A174" s="3">
        <v>172</v>
      </c>
      <c r="B174" s="4" t="s">
        <v>58</v>
      </c>
      <c r="C174" s="4">
        <v>2018</v>
      </c>
      <c r="D174" s="4">
        <v>-11.8</v>
      </c>
      <c r="E174" s="4">
        <f>3.21</f>
        <v>3.21</v>
      </c>
      <c r="F174" s="4">
        <f>0.29</f>
        <v>0.28999999999999998</v>
      </c>
      <c r="G174" s="4">
        <f>1.66</f>
        <v>1.66</v>
      </c>
      <c r="H174" s="4">
        <f>0.87</f>
        <v>0.87</v>
      </c>
      <c r="I174" s="4">
        <f>54.19</f>
        <v>54.19</v>
      </c>
      <c r="J174" s="4">
        <f>5.39</f>
        <v>5.39</v>
      </c>
      <c r="K174" s="4">
        <f>2.1</f>
        <v>2.1</v>
      </c>
      <c r="L174" s="4">
        <f>7.51</f>
        <v>7.51</v>
      </c>
      <c r="M174" s="4">
        <f>9.91</f>
        <v>9.91</v>
      </c>
      <c r="N174" s="4">
        <v>7.9934210526315788E-2</v>
      </c>
      <c r="O174" s="4">
        <v>-0.41677631578947366</v>
      </c>
      <c r="P174" s="4">
        <v>0.35460526315789476</v>
      </c>
    </row>
    <row r="175" spans="1:16" x14ac:dyDescent="0.3">
      <c r="A175" s="3">
        <v>173</v>
      </c>
      <c r="B175" s="4" t="s">
        <v>58</v>
      </c>
      <c r="C175" s="4">
        <v>2019</v>
      </c>
      <c r="D175" s="4">
        <v>-12.9</v>
      </c>
      <c r="E175" s="4">
        <f>2.02</f>
        <v>2.02</v>
      </c>
      <c r="F175" s="4">
        <f>0.09</f>
        <v>0.09</v>
      </c>
      <c r="G175" s="4">
        <f>1.83</f>
        <v>1.83</v>
      </c>
      <c r="H175" s="4">
        <f>0.98</f>
        <v>0.98</v>
      </c>
      <c r="I175" s="4">
        <f>47.68</f>
        <v>47.68</v>
      </c>
      <c r="J175" s="4">
        <f>5.95</f>
        <v>5.95</v>
      </c>
      <c r="K175" s="4">
        <f>2.52</f>
        <v>2.52</v>
      </c>
      <c r="L175" s="4">
        <f>26.98</f>
        <v>26.98</v>
      </c>
      <c r="M175" s="4">
        <f>7.29</f>
        <v>7.29</v>
      </c>
      <c r="N175" s="4">
        <v>-0.55109837631327607</v>
      </c>
      <c r="O175" s="4">
        <v>0.69627507163323787</v>
      </c>
      <c r="P175" s="4">
        <v>-0.21680993314231137</v>
      </c>
    </row>
    <row r="176" spans="1:16" x14ac:dyDescent="0.3">
      <c r="A176" s="3">
        <v>174</v>
      </c>
      <c r="B176" s="4" t="s">
        <v>58</v>
      </c>
      <c r="C176" s="4">
        <v>2020</v>
      </c>
      <c r="D176" s="4">
        <v>54.7</v>
      </c>
      <c r="E176" s="4">
        <f>2.02</f>
        <v>2.02</v>
      </c>
      <c r="F176" s="4">
        <f>0.08</f>
        <v>0.08</v>
      </c>
      <c r="G176" s="4">
        <f>1.86</f>
        <v>1.86</v>
      </c>
      <c r="H176" s="4">
        <f>1.13</f>
        <v>1.1299999999999999</v>
      </c>
      <c r="I176" s="4">
        <f>56.95</f>
        <v>56.95</v>
      </c>
      <c r="J176" s="4">
        <f>3.92</f>
        <v>3.92</v>
      </c>
      <c r="K176" s="4">
        <f>1.69</f>
        <v>1.69</v>
      </c>
      <c r="L176" s="4">
        <f>21.16</f>
        <v>21.16</v>
      </c>
      <c r="M176" s="4">
        <f>17.69</f>
        <v>17.690000000000001</v>
      </c>
      <c r="N176" s="4">
        <v>0.42099567099567098</v>
      </c>
      <c r="O176" s="4">
        <v>-0.8571428571428571</v>
      </c>
      <c r="P176" s="4">
        <v>0.5714285714285714</v>
      </c>
    </row>
    <row r="177" spans="1:16" x14ac:dyDescent="0.3">
      <c r="A177" s="3">
        <v>175</v>
      </c>
      <c r="B177" s="4" t="s">
        <v>58</v>
      </c>
      <c r="C177" s="4">
        <v>2021</v>
      </c>
      <c r="D177" s="4">
        <v>134.4</v>
      </c>
      <c r="E177" s="4">
        <f>5.67</f>
        <v>5.67</v>
      </c>
      <c r="F177" s="4">
        <f>0.16</f>
        <v>0.16</v>
      </c>
      <c r="G177" s="4">
        <f>1.96</f>
        <v>1.96</v>
      </c>
      <c r="H177" s="4">
        <f>1.14</f>
        <v>1.1399999999999999</v>
      </c>
      <c r="I177" s="4">
        <f>31.12</f>
        <v>31.12</v>
      </c>
      <c r="J177" s="4">
        <f>3.77</f>
        <v>3.77</v>
      </c>
      <c r="K177" s="4">
        <f>1.76</f>
        <v>1.76</v>
      </c>
      <c r="L177" s="4">
        <f>11.54</f>
        <v>11.54</v>
      </c>
      <c r="M177" s="4">
        <f>41.8</f>
        <v>41.8</v>
      </c>
      <c r="N177" s="4">
        <v>0.54137115839243499</v>
      </c>
      <c r="O177" s="4">
        <v>8.0969267139479911E-2</v>
      </c>
      <c r="P177" s="4">
        <v>-0.72104018912529555</v>
      </c>
    </row>
    <row r="178" spans="1:16" x14ac:dyDescent="0.3">
      <c r="A178" s="3">
        <v>176</v>
      </c>
      <c r="B178" s="4" t="s">
        <v>59</v>
      </c>
      <c r="C178" s="4">
        <v>2018</v>
      </c>
      <c r="D178" s="4">
        <v>-35</v>
      </c>
      <c r="E178" s="4">
        <f>2.48</f>
        <v>2.48</v>
      </c>
      <c r="F178" s="4">
        <f>0.21</f>
        <v>0.21</v>
      </c>
      <c r="G178" s="4">
        <f>1.44</f>
        <v>1.44</v>
      </c>
      <c r="H178" s="4">
        <f>0.95</f>
        <v>0.95</v>
      </c>
      <c r="I178" s="4">
        <f>32.18</f>
        <v>32.18</v>
      </c>
      <c r="J178" s="4">
        <f>20.22</f>
        <v>20.22</v>
      </c>
      <c r="K178" s="4">
        <f>7.17</f>
        <v>7.17</v>
      </c>
      <c r="L178" s="4">
        <f>34.22</f>
        <v>34.22</v>
      </c>
      <c r="M178" s="4">
        <f>6.53</f>
        <v>6.53</v>
      </c>
      <c r="N178" s="4">
        <v>0.26063829787234044</v>
      </c>
      <c r="O178" s="4">
        <v>0.96808510638297873</v>
      </c>
      <c r="P178" s="4">
        <v>7.4468085106382975E-2</v>
      </c>
    </row>
    <row r="179" spans="1:16" x14ac:dyDescent="0.3">
      <c r="A179" s="3">
        <v>177</v>
      </c>
      <c r="B179" s="4" t="s">
        <v>59</v>
      </c>
      <c r="C179" s="4">
        <v>2019</v>
      </c>
      <c r="D179" s="4">
        <v>-7.7</v>
      </c>
      <c r="E179" s="4">
        <f>0.91</f>
        <v>0.91</v>
      </c>
      <c r="F179" s="4">
        <f>0.06</f>
        <v>0.06</v>
      </c>
      <c r="G179" s="4">
        <f>1.27</f>
        <v>1.27</v>
      </c>
      <c r="H179" s="4">
        <f>0.78</f>
        <v>0.78</v>
      </c>
      <c r="I179" s="4">
        <f>45.33</f>
        <v>45.33</v>
      </c>
      <c r="J179" s="4">
        <f>13.07</f>
        <v>13.07</v>
      </c>
      <c r="K179" s="4">
        <f>4.39</f>
        <v>4.3899999999999997</v>
      </c>
      <c r="L179" s="4">
        <f>74.21</f>
        <v>74.209999999999994</v>
      </c>
      <c r="M179" s="4">
        <f>9.21</f>
        <v>9.2100000000000009</v>
      </c>
      <c r="N179" s="4">
        <v>-3.860655737704918</v>
      </c>
      <c r="O179" s="4">
        <v>-1</v>
      </c>
      <c r="P179" s="4">
        <v>0.4344262295081967</v>
      </c>
    </row>
    <row r="180" spans="1:16" x14ac:dyDescent="0.3">
      <c r="A180" s="3">
        <v>178</v>
      </c>
      <c r="B180" s="4" t="s">
        <v>59</v>
      </c>
      <c r="C180" s="4">
        <v>2020</v>
      </c>
      <c r="D180" s="4">
        <v>12.2</v>
      </c>
      <c r="E180" s="4">
        <f>0.59</f>
        <v>0.59</v>
      </c>
      <c r="F180" s="4">
        <f>0.04</f>
        <v>0.04</v>
      </c>
      <c r="G180" s="4">
        <f>1.64</f>
        <v>1.64</v>
      </c>
      <c r="H180" s="4">
        <f>0.87</f>
        <v>0.87</v>
      </c>
      <c r="I180" s="4">
        <f>34.79</f>
        <v>34.79</v>
      </c>
      <c r="J180" s="4">
        <f>14.16</f>
        <v>14.16</v>
      </c>
      <c r="K180" s="4">
        <f>5.03</f>
        <v>5.03</v>
      </c>
      <c r="L180" s="4">
        <f>132.79</f>
        <v>132.79</v>
      </c>
      <c r="M180" s="4">
        <f>9.47</f>
        <v>9.4700000000000006</v>
      </c>
      <c r="N180" s="4">
        <v>-4.7777777777777777</v>
      </c>
      <c r="O180" s="4">
        <v>6.2345679012345681</v>
      </c>
      <c r="P180" s="4">
        <v>-1.5061728395061729</v>
      </c>
    </row>
    <row r="181" spans="1:16" x14ac:dyDescent="0.3">
      <c r="A181" s="3">
        <v>179</v>
      </c>
      <c r="B181" s="4" t="s">
        <v>59</v>
      </c>
      <c r="C181" s="4">
        <v>2021</v>
      </c>
      <c r="D181" s="4">
        <v>65.599999999999994</v>
      </c>
      <c r="E181" s="4">
        <f>1.33</f>
        <v>1.33</v>
      </c>
      <c r="F181" s="4">
        <f>0.09</f>
        <v>0.09</v>
      </c>
      <c r="G181" s="4">
        <f>1.58</f>
        <v>1.58</v>
      </c>
      <c r="H181" s="4">
        <f>0.79</f>
        <v>0.79</v>
      </c>
      <c r="I181" s="4">
        <f>50.27</f>
        <v>50.27</v>
      </c>
      <c r="J181" s="4">
        <f>4.82</f>
        <v>4.82</v>
      </c>
      <c r="K181" s="4">
        <f>1.76</f>
        <v>1.76</v>
      </c>
      <c r="L181" s="4">
        <f>27.03</f>
        <v>27.03</v>
      </c>
      <c r="M181" s="4">
        <f>57.65</f>
        <v>57.65</v>
      </c>
      <c r="N181" s="4">
        <v>0.90751445086705207</v>
      </c>
      <c r="O181" s="4">
        <v>-0.75722543352601157</v>
      </c>
      <c r="P181" s="4">
        <v>1.1560693641618497E-2</v>
      </c>
    </row>
    <row r="182" spans="1:16" x14ac:dyDescent="0.3">
      <c r="A182" s="3">
        <v>180</v>
      </c>
      <c r="B182" s="4" t="s">
        <v>60</v>
      </c>
      <c r="C182" s="4">
        <v>2018</v>
      </c>
      <c r="D182" s="4">
        <v>-27.8</v>
      </c>
      <c r="E182" s="4">
        <f>1.49</f>
        <v>1.49</v>
      </c>
      <c r="F182" s="4">
        <f>0.07</f>
        <v>7.0000000000000007E-2</v>
      </c>
      <c r="G182" s="4">
        <f>1.28</f>
        <v>1.28</v>
      </c>
      <c r="H182" s="4">
        <f>0.16</f>
        <v>0.16</v>
      </c>
      <c r="I182" s="4">
        <f>24.66</f>
        <v>24.66</v>
      </c>
      <c r="J182" s="4">
        <f>4.84</f>
        <v>4.84</v>
      </c>
      <c r="K182" s="4">
        <f>1.72</f>
        <v>1.72</v>
      </c>
      <c r="L182" s="4">
        <f>24.31</f>
        <v>24.31</v>
      </c>
      <c r="M182" s="4">
        <f>18.91</f>
        <v>18.91</v>
      </c>
      <c r="N182" s="4">
        <v>5.7815845824411134E-2</v>
      </c>
      <c r="O182" s="4">
        <v>3.2119914346895075E-2</v>
      </c>
      <c r="P182" s="4">
        <v>-0.17130620985010706</v>
      </c>
    </row>
    <row r="183" spans="1:16" x14ac:dyDescent="0.3">
      <c r="A183" s="3">
        <v>181</v>
      </c>
      <c r="B183" s="4" t="s">
        <v>60</v>
      </c>
      <c r="C183" s="4">
        <v>2019</v>
      </c>
      <c r="D183" s="4">
        <v>-10.1</v>
      </c>
      <c r="E183" s="4">
        <f>2.19</f>
        <v>2.19</v>
      </c>
      <c r="F183" s="4">
        <f>0.11</f>
        <v>0.11</v>
      </c>
      <c r="G183" s="4">
        <f>1.09</f>
        <v>1.0900000000000001</v>
      </c>
      <c r="H183" s="4">
        <f>0.15</f>
        <v>0.15</v>
      </c>
      <c r="I183" s="4">
        <f>25.77</f>
        <v>25.77</v>
      </c>
      <c r="J183" s="4">
        <f>4.67</f>
        <v>4.67</v>
      </c>
      <c r="K183" s="4">
        <f>1.6</f>
        <v>1.6</v>
      </c>
      <c r="L183" s="4">
        <f>15.41</f>
        <v>15.41</v>
      </c>
      <c r="M183" s="4">
        <f>18.47</f>
        <v>18.47</v>
      </c>
      <c r="N183" s="4">
        <v>-5.5325034578146614E-3</v>
      </c>
      <c r="O183" s="4" t="s">
        <v>75</v>
      </c>
      <c r="P183" s="4">
        <v>2.7662517289073305E-2</v>
      </c>
    </row>
    <row r="184" spans="1:16" x14ac:dyDescent="0.3">
      <c r="A184" s="3">
        <v>182</v>
      </c>
      <c r="B184" s="4" t="s">
        <v>60</v>
      </c>
      <c r="C184" s="4">
        <v>2020</v>
      </c>
      <c r="D184" s="4">
        <v>65.599999999999994</v>
      </c>
      <c r="E184" s="4">
        <f>3.01</f>
        <v>3.01</v>
      </c>
      <c r="F184" s="4">
        <f>0.17</f>
        <v>0.17</v>
      </c>
      <c r="G184" s="4">
        <f>1.02</f>
        <v>1.02</v>
      </c>
      <c r="H184" s="4">
        <f>0.17</f>
        <v>0.17</v>
      </c>
      <c r="I184" s="4">
        <f>31.67</f>
        <v>31.67</v>
      </c>
      <c r="J184" s="4">
        <f>1.39</f>
        <v>1.39</v>
      </c>
      <c r="K184" s="4">
        <f>0.45</f>
        <v>0.45</v>
      </c>
      <c r="L184" s="4">
        <f>3.69</f>
        <v>3.69</v>
      </c>
      <c r="M184" s="4">
        <f>104.92</f>
        <v>104.92</v>
      </c>
      <c r="N184" s="4">
        <v>5.4577464788732391E-2</v>
      </c>
      <c r="O184" s="4" t="s">
        <v>75</v>
      </c>
      <c r="P184" s="4">
        <v>9.2429577464788734E-2</v>
      </c>
    </row>
    <row r="185" spans="1:16" x14ac:dyDescent="0.3">
      <c r="A185" s="3">
        <v>183</v>
      </c>
      <c r="B185" s="4" t="s">
        <v>60</v>
      </c>
      <c r="C185" s="4">
        <v>2021</v>
      </c>
      <c r="D185" s="4">
        <v>191.3</v>
      </c>
      <c r="E185" s="4">
        <f>2.3</f>
        <v>2.2999999999999998</v>
      </c>
      <c r="F185" s="4">
        <f>0.11</f>
        <v>0.11</v>
      </c>
      <c r="G185" s="4">
        <f>1.22</f>
        <v>1.22</v>
      </c>
      <c r="H185" s="4">
        <f>0.19</f>
        <v>0.19</v>
      </c>
      <c r="I185" s="4">
        <f>54.76</f>
        <v>54.76</v>
      </c>
      <c r="J185" s="4">
        <f>2.98</f>
        <v>2.98</v>
      </c>
      <c r="K185" s="4">
        <f>0.93</f>
        <v>0.93</v>
      </c>
      <c r="L185" s="4">
        <f>11.27</f>
        <v>11.27</v>
      </c>
      <c r="M185" s="4">
        <f>144.18</f>
        <v>144.18</v>
      </c>
      <c r="N185" s="4">
        <v>-0.53279785809906288</v>
      </c>
      <c r="O185" s="4">
        <v>-8.0321285140562242E-3</v>
      </c>
      <c r="P185" s="4">
        <v>0.69745649263721554</v>
      </c>
    </row>
    <row r="186" spans="1:16" x14ac:dyDescent="0.3">
      <c r="A186" s="3">
        <v>184</v>
      </c>
      <c r="B186" s="4" t="s">
        <v>61</v>
      </c>
      <c r="C186" s="4">
        <v>2018</v>
      </c>
      <c r="D186" s="4" t="s">
        <v>75</v>
      </c>
      <c r="E186" s="4">
        <f>3.56</f>
        <v>3.56</v>
      </c>
      <c r="F186" s="4">
        <f>0.12</f>
        <v>0.12</v>
      </c>
      <c r="G186" s="4">
        <f>1.82</f>
        <v>1.82</v>
      </c>
      <c r="H186" s="4">
        <f>1.82</f>
        <v>1.82</v>
      </c>
      <c r="I186" s="4">
        <f>79.78</f>
        <v>79.78</v>
      </c>
      <c r="J186" s="4">
        <f>8.56</f>
        <v>8.56</v>
      </c>
      <c r="K186" s="4">
        <f>4.07</f>
        <v>4.07</v>
      </c>
      <c r="L186" s="4">
        <f>33.54</f>
        <v>33.54</v>
      </c>
      <c r="M186" s="4" t="s">
        <v>75</v>
      </c>
      <c r="N186" s="4">
        <v>1.5448275862068965</v>
      </c>
      <c r="O186" s="4">
        <v>-1.4724137931034482</v>
      </c>
      <c r="P186" s="4">
        <v>0.45517241379310347</v>
      </c>
    </row>
    <row r="187" spans="1:16" x14ac:dyDescent="0.3">
      <c r="A187" s="3">
        <v>185</v>
      </c>
      <c r="B187" s="4" t="s">
        <v>61</v>
      </c>
      <c r="C187" s="4">
        <v>2019</v>
      </c>
      <c r="D187" s="4">
        <v>60.9</v>
      </c>
      <c r="E187" s="4">
        <f>7.8</f>
        <v>7.8</v>
      </c>
      <c r="F187" s="4">
        <f>0.12</f>
        <v>0.12</v>
      </c>
      <c r="G187" s="4">
        <f>1.26</f>
        <v>1.26</v>
      </c>
      <c r="H187" s="4">
        <f>1.25</f>
        <v>1.25</v>
      </c>
      <c r="I187" s="4">
        <f>80.68</f>
        <v>80.680000000000007</v>
      </c>
      <c r="J187" s="4">
        <f>11.4</f>
        <v>11.4</v>
      </c>
      <c r="K187" s="4">
        <f>4.73</f>
        <v>4.7300000000000004</v>
      </c>
      <c r="L187" s="4">
        <f>40.72</f>
        <v>40.72</v>
      </c>
      <c r="M187" s="4">
        <f>13.2</f>
        <v>13.2</v>
      </c>
      <c r="N187" s="4">
        <v>1.7386018237082066</v>
      </c>
      <c r="O187" s="4">
        <v>-1.4407294832826747</v>
      </c>
      <c r="P187" s="4">
        <v>-0.1276595744680851</v>
      </c>
    </row>
    <row r="188" spans="1:16" x14ac:dyDescent="0.3">
      <c r="A188" s="3">
        <v>186</v>
      </c>
      <c r="B188" s="4" t="s">
        <v>61</v>
      </c>
      <c r="C188" s="4">
        <v>2020</v>
      </c>
      <c r="D188" s="4">
        <v>80.8</v>
      </c>
      <c r="E188" s="4">
        <f>25.74</f>
        <v>25.74</v>
      </c>
      <c r="F188" s="4">
        <f>0.12</f>
        <v>0.12</v>
      </c>
      <c r="G188" s="4">
        <f>0.23</f>
        <v>0.23</v>
      </c>
      <c r="H188" s="4">
        <f>0.22</f>
        <v>0.22</v>
      </c>
      <c r="I188" s="4">
        <f>130.9</f>
        <v>130.9</v>
      </c>
      <c r="J188" s="4">
        <f>15.12</f>
        <v>15.12</v>
      </c>
      <c r="K188" s="4">
        <f>4.96</f>
        <v>4.96</v>
      </c>
      <c r="L188" s="4">
        <f>42.96</f>
        <v>42.96</v>
      </c>
      <c r="M188" s="4">
        <f>17.2</f>
        <v>17.2</v>
      </c>
      <c r="N188" s="4">
        <v>1.4110854503464203</v>
      </c>
      <c r="O188" s="4">
        <v>-3.2702078521939955</v>
      </c>
      <c r="P188" s="4">
        <v>1.3903002309468822</v>
      </c>
    </row>
    <row r="189" spans="1:16" x14ac:dyDescent="0.3">
      <c r="A189" s="3">
        <v>187</v>
      </c>
      <c r="B189" s="4" t="s">
        <v>61</v>
      </c>
      <c r="C189" s="4">
        <v>2021</v>
      </c>
      <c r="D189" s="4">
        <v>112.5</v>
      </c>
      <c r="E189" s="4">
        <f>104.73</f>
        <v>104.73</v>
      </c>
      <c r="F189" s="4">
        <f>0.14</f>
        <v>0.14000000000000001</v>
      </c>
      <c r="G189" s="4">
        <f>0.28</f>
        <v>0.28000000000000003</v>
      </c>
      <c r="H189" s="4">
        <f>0.27</f>
        <v>0.27</v>
      </c>
      <c r="I189" s="4">
        <f>150.08</f>
        <v>150.08000000000001</v>
      </c>
      <c r="J189" s="4">
        <f>23.71</f>
        <v>23.71</v>
      </c>
      <c r="K189" s="4">
        <f>6.45</f>
        <v>6.45</v>
      </c>
      <c r="L189" s="4">
        <f>45.38</f>
        <v>45.38</v>
      </c>
      <c r="M189" s="4">
        <f>21.01</f>
        <v>21.01</v>
      </c>
      <c r="N189" s="4">
        <v>0.98737727910238426</v>
      </c>
      <c r="O189" s="4">
        <v>-1.4978962131837308</v>
      </c>
      <c r="P189" s="4">
        <v>0.66479663394109401</v>
      </c>
    </row>
    <row r="190" spans="1:16" x14ac:dyDescent="0.3">
      <c r="A190" s="3">
        <v>188</v>
      </c>
      <c r="B190" s="4" t="s">
        <v>62</v>
      </c>
      <c r="C190" s="4">
        <v>2018</v>
      </c>
      <c r="D190" s="4">
        <v>-16.5</v>
      </c>
      <c r="E190" s="4">
        <f>18.9</f>
        <v>18.899999999999999</v>
      </c>
      <c r="F190" s="4">
        <f>0.23</f>
        <v>0.23</v>
      </c>
      <c r="G190" s="4">
        <f>5.7</f>
        <v>5.7</v>
      </c>
      <c r="H190" s="4">
        <f>5.07</f>
        <v>5.07</v>
      </c>
      <c r="I190" s="4" t="s">
        <v>75</v>
      </c>
      <c r="J190" s="4">
        <f>19.7</f>
        <v>19.7</v>
      </c>
      <c r="K190" s="4">
        <f>7</f>
        <v>7</v>
      </c>
      <c r="L190" s="4">
        <f>29.89</f>
        <v>29.89</v>
      </c>
      <c r="M190" s="4">
        <f>5.14</f>
        <v>5.14</v>
      </c>
      <c r="N190" s="4">
        <v>0.45479452054794522</v>
      </c>
      <c r="O190" s="4">
        <v>-0.17534246575342466</v>
      </c>
      <c r="P190" s="4">
        <v>-0.12876712328767123</v>
      </c>
    </row>
    <row r="191" spans="1:16" x14ac:dyDescent="0.3">
      <c r="A191" s="3">
        <v>189</v>
      </c>
      <c r="B191" s="4" t="s">
        <v>62</v>
      </c>
      <c r="C191" s="4">
        <v>2019</v>
      </c>
      <c r="D191" s="4">
        <v>40.299999999999997</v>
      </c>
      <c r="E191" s="4">
        <f>22.75</f>
        <v>22.75</v>
      </c>
      <c r="F191" s="4">
        <f>0.23</f>
        <v>0.23</v>
      </c>
      <c r="G191" s="4">
        <f>5.14</f>
        <v>5.14</v>
      </c>
      <c r="H191" s="4">
        <f>4.56</f>
        <v>4.5599999999999996</v>
      </c>
      <c r="I191" s="4" t="s">
        <v>75</v>
      </c>
      <c r="J191" s="4">
        <f>16.01</f>
        <v>16.010000000000002</v>
      </c>
      <c r="K191" s="4">
        <f>6.36</f>
        <v>6.36</v>
      </c>
      <c r="L191" s="4">
        <f>27.75</f>
        <v>27.75</v>
      </c>
      <c r="M191" s="4">
        <f>7.63</f>
        <v>7.63</v>
      </c>
      <c r="N191" s="4">
        <v>0.26954177897574122</v>
      </c>
      <c r="O191" s="4">
        <v>0.34770889487870621</v>
      </c>
      <c r="P191" s="4">
        <v>-7.277628032345014E-2</v>
      </c>
    </row>
    <row r="192" spans="1:16" x14ac:dyDescent="0.3">
      <c r="A192" s="3">
        <v>190</v>
      </c>
      <c r="B192" s="4" t="s">
        <v>62</v>
      </c>
      <c r="C192" s="4">
        <v>2020</v>
      </c>
      <c r="D192" s="4">
        <v>26.2</v>
      </c>
      <c r="E192" s="4">
        <f>17.28</f>
        <v>17.28</v>
      </c>
      <c r="F192" s="4">
        <f>0.22</f>
        <v>0.22</v>
      </c>
      <c r="G192" s="4">
        <f>5</f>
        <v>5</v>
      </c>
      <c r="H192" s="4">
        <f>4.29</f>
        <v>4.29</v>
      </c>
      <c r="I192" s="4">
        <f>1.83</f>
        <v>1.83</v>
      </c>
      <c r="J192" s="4">
        <f>16.2</f>
        <v>16.2</v>
      </c>
      <c r="K192" s="4">
        <f>6.2</f>
        <v>6.2</v>
      </c>
      <c r="L192" s="4">
        <f>28.4</f>
        <v>28.4</v>
      </c>
      <c r="M192" s="4">
        <f>9.74</f>
        <v>9.74</v>
      </c>
      <c r="N192" s="4">
        <v>0.43175487465181056</v>
      </c>
      <c r="O192" s="4">
        <v>-0.27298050139275765</v>
      </c>
      <c r="P192" s="4">
        <v>-0.12256267409470752</v>
      </c>
    </row>
    <row r="193" spans="1:16" x14ac:dyDescent="0.3">
      <c r="A193" s="3">
        <v>191</v>
      </c>
      <c r="B193" s="4" t="s">
        <v>62</v>
      </c>
      <c r="C193" s="4">
        <v>2021</v>
      </c>
      <c r="D193" s="4">
        <v>19.399999999999999</v>
      </c>
      <c r="E193" s="4">
        <f>11.97</f>
        <v>11.97</v>
      </c>
      <c r="F193" s="4">
        <f>0.23</f>
        <v>0.23</v>
      </c>
      <c r="G193" s="4">
        <f>2.84</f>
        <v>2.84</v>
      </c>
      <c r="H193" s="4">
        <f>2.24</f>
        <v>2.2400000000000002</v>
      </c>
      <c r="I193" s="4">
        <f>3.16</f>
        <v>3.16</v>
      </c>
      <c r="J193" s="4">
        <f>17.66</f>
        <v>17.66</v>
      </c>
      <c r="K193" s="4">
        <f>6.05</f>
        <v>6.05</v>
      </c>
      <c r="L193" s="4">
        <f>26.08</f>
        <v>26.08</v>
      </c>
      <c r="M193" s="4">
        <f>11.72</f>
        <v>11.72</v>
      </c>
      <c r="N193" s="4">
        <v>0.26288659793814434</v>
      </c>
      <c r="O193" s="4">
        <v>-0.62371134020618557</v>
      </c>
      <c r="P193" s="4">
        <v>-0.11855670103092783</v>
      </c>
    </row>
    <row r="194" spans="1:16" x14ac:dyDescent="0.3">
      <c r="A194" s="3">
        <v>192</v>
      </c>
      <c r="B194" s="4" t="s">
        <v>63</v>
      </c>
      <c r="C194" s="4">
        <v>2018</v>
      </c>
      <c r="D194" s="4">
        <v>-12.6</v>
      </c>
      <c r="E194" s="4">
        <f>33.12</f>
        <v>33.119999999999997</v>
      </c>
      <c r="F194" s="4">
        <f>0.39</f>
        <v>0.39</v>
      </c>
      <c r="G194" s="4">
        <f>10.7</f>
        <v>10.7</v>
      </c>
      <c r="H194" s="4">
        <f>5.96</f>
        <v>5.96</v>
      </c>
      <c r="I194" s="4">
        <f>0.98</f>
        <v>0.98</v>
      </c>
      <c r="J194" s="4">
        <f>9.98</f>
        <v>9.98</v>
      </c>
      <c r="K194" s="4">
        <f>9.23</f>
        <v>9.23</v>
      </c>
      <c r="L194" s="4">
        <f>23.84</f>
        <v>23.84</v>
      </c>
      <c r="M194" s="4">
        <f>17.5</f>
        <v>17.5</v>
      </c>
      <c r="N194" s="4">
        <v>0.39642082429501085</v>
      </c>
      <c r="O194" s="4">
        <v>-0.33405639913232105</v>
      </c>
      <c r="P194" s="4">
        <v>-0.24295010845986983</v>
      </c>
    </row>
    <row r="195" spans="1:16" x14ac:dyDescent="0.3">
      <c r="A195" s="3">
        <v>193</v>
      </c>
      <c r="B195" s="4" t="s">
        <v>63</v>
      </c>
      <c r="C195" s="4">
        <v>2019</v>
      </c>
      <c r="D195" s="4">
        <v>93.4</v>
      </c>
      <c r="E195" s="4">
        <f>18.67</f>
        <v>18.670000000000002</v>
      </c>
      <c r="F195" s="4">
        <f>0.15</f>
        <v>0.15</v>
      </c>
      <c r="G195" s="4">
        <f>2.81</f>
        <v>2.81</v>
      </c>
      <c r="H195" s="4">
        <f>1.9</f>
        <v>1.9</v>
      </c>
      <c r="I195" s="4">
        <f>1.44</f>
        <v>1.44</v>
      </c>
      <c r="J195" s="4">
        <f>6.38</f>
        <v>6.38</v>
      </c>
      <c r="K195" s="4">
        <f>5.06</f>
        <v>5.0599999999999996</v>
      </c>
      <c r="L195" s="4">
        <f>34.13</f>
        <v>34.130000000000003</v>
      </c>
      <c r="M195" s="4">
        <f>22.23</f>
        <v>22.23</v>
      </c>
      <c r="N195" s="4">
        <v>1</v>
      </c>
      <c r="O195" s="4">
        <v>-1.2108433734939759</v>
      </c>
      <c r="P195" s="4">
        <v>0.38554216867469882</v>
      </c>
    </row>
    <row r="196" spans="1:16" x14ac:dyDescent="0.3">
      <c r="A196" s="3">
        <v>194</v>
      </c>
      <c r="B196" s="4" t="s">
        <v>63</v>
      </c>
      <c r="C196" s="4">
        <v>2020</v>
      </c>
      <c r="D196" s="4">
        <v>-35.700000000000003</v>
      </c>
      <c r="E196" s="4">
        <f>26.19</f>
        <v>26.19</v>
      </c>
      <c r="F196" s="4">
        <f>0.3</f>
        <v>0.3</v>
      </c>
      <c r="G196" s="4">
        <f>2.07</f>
        <v>2.0699999999999998</v>
      </c>
      <c r="H196" s="4">
        <f>0.78</f>
        <v>0.78</v>
      </c>
      <c r="I196" s="4">
        <f>15.24</f>
        <v>15.24</v>
      </c>
      <c r="J196" s="4">
        <f>13.71</f>
        <v>13.71</v>
      </c>
      <c r="K196" s="4">
        <f>8.44</f>
        <v>8.44</v>
      </c>
      <c r="L196" s="4">
        <f>28.25</f>
        <v>28.25</v>
      </c>
      <c r="M196" s="4">
        <f>18.27</f>
        <v>18.27</v>
      </c>
      <c r="N196" s="4">
        <v>-0.1358962896736701</v>
      </c>
      <c r="O196" s="4">
        <v>-4.604380867232901E-2</v>
      </c>
      <c r="P196" s="4">
        <v>0.15288332588287887</v>
      </c>
    </row>
    <row r="197" spans="1:16" x14ac:dyDescent="0.3">
      <c r="A197" s="3">
        <v>195</v>
      </c>
      <c r="B197" s="4" t="s">
        <v>63</v>
      </c>
      <c r="C197" s="4">
        <v>2021</v>
      </c>
      <c r="D197" s="4">
        <v>58.5</v>
      </c>
      <c r="E197" s="4">
        <f>10.88</f>
        <v>10.88</v>
      </c>
      <c r="F197" s="4">
        <f>0.46</f>
        <v>0.46</v>
      </c>
      <c r="G197" s="4">
        <f>8.13</f>
        <v>8.1300000000000008</v>
      </c>
      <c r="H197" s="4">
        <f>5.82</f>
        <v>5.82</v>
      </c>
      <c r="I197" s="4">
        <f>2.72</f>
        <v>2.72</v>
      </c>
      <c r="J197" s="4">
        <f>13.34</f>
        <v>13.34</v>
      </c>
      <c r="K197" s="4">
        <f>9.52</f>
        <v>9.52</v>
      </c>
      <c r="L197" s="4">
        <f>23.43</f>
        <v>23.43</v>
      </c>
      <c r="M197" s="4">
        <f>7.79</f>
        <v>7.79</v>
      </c>
      <c r="N197" s="4">
        <v>7.5288265882884925E-2</v>
      </c>
      <c r="O197" s="4">
        <v>-0.5496269500339136</v>
      </c>
      <c r="P197" s="4">
        <v>0.5003391363328058</v>
      </c>
    </row>
    <row r="198" spans="1:16" x14ac:dyDescent="0.3">
      <c r="A198" s="3">
        <v>196</v>
      </c>
      <c r="B198" s="4" t="s">
        <v>64</v>
      </c>
      <c r="C198" s="4">
        <v>2018</v>
      </c>
      <c r="D198" s="4">
        <v>3.4</v>
      </c>
      <c r="E198" s="4">
        <f>2.44</f>
        <v>2.44</v>
      </c>
      <c r="F198" s="4">
        <f>0.23</f>
        <v>0.23</v>
      </c>
      <c r="G198" s="4">
        <f>1.15</f>
        <v>1.1499999999999999</v>
      </c>
      <c r="H198" s="4">
        <f>0.26</f>
        <v>0.26</v>
      </c>
      <c r="I198" s="4">
        <f>159.94</f>
        <v>159.94</v>
      </c>
      <c r="J198" s="4">
        <f>9.71</f>
        <v>9.7100000000000009</v>
      </c>
      <c r="K198" s="4">
        <f>1.64</f>
        <v>1.64</v>
      </c>
      <c r="L198" s="4">
        <f>7.41</f>
        <v>7.41</v>
      </c>
      <c r="M198" s="4">
        <f>6.38</f>
        <v>6.38</v>
      </c>
      <c r="N198" s="4">
        <v>0.11123227917121047</v>
      </c>
      <c r="O198" s="4">
        <v>-2.7262813522355507E-3</v>
      </c>
      <c r="P198" s="4">
        <v>-0.11014176663031625</v>
      </c>
    </row>
    <row r="199" spans="1:16" x14ac:dyDescent="0.3">
      <c r="A199" s="3">
        <v>197</v>
      </c>
      <c r="B199" s="4" t="s">
        <v>64</v>
      </c>
      <c r="C199" s="4">
        <v>2019</v>
      </c>
      <c r="D199" s="4">
        <v>10.199999999999999</v>
      </c>
      <c r="E199" s="4">
        <f>2.61</f>
        <v>2.61</v>
      </c>
      <c r="F199" s="4">
        <f>0.24</f>
        <v>0.24</v>
      </c>
      <c r="G199" s="4">
        <f>0.9</f>
        <v>0.9</v>
      </c>
      <c r="H199" s="4">
        <f>0.14</f>
        <v>0.14000000000000001</v>
      </c>
      <c r="I199" s="4">
        <f>114.17</f>
        <v>114.17</v>
      </c>
      <c r="J199" s="4">
        <f>12.01</f>
        <v>12.01</v>
      </c>
      <c r="K199" s="4">
        <f>2.28</f>
        <v>2.2799999999999998</v>
      </c>
      <c r="L199" s="4">
        <f>9.85</f>
        <v>9.85</v>
      </c>
      <c r="M199" s="4">
        <f>5.67</f>
        <v>5.67</v>
      </c>
      <c r="N199" s="4">
        <v>0.34151329243353784</v>
      </c>
      <c r="O199" s="4">
        <v>-1.4314928425357873E-2</v>
      </c>
      <c r="P199" s="4">
        <v>-0.31083844580777098</v>
      </c>
    </row>
    <row r="200" spans="1:16" x14ac:dyDescent="0.3">
      <c r="A200" s="3">
        <v>198</v>
      </c>
      <c r="B200" s="4" t="s">
        <v>64</v>
      </c>
      <c r="C200" s="4">
        <v>2020</v>
      </c>
      <c r="D200" s="4">
        <v>82.5</v>
      </c>
      <c r="E200" s="4">
        <f>3.44</f>
        <v>3.44</v>
      </c>
      <c r="F200" s="4">
        <f>0.27</f>
        <v>0.27</v>
      </c>
      <c r="G200" s="4">
        <f>0.79</f>
        <v>0.79</v>
      </c>
      <c r="H200" s="4">
        <f>0.13</f>
        <v>0.13</v>
      </c>
      <c r="I200" s="4">
        <f>122.4</f>
        <v>122.4</v>
      </c>
      <c r="J200" s="4">
        <f>15.42</f>
        <v>15.42</v>
      </c>
      <c r="K200" s="4">
        <f>3.27</f>
        <v>3.27</v>
      </c>
      <c r="L200" s="4">
        <f>12.67</f>
        <v>12.67</v>
      </c>
      <c r="M200" s="4">
        <f>7.88</f>
        <v>7.88</v>
      </c>
      <c r="N200" s="4">
        <v>0.21159420289855072</v>
      </c>
      <c r="O200" s="4">
        <v>-1.5072463768115942E-2</v>
      </c>
      <c r="P200" s="4">
        <v>-0.2144927536231884</v>
      </c>
    </row>
    <row r="201" spans="1:16" x14ac:dyDescent="0.3">
      <c r="A201" s="3">
        <v>199</v>
      </c>
      <c r="B201" s="4" t="s">
        <v>64</v>
      </c>
      <c r="C201" s="4">
        <v>2021</v>
      </c>
      <c r="D201" s="4">
        <v>82.4</v>
      </c>
      <c r="E201" s="4">
        <f>3.04</f>
        <v>3.04</v>
      </c>
      <c r="F201" s="4">
        <f>0.3</f>
        <v>0.3</v>
      </c>
      <c r="G201" s="4">
        <f>0.8</f>
        <v>0.8</v>
      </c>
      <c r="H201" s="4">
        <f>0.22</f>
        <v>0.22</v>
      </c>
      <c r="I201" s="4">
        <f>133.27</f>
        <v>133.27000000000001</v>
      </c>
      <c r="J201" s="4">
        <f>9.41</f>
        <v>9.41</v>
      </c>
      <c r="K201" s="4">
        <f>2.21</f>
        <v>2.21</v>
      </c>
      <c r="L201" s="4">
        <f>7.5</f>
        <v>7.5</v>
      </c>
      <c r="M201" s="4">
        <f>23.18</f>
        <v>23.18</v>
      </c>
      <c r="N201" s="4">
        <v>-2.5519287833827894E-2</v>
      </c>
      <c r="O201" s="4">
        <v>-5.9347181008902075E-4</v>
      </c>
      <c r="P201" s="4">
        <v>4.86646884272997E-2</v>
      </c>
    </row>
    <row r="202" spans="1:16" x14ac:dyDescent="0.3">
      <c r="A202" s="3">
        <v>200</v>
      </c>
      <c r="B202" s="4" t="s">
        <v>65</v>
      </c>
      <c r="C202" s="4">
        <v>2018</v>
      </c>
      <c r="D202" s="4">
        <v>-39</v>
      </c>
      <c r="E202" s="4">
        <f>6.97</f>
        <v>6.97</v>
      </c>
      <c r="F202" s="4">
        <f>0.65</f>
        <v>0.65</v>
      </c>
      <c r="G202" s="4">
        <f>1.29</f>
        <v>1.29</v>
      </c>
      <c r="H202" s="4">
        <f>0.87</f>
        <v>0.87</v>
      </c>
      <c r="I202" s="4">
        <f>38.6</f>
        <v>38.6</v>
      </c>
      <c r="J202" s="4">
        <f>5.35</f>
        <v>5.35</v>
      </c>
      <c r="K202" s="4">
        <f>3.1</f>
        <v>3.1</v>
      </c>
      <c r="L202" s="4">
        <f>3.87</f>
        <v>3.87</v>
      </c>
      <c r="M202" s="4">
        <f>7.14</f>
        <v>7.14</v>
      </c>
      <c r="N202" s="4">
        <v>-0.11</v>
      </c>
      <c r="O202" s="4">
        <v>8.5000000000000006E-2</v>
      </c>
      <c r="P202" s="4">
        <v>6.2083333333333331E-2</v>
      </c>
    </row>
    <row r="203" spans="1:16" x14ac:dyDescent="0.3">
      <c r="A203" s="3">
        <v>201</v>
      </c>
      <c r="B203" s="4" t="s">
        <v>65</v>
      </c>
      <c r="C203" s="4">
        <v>2019</v>
      </c>
      <c r="D203" s="4">
        <v>23.5</v>
      </c>
      <c r="E203" s="4">
        <f>7.42</f>
        <v>7.42</v>
      </c>
      <c r="F203" s="4">
        <f>0.79</f>
        <v>0.79</v>
      </c>
      <c r="G203" s="4">
        <f>1.1</f>
        <v>1.1000000000000001</v>
      </c>
      <c r="H203" s="4">
        <f>0.64</f>
        <v>0.64</v>
      </c>
      <c r="I203" s="4">
        <f>48.53</f>
        <v>48.53</v>
      </c>
      <c r="J203" s="4">
        <f>5.53</f>
        <v>5.53</v>
      </c>
      <c r="K203" s="4">
        <f>2.82</f>
        <v>2.82</v>
      </c>
      <c r="L203" s="4">
        <f>4.54</f>
        <v>4.54</v>
      </c>
      <c r="M203" s="4">
        <f>6.28</f>
        <v>6.28</v>
      </c>
      <c r="N203" s="4">
        <v>-1.2725884448969204E-3</v>
      </c>
      <c r="O203" s="4">
        <v>-7.4828200559938912E-2</v>
      </c>
      <c r="P203" s="4">
        <v>5.2176126240773731E-2</v>
      </c>
    </row>
    <row r="204" spans="1:16" x14ac:dyDescent="0.3">
      <c r="A204" s="3">
        <v>202</v>
      </c>
      <c r="B204" s="4" t="s">
        <v>65</v>
      </c>
      <c r="C204" s="4">
        <v>2020</v>
      </c>
      <c r="D204" s="4">
        <v>22.2</v>
      </c>
      <c r="E204" s="4">
        <f>3.42</f>
        <v>3.42</v>
      </c>
      <c r="F204" s="4">
        <f>0.36</f>
        <v>0.36</v>
      </c>
      <c r="G204" s="4">
        <f>1.15</f>
        <v>1.1499999999999999</v>
      </c>
      <c r="H204" s="4">
        <f>0.74</f>
        <v>0.74</v>
      </c>
      <c r="I204" s="4">
        <f>46.06</f>
        <v>46.06</v>
      </c>
      <c r="J204" s="4">
        <f>-15.15</f>
        <v>-15.15</v>
      </c>
      <c r="K204" s="4">
        <f>-6.67</f>
        <v>-6.67</v>
      </c>
      <c r="L204" s="4">
        <f>-15.8</f>
        <v>-15.8</v>
      </c>
      <c r="M204" s="4">
        <f>-2.81</f>
        <v>-2.81</v>
      </c>
      <c r="N204" s="4">
        <v>2.9066802651708312E-2</v>
      </c>
      <c r="O204" s="4">
        <v>0.14023457419683835</v>
      </c>
      <c r="P204" s="4">
        <v>-9.7399286078531364E-2</v>
      </c>
    </row>
    <row r="205" spans="1:16" x14ac:dyDescent="0.3">
      <c r="A205" s="3">
        <v>203</v>
      </c>
      <c r="B205" s="4" t="s">
        <v>65</v>
      </c>
      <c r="C205" s="4">
        <v>2021</v>
      </c>
      <c r="D205" s="4">
        <v>31</v>
      </c>
      <c r="E205" s="4">
        <f>1.58</f>
        <v>1.58</v>
      </c>
      <c r="F205" s="4">
        <f>0.13</f>
        <v>0.13</v>
      </c>
      <c r="G205" s="4">
        <f>1.02</f>
        <v>1.02</v>
      </c>
      <c r="H205" s="4">
        <f>0.63</f>
        <v>0.63</v>
      </c>
      <c r="I205" s="4">
        <f>2.31</f>
        <v>2.31</v>
      </c>
      <c r="J205" s="4">
        <f>-65.92</f>
        <v>-65.92</v>
      </c>
      <c r="K205" s="4">
        <f>-25.42</f>
        <v>-25.42</v>
      </c>
      <c r="L205" s="4">
        <f>-182.77</f>
        <v>-182.77</v>
      </c>
      <c r="M205" s="4">
        <f>-1.59</f>
        <v>-1.59</v>
      </c>
      <c r="N205" s="4">
        <v>-0.39961759082217974</v>
      </c>
      <c r="O205" s="4">
        <v>2.0573613766730401</v>
      </c>
      <c r="P205" s="4">
        <v>-2.0420650095602295</v>
      </c>
    </row>
    <row r="206" spans="1:16" x14ac:dyDescent="0.3">
      <c r="A206" s="3">
        <v>204</v>
      </c>
      <c r="B206" s="4" t="s">
        <v>66</v>
      </c>
      <c r="C206" s="4">
        <v>2018</v>
      </c>
      <c r="D206" s="4">
        <v>-3.1</v>
      </c>
      <c r="E206" s="4">
        <f>15.48</f>
        <v>15.48</v>
      </c>
      <c r="F206" s="4">
        <f>0.32</f>
        <v>0.32</v>
      </c>
      <c r="G206" s="4">
        <f>4.13</f>
        <v>4.13</v>
      </c>
      <c r="H206" s="4">
        <f>2.96</f>
        <v>2.96</v>
      </c>
      <c r="I206" s="4" t="s">
        <v>75</v>
      </c>
      <c r="J206" s="4">
        <f>19.06</f>
        <v>19.059999999999999</v>
      </c>
      <c r="K206" s="4">
        <f>14.92</f>
        <v>14.92</v>
      </c>
      <c r="L206" s="4">
        <f>48.9</f>
        <v>48.9</v>
      </c>
      <c r="M206" s="4">
        <f>4.43</f>
        <v>4.43</v>
      </c>
      <c r="N206" s="4">
        <v>0.6262626262626263</v>
      </c>
      <c r="O206" s="4">
        <v>-0.33333333333333331</v>
      </c>
      <c r="P206" s="4">
        <v>-0.22727272727272727</v>
      </c>
    </row>
    <row r="207" spans="1:16" x14ac:dyDescent="0.3">
      <c r="A207" s="3">
        <v>205</v>
      </c>
      <c r="B207" s="4" t="s">
        <v>66</v>
      </c>
      <c r="C207" s="4">
        <v>2019</v>
      </c>
      <c r="D207" s="4">
        <v>28</v>
      </c>
      <c r="E207" s="4">
        <f>7.12</f>
        <v>7.12</v>
      </c>
      <c r="F207" s="4">
        <f>0.29</f>
        <v>0.28999999999999998</v>
      </c>
      <c r="G207" s="4">
        <f>3.78</f>
        <v>3.78</v>
      </c>
      <c r="H207" s="4">
        <f>2.46</f>
        <v>2.46</v>
      </c>
      <c r="I207" s="4">
        <f>17.14</f>
        <v>17.14</v>
      </c>
      <c r="J207" s="4">
        <f>17.21</f>
        <v>17.21</v>
      </c>
      <c r="K207" s="4">
        <f>11.66</f>
        <v>11.66</v>
      </c>
      <c r="L207" s="4">
        <f>41.38</f>
        <v>41.38</v>
      </c>
      <c r="M207" s="4">
        <f>6.02</f>
        <v>6.02</v>
      </c>
      <c r="N207" s="4">
        <v>0.40366972477064222</v>
      </c>
      <c r="O207" s="4">
        <v>-0.90825688073394495</v>
      </c>
      <c r="P207" s="4">
        <v>0.15137614678899083</v>
      </c>
    </row>
    <row r="208" spans="1:16" x14ac:dyDescent="0.3">
      <c r="A208" s="3">
        <v>206</v>
      </c>
      <c r="B208" s="4" t="s">
        <v>66</v>
      </c>
      <c r="C208" s="4">
        <v>2020</v>
      </c>
      <c r="D208" s="4">
        <v>138.80000000000001</v>
      </c>
      <c r="E208" s="4">
        <f>6.45</f>
        <v>6.45</v>
      </c>
      <c r="F208" s="4">
        <f>0.28</f>
        <v>0.28000000000000003</v>
      </c>
      <c r="G208" s="4">
        <f>2.23</f>
        <v>2.23</v>
      </c>
      <c r="H208" s="4">
        <f>1.43</f>
        <v>1.43</v>
      </c>
      <c r="I208" s="4">
        <f>7.99</f>
        <v>7.99</v>
      </c>
      <c r="J208" s="4">
        <f>23.94</f>
        <v>23.94</v>
      </c>
      <c r="K208" s="4">
        <f>14.73</f>
        <v>14.73</v>
      </c>
      <c r="L208" s="4">
        <f>53.01</f>
        <v>53.01</v>
      </c>
      <c r="M208" s="4">
        <f>9.24</f>
        <v>9.24</v>
      </c>
      <c r="N208" s="4">
        <v>0.63601532567049812</v>
      </c>
      <c r="O208" s="4">
        <v>-0.33333333333333331</v>
      </c>
      <c r="P208" s="4">
        <v>-0.31034482758620691</v>
      </c>
    </row>
    <row r="209" spans="1:16" x14ac:dyDescent="0.3">
      <c r="A209" s="3">
        <v>207</v>
      </c>
      <c r="B209" s="4" t="s">
        <v>66</v>
      </c>
      <c r="C209" s="4">
        <v>2021</v>
      </c>
      <c r="D209" s="4">
        <v>0</v>
      </c>
      <c r="E209" s="4">
        <f>8.4</f>
        <v>8.4</v>
      </c>
      <c r="F209" s="4">
        <f>0.25</f>
        <v>0.25</v>
      </c>
      <c r="G209" s="4">
        <f>9.06</f>
        <v>9.06</v>
      </c>
      <c r="H209" s="4">
        <f>6.03</f>
        <v>6.03</v>
      </c>
      <c r="I209" s="4">
        <f>1.77</f>
        <v>1.77</v>
      </c>
      <c r="J209" s="4">
        <f>13.83</f>
        <v>13.83</v>
      </c>
      <c r="K209" s="4">
        <f>9.11</f>
        <v>9.11</v>
      </c>
      <c r="L209" s="4">
        <f>37.52</f>
        <v>37.520000000000003</v>
      </c>
      <c r="M209" s="4">
        <f>13.83</f>
        <v>13.83</v>
      </c>
      <c r="N209" s="4">
        <v>0.66396761133603244</v>
      </c>
      <c r="O209" s="4">
        <v>-0.47368421052631576</v>
      </c>
      <c r="P209" s="4">
        <v>-0.36437246963562753</v>
      </c>
    </row>
    <row r="210" spans="1:16" x14ac:dyDescent="0.3">
      <c r="A210" s="3">
        <v>208</v>
      </c>
      <c r="B210" s="4" t="s">
        <v>67</v>
      </c>
      <c r="C210" s="4">
        <v>2018</v>
      </c>
      <c r="D210" s="4">
        <v>-17.7</v>
      </c>
      <c r="E210" s="4">
        <f>6.87</f>
        <v>6.87</v>
      </c>
      <c r="F210" s="4">
        <f>0.18</f>
        <v>0.18</v>
      </c>
      <c r="G210" s="4">
        <f>4.2</f>
        <v>4.2</v>
      </c>
      <c r="H210" s="4">
        <f>2.96</f>
        <v>2.96</v>
      </c>
      <c r="I210" s="4">
        <f>1.25</f>
        <v>1.25</v>
      </c>
      <c r="J210" s="4">
        <f>12.93</f>
        <v>12.93</v>
      </c>
      <c r="K210" s="4">
        <f>8.47</f>
        <v>8.4700000000000006</v>
      </c>
      <c r="L210" s="4">
        <f>47.46</f>
        <v>47.46</v>
      </c>
      <c r="M210" s="4">
        <f>8.22</f>
        <v>8.2200000000000006</v>
      </c>
      <c r="N210" s="4" t="s">
        <v>75</v>
      </c>
      <c r="O210" s="4" t="s">
        <v>75</v>
      </c>
      <c r="P210" s="4" t="s">
        <v>75</v>
      </c>
    </row>
    <row r="211" spans="1:16" x14ac:dyDescent="0.3">
      <c r="A211" s="3">
        <v>209</v>
      </c>
      <c r="B211" s="4" t="s">
        <v>67</v>
      </c>
      <c r="C211" s="4">
        <v>2019</v>
      </c>
      <c r="D211" s="4">
        <v>10.4</v>
      </c>
      <c r="E211" s="4">
        <f>6.61</f>
        <v>6.61</v>
      </c>
      <c r="F211" s="4">
        <f>0.22</f>
        <v>0.22</v>
      </c>
      <c r="G211" s="4">
        <f>4.21</f>
        <v>4.21</v>
      </c>
      <c r="H211" s="4">
        <f>3.16</f>
        <v>3.16</v>
      </c>
      <c r="I211" s="4" t="s">
        <v>75</v>
      </c>
      <c r="J211" s="4">
        <f>14.76</f>
        <v>14.76</v>
      </c>
      <c r="K211" s="4">
        <f>9.96</f>
        <v>9.9600000000000009</v>
      </c>
      <c r="L211" s="4">
        <f>44.87</f>
        <v>44.87</v>
      </c>
      <c r="M211" s="4">
        <f>8.3</f>
        <v>8.3000000000000007</v>
      </c>
      <c r="N211" s="4" t="s">
        <v>75</v>
      </c>
      <c r="O211" s="4" t="s">
        <v>75</v>
      </c>
      <c r="P211" s="4" t="s">
        <v>75</v>
      </c>
    </row>
    <row r="212" spans="1:16" x14ac:dyDescent="0.3">
      <c r="A212" s="3">
        <v>210</v>
      </c>
      <c r="B212" s="4" t="s">
        <v>67</v>
      </c>
      <c r="C212" s="4">
        <v>2020</v>
      </c>
      <c r="D212" s="4">
        <v>-1</v>
      </c>
      <c r="E212" s="4">
        <f>5.53</f>
        <v>5.53</v>
      </c>
      <c r="F212" s="4">
        <f>0.16</f>
        <v>0.16</v>
      </c>
      <c r="G212" s="4">
        <f>3.61</f>
        <v>3.61</v>
      </c>
      <c r="H212" s="4">
        <f>3.59</f>
        <v>3.59</v>
      </c>
      <c r="I212" s="4" t="s">
        <v>75</v>
      </c>
      <c r="J212" s="4">
        <f>11.23</f>
        <v>11.23</v>
      </c>
      <c r="K212" s="4">
        <f>7.66</f>
        <v>7.66</v>
      </c>
      <c r="L212" s="4">
        <f>48.02</f>
        <v>48.02</v>
      </c>
      <c r="M212" s="4">
        <f>10.13</f>
        <v>10.130000000000001</v>
      </c>
      <c r="N212" s="4" t="s">
        <v>75</v>
      </c>
      <c r="O212" s="4" t="s">
        <v>75</v>
      </c>
      <c r="P212" s="4" t="s">
        <v>75</v>
      </c>
    </row>
    <row r="213" spans="1:16" x14ac:dyDescent="0.3">
      <c r="A213" s="3">
        <v>211</v>
      </c>
      <c r="B213" s="4" t="s">
        <v>67</v>
      </c>
      <c r="C213" s="4">
        <v>2021</v>
      </c>
      <c r="D213" s="4">
        <v>17.3</v>
      </c>
      <c r="E213" s="4">
        <f>6.78</f>
        <v>6.78</v>
      </c>
      <c r="F213" s="4">
        <f>0.23</f>
        <v>0.23</v>
      </c>
      <c r="G213" s="4">
        <f>4.2</f>
        <v>4.2</v>
      </c>
      <c r="H213" s="4">
        <f>4.07</f>
        <v>4.07</v>
      </c>
      <c r="I213" s="4">
        <f>2.72</f>
        <v>2.72</v>
      </c>
      <c r="J213" s="4">
        <f>14.71</f>
        <v>14.71</v>
      </c>
      <c r="K213" s="4">
        <f>9.99</f>
        <v>9.99</v>
      </c>
      <c r="L213" s="4">
        <f>44.28</f>
        <v>44.28</v>
      </c>
      <c r="M213" s="4">
        <f>8.83</f>
        <v>8.83</v>
      </c>
      <c r="N213" s="4" t="s">
        <v>75</v>
      </c>
      <c r="O213" s="4" t="s">
        <v>75</v>
      </c>
      <c r="P213" s="4" t="s">
        <v>75</v>
      </c>
    </row>
    <row r="214" spans="1:16" x14ac:dyDescent="0.3">
      <c r="A214" s="3">
        <v>212</v>
      </c>
      <c r="B214" s="4" t="s">
        <v>68</v>
      </c>
      <c r="C214" s="4">
        <v>2018</v>
      </c>
      <c r="D214" s="4" t="s">
        <v>75</v>
      </c>
      <c r="E214" s="4">
        <f>3.48</f>
        <v>3.48</v>
      </c>
      <c r="F214" s="4">
        <f>1.36</f>
        <v>1.36</v>
      </c>
      <c r="G214" s="4">
        <f>2.41</f>
        <v>2.41</v>
      </c>
      <c r="H214" s="4">
        <f>2.32</f>
        <v>2.3199999999999998</v>
      </c>
      <c r="I214" s="4">
        <f>17.75</f>
        <v>17.75</v>
      </c>
      <c r="J214" s="4">
        <f>48.35</f>
        <v>48.35</v>
      </c>
      <c r="K214" s="4">
        <f>19.8</f>
        <v>19.8</v>
      </c>
      <c r="L214" s="4">
        <f>14.71</f>
        <v>14.71</v>
      </c>
      <c r="M214" s="4" t="s">
        <v>75</v>
      </c>
      <c r="N214" s="4">
        <v>1.9342359767891683E-3</v>
      </c>
      <c r="O214" s="4">
        <v>-0.17408123791102514</v>
      </c>
      <c r="P214" s="4">
        <v>0.18375241779497098</v>
      </c>
    </row>
    <row r="215" spans="1:16" x14ac:dyDescent="0.3">
      <c r="A215" s="3">
        <v>213</v>
      </c>
      <c r="B215" s="4" t="s">
        <v>68</v>
      </c>
      <c r="C215" s="4">
        <v>2019</v>
      </c>
      <c r="D215" s="4">
        <v>18.100000000000001</v>
      </c>
      <c r="E215" s="4">
        <f>2.09</f>
        <v>2.09</v>
      </c>
      <c r="F215" s="4">
        <f>1.02</f>
        <v>1.02</v>
      </c>
      <c r="G215" s="4">
        <f>1.48</f>
        <v>1.48</v>
      </c>
      <c r="H215" s="4">
        <f>1.47</f>
        <v>1.47</v>
      </c>
      <c r="I215" s="4">
        <f>12.51</f>
        <v>12.51</v>
      </c>
      <c r="J215" s="4">
        <f>39.1</f>
        <v>39.1</v>
      </c>
      <c r="K215" s="4">
        <f>20.09</f>
        <v>20.09</v>
      </c>
      <c r="L215" s="4">
        <f>19.76</f>
        <v>19.760000000000002</v>
      </c>
      <c r="M215" s="4">
        <f>7.59</f>
        <v>7.59</v>
      </c>
      <c r="N215" s="4">
        <v>0.15641476274165203</v>
      </c>
      <c r="O215" s="4">
        <v>-5.4481546572934976E-2</v>
      </c>
      <c r="P215" s="4">
        <v>-3.163444639718805E-2</v>
      </c>
    </row>
    <row r="216" spans="1:16" x14ac:dyDescent="0.3">
      <c r="A216" s="3">
        <v>214</v>
      </c>
      <c r="B216" s="4" t="s">
        <v>68</v>
      </c>
      <c r="C216" s="4">
        <v>2020</v>
      </c>
      <c r="D216" s="4">
        <v>93.9</v>
      </c>
      <c r="E216" s="4">
        <f>1.66</f>
        <v>1.66</v>
      </c>
      <c r="F216" s="4">
        <f>0.51</f>
        <v>0.51</v>
      </c>
      <c r="G216" s="4">
        <f>1.29</f>
        <v>1.29</v>
      </c>
      <c r="H216" s="4">
        <f>1.28</f>
        <v>1.28</v>
      </c>
      <c r="I216" s="4">
        <f>3.1</f>
        <v>3.1</v>
      </c>
      <c r="J216" s="4">
        <f>23.39</f>
        <v>23.39</v>
      </c>
      <c r="K216" s="4">
        <f>9.54</f>
        <v>9.5399999999999991</v>
      </c>
      <c r="L216" s="4">
        <f>18.97</f>
        <v>18.97</v>
      </c>
      <c r="M216" s="4">
        <f>12.71</f>
        <v>12.71</v>
      </c>
      <c r="N216" s="4">
        <v>9.0163934426229511E-2</v>
      </c>
      <c r="O216" s="4">
        <v>-4.2622950819672129E-2</v>
      </c>
      <c r="P216" s="4">
        <v>-3.6065573770491806E-2</v>
      </c>
    </row>
    <row r="217" spans="1:16" x14ac:dyDescent="0.3">
      <c r="A217" s="3">
        <v>215</v>
      </c>
      <c r="B217" s="4" t="s">
        <v>68</v>
      </c>
      <c r="C217" s="4">
        <v>2021</v>
      </c>
      <c r="D217" s="4">
        <v>-31.4</v>
      </c>
      <c r="E217" s="4">
        <f>1.87</f>
        <v>1.87</v>
      </c>
      <c r="F217" s="4">
        <f>0.43</f>
        <v>0.43</v>
      </c>
      <c r="G217" s="4">
        <f>1.8</f>
        <v>1.8</v>
      </c>
      <c r="H217" s="4">
        <f>1.69</f>
        <v>1.69</v>
      </c>
      <c r="I217" s="4">
        <f>57.45</f>
        <v>57.45</v>
      </c>
      <c r="J217" s="4">
        <f>14.35</f>
        <v>14.35</v>
      </c>
      <c r="K217" s="4">
        <f>6.37</f>
        <v>6.37</v>
      </c>
      <c r="L217" s="4">
        <f>15.02</f>
        <v>15.02</v>
      </c>
      <c r="M217" s="4">
        <f>10.69</f>
        <v>10.69</v>
      </c>
      <c r="N217" s="4">
        <v>-0.75521557719054244</v>
      </c>
      <c r="O217" s="4">
        <v>3.6161335187760782E-2</v>
      </c>
      <c r="P217" s="4">
        <v>0.7162726008344924</v>
      </c>
    </row>
    <row r="218" spans="1:16" x14ac:dyDescent="0.3">
      <c r="A218" s="3">
        <v>216</v>
      </c>
      <c r="B218" s="4" t="s">
        <v>69</v>
      </c>
      <c r="C218" s="4">
        <v>2018</v>
      </c>
      <c r="D218" s="4">
        <v>-17</v>
      </c>
      <c r="E218" s="4">
        <f>4.05</f>
        <v>4.05</v>
      </c>
      <c r="F218" s="4">
        <f>0.45</f>
        <v>0.45</v>
      </c>
      <c r="G218" s="4">
        <f>2.13</f>
        <v>2.13</v>
      </c>
      <c r="H218" s="4">
        <f>1.27</f>
        <v>1.27</v>
      </c>
      <c r="I218" s="4">
        <f>66.28</f>
        <v>66.28</v>
      </c>
      <c r="J218" s="4">
        <f>49.03</f>
        <v>49.03</v>
      </c>
      <c r="K218" s="4">
        <f>16.71</f>
        <v>16.71</v>
      </c>
      <c r="L218" s="4">
        <f>38.22</f>
        <v>38.22</v>
      </c>
      <c r="M218" s="4">
        <f>14.87</f>
        <v>14.87</v>
      </c>
      <c r="N218" s="4">
        <v>-3.7838816470101386E-2</v>
      </c>
      <c r="O218" s="4">
        <v>-0.46146285950755223</v>
      </c>
      <c r="P218" s="4">
        <v>0.54983964411338715</v>
      </c>
    </row>
    <row r="219" spans="1:16" x14ac:dyDescent="0.3">
      <c r="A219" s="3">
        <v>217</v>
      </c>
      <c r="B219" s="4" t="s">
        <v>69</v>
      </c>
      <c r="C219" s="4">
        <v>2019</v>
      </c>
      <c r="D219" s="4">
        <v>17</v>
      </c>
      <c r="E219" s="4">
        <f>6.47</f>
        <v>6.47</v>
      </c>
      <c r="F219" s="4">
        <f>0.33</f>
        <v>0.33</v>
      </c>
      <c r="G219" s="4">
        <f>1.15</f>
        <v>1.1499999999999999</v>
      </c>
      <c r="H219" s="4">
        <f>0.65</f>
        <v>0.65</v>
      </c>
      <c r="I219" s="4">
        <f>40.96</f>
        <v>40.96</v>
      </c>
      <c r="J219" s="4">
        <f>38.54</f>
        <v>38.54</v>
      </c>
      <c r="K219" s="4">
        <f>13.72</f>
        <v>13.72</v>
      </c>
      <c r="L219" s="4">
        <f>47.11</f>
        <v>47.11</v>
      </c>
      <c r="M219" s="4">
        <f>13.05</f>
        <v>13.05</v>
      </c>
      <c r="N219" s="4">
        <v>1.0058302826040637</v>
      </c>
      <c r="O219" s="4">
        <v>-0.52918046758479087</v>
      </c>
      <c r="P219" s="4">
        <v>-0.28651674511399072</v>
      </c>
    </row>
    <row r="220" spans="1:16" x14ac:dyDescent="0.3">
      <c r="A220" s="3">
        <v>218</v>
      </c>
      <c r="B220" s="4" t="s">
        <v>69</v>
      </c>
      <c r="C220" s="4">
        <v>2020</v>
      </c>
      <c r="D220" s="4">
        <v>6</v>
      </c>
      <c r="E220" s="4">
        <f>7.34</f>
        <v>7.34</v>
      </c>
      <c r="F220" s="4">
        <f>0.35</f>
        <v>0.35</v>
      </c>
      <c r="G220" s="4">
        <f>0.99</f>
        <v>0.99</v>
      </c>
      <c r="H220" s="4">
        <f>0.57</f>
        <v>0.56999999999999995</v>
      </c>
      <c r="I220" s="4">
        <f>28</f>
        <v>28</v>
      </c>
      <c r="J220" s="4">
        <f>35.56</f>
        <v>35.56</v>
      </c>
      <c r="K220" s="4">
        <f>13.26</f>
        <v>13.26</v>
      </c>
      <c r="L220" s="4">
        <f>39.42</f>
        <v>39.42</v>
      </c>
      <c r="M220" s="4">
        <f>10.77</f>
        <v>10.77</v>
      </c>
      <c r="N220" s="4">
        <v>0.34777139502704518</v>
      </c>
      <c r="O220" s="4">
        <v>-0.3133604483765916</v>
      </c>
      <c r="P220" s="4">
        <v>-2.9085775783750541E-2</v>
      </c>
    </row>
    <row r="221" spans="1:16" x14ac:dyDescent="0.3">
      <c r="A221" s="3">
        <v>219</v>
      </c>
      <c r="B221" s="4" t="s">
        <v>69</v>
      </c>
      <c r="C221" s="4">
        <v>2021</v>
      </c>
      <c r="D221" s="4">
        <v>20</v>
      </c>
      <c r="E221" s="4">
        <f>6.56</f>
        <v>6.56</v>
      </c>
      <c r="F221" s="4">
        <f>0.38</f>
        <v>0.38</v>
      </c>
      <c r="G221" s="4">
        <f>1.25</f>
        <v>1.25</v>
      </c>
      <c r="H221" s="4">
        <f>0.87</f>
        <v>0.87</v>
      </c>
      <c r="I221" s="4">
        <f>15.16</f>
        <v>15.16</v>
      </c>
      <c r="J221" s="4">
        <f>35.21</f>
        <v>35.21</v>
      </c>
      <c r="K221" s="4">
        <f>17.42</f>
        <v>17.420000000000002</v>
      </c>
      <c r="L221" s="4">
        <f>45.83</f>
        <v>45.83</v>
      </c>
      <c r="M221" s="4">
        <f>7.6</f>
        <v>7.6</v>
      </c>
      <c r="N221" s="4">
        <v>0.20090367825288871</v>
      </c>
      <c r="O221" s="4">
        <v>-0.25881909961640742</v>
      </c>
      <c r="P221" s="4">
        <v>-4.9008071917727623E-2</v>
      </c>
    </row>
    <row r="222" spans="1:16" x14ac:dyDescent="0.3">
      <c r="A222" s="3">
        <v>220</v>
      </c>
      <c r="B222" s="4" t="s">
        <v>70</v>
      </c>
      <c r="C222" s="4">
        <v>2018</v>
      </c>
      <c r="D222" s="4">
        <v>49</v>
      </c>
      <c r="E222" s="4">
        <f>18.28</f>
        <v>18.28</v>
      </c>
      <c r="F222" s="4">
        <f>0.49</f>
        <v>0.49</v>
      </c>
      <c r="G222" s="4">
        <f>1.24</f>
        <v>1.24</v>
      </c>
      <c r="H222" s="4">
        <f>0.73</f>
        <v>0.73</v>
      </c>
      <c r="I222" s="4">
        <f>81.69</f>
        <v>81.69</v>
      </c>
      <c r="J222" s="4">
        <f>4.98</f>
        <v>4.9800000000000004</v>
      </c>
      <c r="K222" s="4">
        <f>1.51</f>
        <v>1.51</v>
      </c>
      <c r="L222" s="4">
        <f>5.08</f>
        <v>5.08</v>
      </c>
      <c r="M222" s="4">
        <f>73.41</f>
        <v>73.41</v>
      </c>
      <c r="N222" s="4">
        <v>-8.1854851933230582E-2</v>
      </c>
      <c r="O222" s="4">
        <v>-0.51088774472829834</v>
      </c>
      <c r="P222" s="4">
        <v>0.63719542190010825</v>
      </c>
    </row>
    <row r="223" spans="1:16" x14ac:dyDescent="0.3">
      <c r="A223" s="3">
        <v>221</v>
      </c>
      <c r="B223" s="4" t="s">
        <v>70</v>
      </c>
      <c r="C223" s="4">
        <v>2019</v>
      </c>
      <c r="D223" s="4">
        <v>7</v>
      </c>
      <c r="E223" s="4">
        <f>10.73</f>
        <v>10.73</v>
      </c>
      <c r="F223" s="4">
        <f>0.38</f>
        <v>0.38</v>
      </c>
      <c r="G223" s="4">
        <f>1.09</f>
        <v>1.0900000000000001</v>
      </c>
      <c r="H223" s="4">
        <f>0.63</f>
        <v>0.63</v>
      </c>
      <c r="I223" s="4">
        <f>97.38</f>
        <v>97.38</v>
      </c>
      <c r="J223" s="4">
        <f>6.87</f>
        <v>6.87</v>
      </c>
      <c r="K223" s="4">
        <f>2.18</f>
        <v>2.1800000000000002</v>
      </c>
      <c r="L223" s="4">
        <f>5.93</f>
        <v>5.93</v>
      </c>
      <c r="M223" s="4">
        <f>50.16</f>
        <v>50.16</v>
      </c>
      <c r="N223" s="4">
        <v>0.1226711534176904</v>
      </c>
      <c r="O223" s="4">
        <v>-0.45993807668963821</v>
      </c>
      <c r="P223" s="4">
        <v>0.37483578030285569</v>
      </c>
    </row>
    <row r="224" spans="1:16" x14ac:dyDescent="0.3">
      <c r="A224" s="3">
        <v>222</v>
      </c>
      <c r="B224" s="4" t="s">
        <v>70</v>
      </c>
      <c r="C224" s="4">
        <v>2020</v>
      </c>
      <c r="D224" s="4">
        <v>-6</v>
      </c>
      <c r="E224" s="4">
        <f>6.76</f>
        <v>6.76</v>
      </c>
      <c r="F224" s="4">
        <f>0.27</f>
        <v>0.27</v>
      </c>
      <c r="G224" s="4">
        <f>0.98</f>
        <v>0.98</v>
      </c>
      <c r="H224" s="4">
        <f>0.61</f>
        <v>0.61</v>
      </c>
      <c r="I224" s="4">
        <f>91.48</f>
        <v>91.48</v>
      </c>
      <c r="J224" s="4">
        <f>4.26</f>
        <v>4.26</v>
      </c>
      <c r="K224" s="4">
        <f>1.32</f>
        <v>1.32</v>
      </c>
      <c r="L224" s="4">
        <f>4.11</f>
        <v>4.1100000000000003</v>
      </c>
      <c r="M224" s="4">
        <f>66.97</f>
        <v>66.97</v>
      </c>
      <c r="N224" s="4">
        <v>0.14405670172904159</v>
      </c>
      <c r="O224" s="4">
        <v>-0.1463951966051194</v>
      </c>
      <c r="P224" s="4">
        <v>0.10126856575323913</v>
      </c>
    </row>
    <row r="225" spans="1:16" x14ac:dyDescent="0.3">
      <c r="A225" s="3">
        <v>223</v>
      </c>
      <c r="B225" s="4" t="s">
        <v>70</v>
      </c>
      <c r="C225" s="4">
        <v>2021</v>
      </c>
      <c r="D225" s="4">
        <v>-1</v>
      </c>
      <c r="E225" s="4">
        <f>6.98</f>
        <v>6.98</v>
      </c>
      <c r="F225" s="4">
        <f>0.3</f>
        <v>0.3</v>
      </c>
      <c r="G225" s="4">
        <f>1.1</f>
        <v>1.1000000000000001</v>
      </c>
      <c r="H225" s="4">
        <f>0.76</f>
        <v>0.76</v>
      </c>
      <c r="I225" s="4">
        <f>76.48</f>
        <v>76.48</v>
      </c>
      <c r="J225" s="4">
        <f>-1.7</f>
        <v>-1.7</v>
      </c>
      <c r="K225" s="4">
        <f>-0.59</f>
        <v>-0.59</v>
      </c>
      <c r="L225" s="4">
        <f>-6.01</f>
        <v>-6.01</v>
      </c>
      <c r="M225" s="4">
        <f>-133.71</f>
        <v>-133.71</v>
      </c>
      <c r="N225" s="4">
        <v>-0.11294233628290441</v>
      </c>
      <c r="O225" s="4">
        <v>-0.17796010526232101</v>
      </c>
      <c r="P225" s="4">
        <v>0.20410077833695073</v>
      </c>
    </row>
    <row r="226" spans="1:16" x14ac:dyDescent="0.3">
      <c r="A226" s="3">
        <v>224</v>
      </c>
      <c r="B226" s="4" t="s">
        <v>71</v>
      </c>
      <c r="C226" s="4">
        <v>2018</v>
      </c>
      <c r="D226" s="4">
        <v>-37.700000000000003</v>
      </c>
      <c r="E226" s="4">
        <f>5.93</f>
        <v>5.93</v>
      </c>
      <c r="F226" s="4">
        <f>0.35</f>
        <v>0.35</v>
      </c>
      <c r="G226" s="4">
        <f>1.69</f>
        <v>1.69</v>
      </c>
      <c r="H226" s="4">
        <f>1.14</f>
        <v>1.1399999999999999</v>
      </c>
      <c r="I226" s="4">
        <f>38.97</f>
        <v>38.97</v>
      </c>
      <c r="J226" s="4">
        <f>14.59</f>
        <v>14.59</v>
      </c>
      <c r="K226" s="4">
        <f>7.32</f>
        <v>7.32</v>
      </c>
      <c r="L226" s="4">
        <f>20.75</f>
        <v>20.75</v>
      </c>
      <c r="M226" s="4">
        <f>2.6</f>
        <v>2.6</v>
      </c>
      <c r="N226" s="4">
        <v>0.13172804532577903</v>
      </c>
      <c r="O226" s="4">
        <v>-9.9150141643059488E-3</v>
      </c>
      <c r="P226" s="4">
        <v>-0.16147308781869688</v>
      </c>
    </row>
    <row r="227" spans="1:16" x14ac:dyDescent="0.3">
      <c r="A227" s="3">
        <v>225</v>
      </c>
      <c r="B227" s="4" t="s">
        <v>71</v>
      </c>
      <c r="C227" s="4">
        <v>2019</v>
      </c>
      <c r="D227" s="4">
        <v>-5.5</v>
      </c>
      <c r="E227" s="4">
        <f>1.44</f>
        <v>1.44</v>
      </c>
      <c r="F227" s="4">
        <f>0.08</f>
        <v>0.08</v>
      </c>
      <c r="G227" s="4">
        <f>1.95</f>
        <v>1.95</v>
      </c>
      <c r="H227" s="4">
        <f>1.26</f>
        <v>1.26</v>
      </c>
      <c r="I227" s="4">
        <f>27.88</f>
        <v>27.88</v>
      </c>
      <c r="J227" s="4">
        <f>2.89</f>
        <v>2.89</v>
      </c>
      <c r="K227" s="4">
        <f>1.55</f>
        <v>1.55</v>
      </c>
      <c r="L227" s="4">
        <f>18.4</f>
        <v>18.399999999999999</v>
      </c>
      <c r="M227" s="4">
        <f>12.32</f>
        <v>12.32</v>
      </c>
      <c r="N227" s="4">
        <v>1</v>
      </c>
      <c r="O227" s="4">
        <v>-4.2944785276073622E-2</v>
      </c>
      <c r="P227" s="4">
        <v>-1.01840490797546</v>
      </c>
    </row>
    <row r="228" spans="1:16" x14ac:dyDescent="0.3">
      <c r="A228" s="3">
        <v>226</v>
      </c>
      <c r="B228" s="4" t="s">
        <v>71</v>
      </c>
      <c r="C228" s="4">
        <v>2020</v>
      </c>
      <c r="D228" s="4">
        <v>26.4</v>
      </c>
      <c r="E228" s="4">
        <f>6.54</f>
        <v>6.54</v>
      </c>
      <c r="F228" s="4">
        <f>0.14</f>
        <v>0.14000000000000001</v>
      </c>
      <c r="G228" s="4">
        <f>1.7</f>
        <v>1.7</v>
      </c>
      <c r="H228" s="4">
        <f>0.98</f>
        <v>0.98</v>
      </c>
      <c r="I228" s="4">
        <f>41.86</f>
        <v>41.86</v>
      </c>
      <c r="J228" s="4">
        <f>1.33</f>
        <v>1.33</v>
      </c>
      <c r="K228" s="4">
        <f>0.7</f>
        <v>0.7</v>
      </c>
      <c r="L228" s="4">
        <f>5.08</f>
        <v>5.08</v>
      </c>
      <c r="M228" s="4">
        <f>35.78</f>
        <v>35.78</v>
      </c>
      <c r="N228" s="4">
        <v>-0.57913669064748197</v>
      </c>
      <c r="O228" s="4">
        <v>-9.3525179856115109E-2</v>
      </c>
      <c r="P228" s="4">
        <v>0.55755395683453235</v>
      </c>
    </row>
    <row r="229" spans="1:16" x14ac:dyDescent="0.3">
      <c r="A229" s="3">
        <v>227</v>
      </c>
      <c r="B229" s="4" t="s">
        <v>71</v>
      </c>
      <c r="C229" s="4">
        <v>2021</v>
      </c>
      <c r="D229" s="4">
        <v>167.6</v>
      </c>
      <c r="E229" s="4">
        <f>8.36</f>
        <v>8.36</v>
      </c>
      <c r="F229" s="4">
        <f>0.14</f>
        <v>0.14000000000000001</v>
      </c>
      <c r="G229" s="4">
        <f>1.67</f>
        <v>1.67</v>
      </c>
      <c r="H229" s="4">
        <f>1.25</f>
        <v>1.25</v>
      </c>
      <c r="I229" s="4">
        <f>39.7</f>
        <v>39.700000000000003</v>
      </c>
      <c r="J229" s="4">
        <f>7.9</f>
        <v>7.9</v>
      </c>
      <c r="K229" s="4">
        <f>4.02</f>
        <v>4.0199999999999996</v>
      </c>
      <c r="L229" s="4">
        <f>28.69</f>
        <v>28.69</v>
      </c>
      <c r="M229" s="4">
        <f>15.7</f>
        <v>15.7</v>
      </c>
      <c r="N229" s="4">
        <v>-0.28424657534246578</v>
      </c>
      <c r="O229" s="4">
        <v>0.53424657534246578</v>
      </c>
      <c r="P229" s="4">
        <v>9.5890410958904104E-2</v>
      </c>
    </row>
    <row r="230" spans="1:16" x14ac:dyDescent="0.3">
      <c r="A230" s="3">
        <v>228</v>
      </c>
      <c r="B230" s="4" t="s">
        <v>72</v>
      </c>
      <c r="C230" s="4">
        <v>2018</v>
      </c>
      <c r="D230" s="4">
        <v>11.4</v>
      </c>
      <c r="E230" s="4">
        <f>0.35</f>
        <v>0.35</v>
      </c>
      <c r="F230" s="4">
        <f>0.05</f>
        <v>0.05</v>
      </c>
      <c r="G230" s="4">
        <f>1.49</f>
        <v>1.49</v>
      </c>
      <c r="H230" s="4">
        <f>0.7</f>
        <v>0.7</v>
      </c>
      <c r="I230" s="4">
        <f>90.47</f>
        <v>90.47</v>
      </c>
      <c r="J230" s="4">
        <f>18.76</f>
        <v>18.760000000000002</v>
      </c>
      <c r="K230" s="4">
        <f>8.06</f>
        <v>8.06</v>
      </c>
      <c r="L230" s="4">
        <f>168.56</f>
        <v>168.56</v>
      </c>
      <c r="M230" s="4">
        <f>16.07</f>
        <v>16.07</v>
      </c>
      <c r="N230" s="4">
        <v>-2.4063604240282683</v>
      </c>
      <c r="O230" s="4">
        <v>-4.2685512367491167</v>
      </c>
      <c r="P230" s="4">
        <v>5.862190812720848</v>
      </c>
    </row>
    <row r="231" spans="1:16" x14ac:dyDescent="0.3">
      <c r="A231" s="3">
        <v>229</v>
      </c>
      <c r="B231" s="4" t="s">
        <v>72</v>
      </c>
      <c r="C231" s="4">
        <v>2019</v>
      </c>
      <c r="D231" s="4">
        <v>4.0999999999999996</v>
      </c>
      <c r="E231" s="4">
        <f>2.1</f>
        <v>2.1</v>
      </c>
      <c r="F231" s="4">
        <f>0.39</f>
        <v>0.39</v>
      </c>
      <c r="G231" s="4">
        <f>1.76</f>
        <v>1.76</v>
      </c>
      <c r="H231" s="4">
        <f>1.17</f>
        <v>1.17</v>
      </c>
      <c r="I231" s="4">
        <f>158.37</f>
        <v>158.37</v>
      </c>
      <c r="J231" s="4">
        <f>19.67</f>
        <v>19.670000000000002</v>
      </c>
      <c r="K231" s="4">
        <f>6.45</f>
        <v>6.45</v>
      </c>
      <c r="L231" s="4">
        <f>16.71</f>
        <v>16.71</v>
      </c>
      <c r="M231" s="4">
        <f>13.41</f>
        <v>13.41</v>
      </c>
      <c r="N231" s="4">
        <v>-0.234949058351343</v>
      </c>
      <c r="O231" s="4">
        <v>-0.14356282803334364</v>
      </c>
      <c r="P231" s="4">
        <v>0.5501698054955233</v>
      </c>
    </row>
    <row r="232" spans="1:16" x14ac:dyDescent="0.3">
      <c r="A232" s="3">
        <v>230</v>
      </c>
      <c r="B232" s="4" t="s">
        <v>72</v>
      </c>
      <c r="C232" s="4">
        <v>2020</v>
      </c>
      <c r="D232" s="4">
        <v>-1.8</v>
      </c>
      <c r="E232" s="4">
        <f>1.32</f>
        <v>1.32</v>
      </c>
      <c r="F232" s="4">
        <f>0.23</f>
        <v>0.23</v>
      </c>
      <c r="G232" s="4">
        <f>1.41</f>
        <v>1.41</v>
      </c>
      <c r="H232" s="4">
        <f>0.97</f>
        <v>0.97</v>
      </c>
      <c r="I232" s="4">
        <f>102.66</f>
        <v>102.66</v>
      </c>
      <c r="J232" s="4">
        <f>10.65</f>
        <v>10.65</v>
      </c>
      <c r="K232" s="4">
        <f>3.22</f>
        <v>3.22</v>
      </c>
      <c r="L232" s="4">
        <f>14.17</f>
        <v>14.17</v>
      </c>
      <c r="M232" s="4">
        <f>18.44</f>
        <v>18.440000000000001</v>
      </c>
      <c r="N232" s="4">
        <v>0.78765545831414097</v>
      </c>
      <c r="O232" s="4">
        <v>-0.1497005988023952</v>
      </c>
      <c r="P232" s="4">
        <v>-0.46292031321971444</v>
      </c>
    </row>
    <row r="233" spans="1:16" x14ac:dyDescent="0.3">
      <c r="A233" s="3">
        <v>231</v>
      </c>
      <c r="B233" s="4" t="s">
        <v>72</v>
      </c>
      <c r="C233" s="4">
        <v>2021</v>
      </c>
      <c r="D233" s="4">
        <v>81.099999999999994</v>
      </c>
      <c r="E233" s="4">
        <f>3.62</f>
        <v>3.62</v>
      </c>
      <c r="F233" s="4">
        <f>0.27</f>
        <v>0.27</v>
      </c>
      <c r="G233" s="4">
        <f>1.9</f>
        <v>1.9</v>
      </c>
      <c r="H233" s="4">
        <f>0.93</f>
        <v>0.93</v>
      </c>
      <c r="I233" s="4">
        <f>92.83</f>
        <v>92.83</v>
      </c>
      <c r="J233" s="4">
        <f>10.96</f>
        <v>10.96</v>
      </c>
      <c r="K233" s="4">
        <f>3.56</f>
        <v>3.56</v>
      </c>
      <c r="L233" s="4">
        <f>13.18</f>
        <v>13.18</v>
      </c>
      <c r="M233" s="4">
        <f>31.89</f>
        <v>31.89</v>
      </c>
      <c r="N233" s="4">
        <v>0.2021755438859715</v>
      </c>
      <c r="O233" s="4">
        <v>-0.45423855963991</v>
      </c>
      <c r="P233" s="4">
        <v>0.28657164291072768</v>
      </c>
    </row>
    <row r="234" spans="1:16" x14ac:dyDescent="0.3">
      <c r="A234" s="3">
        <v>232</v>
      </c>
      <c r="B234" s="4" t="s">
        <v>73</v>
      </c>
      <c r="C234" s="4">
        <v>2018</v>
      </c>
      <c r="D234" s="4">
        <v>7.7</v>
      </c>
      <c r="E234" s="4">
        <f>0.49</f>
        <v>0.49</v>
      </c>
      <c r="F234" s="4">
        <f>0.03</f>
        <v>0.03</v>
      </c>
      <c r="G234" s="4">
        <f>3.02</f>
        <v>3.02</v>
      </c>
      <c r="H234" s="4">
        <f>0.53</f>
        <v>0.53</v>
      </c>
      <c r="I234" s="4" t="s">
        <v>75</v>
      </c>
      <c r="J234" s="4">
        <f>31.57</f>
        <v>31.57</v>
      </c>
      <c r="K234" s="4">
        <f>22.67</f>
        <v>22.67</v>
      </c>
      <c r="L234" s="4">
        <f>758.67</f>
        <v>758.67</v>
      </c>
      <c r="M234" s="4">
        <f>3.29</f>
        <v>3.29</v>
      </c>
      <c r="N234" s="4">
        <v>-8.7027027027027035</v>
      </c>
      <c r="O234" s="4">
        <v>7.6216216216216219</v>
      </c>
      <c r="P234" s="4">
        <v>-2.7027027027027029E-2</v>
      </c>
    </row>
    <row r="235" spans="1:16" x14ac:dyDescent="0.3">
      <c r="A235" s="3">
        <v>233</v>
      </c>
      <c r="B235" s="4" t="s">
        <v>73</v>
      </c>
      <c r="C235" s="4">
        <v>2019</v>
      </c>
      <c r="D235" s="4">
        <v>-8</v>
      </c>
      <c r="E235" s="4">
        <f>0.31</f>
        <v>0.31</v>
      </c>
      <c r="F235" s="4">
        <f>0.01</f>
        <v>0.01</v>
      </c>
      <c r="G235" s="4">
        <f>3.84</f>
        <v>3.84</v>
      </c>
      <c r="H235" s="4">
        <f>0.23</f>
        <v>0.23</v>
      </c>
      <c r="I235" s="4">
        <f>0.61</f>
        <v>0.61</v>
      </c>
      <c r="J235" s="4">
        <f>2.11</f>
        <v>2.11</v>
      </c>
      <c r="K235" s="4">
        <f>1.55</f>
        <v>1.55</v>
      </c>
      <c r="L235" s="4">
        <f>234.8</f>
        <v>234.8</v>
      </c>
      <c r="M235" s="4">
        <f>34.92</f>
        <v>34.92</v>
      </c>
      <c r="N235" s="4">
        <v>-32.272727272727273</v>
      </c>
      <c r="O235" s="4">
        <v>5.6363636363636367</v>
      </c>
      <c r="P235" s="4">
        <v>25.181818181818183</v>
      </c>
    </row>
    <row r="236" spans="1:16" x14ac:dyDescent="0.3">
      <c r="A236" s="3">
        <v>234</v>
      </c>
      <c r="B236" s="4" t="s">
        <v>73</v>
      </c>
      <c r="C236" s="4">
        <v>2020</v>
      </c>
      <c r="D236" s="4">
        <v>-42.9</v>
      </c>
      <c r="E236" s="4">
        <f>0.3</f>
        <v>0.3</v>
      </c>
      <c r="F236" s="4">
        <f>0.01</f>
        <v>0.01</v>
      </c>
      <c r="G236" s="4">
        <f>3.76</f>
        <v>3.76</v>
      </c>
      <c r="H236" s="4">
        <f>0.17</f>
        <v>0.17</v>
      </c>
      <c r="I236" s="4">
        <f>23.76</f>
        <v>23.76</v>
      </c>
      <c r="J236" s="4">
        <f>0.03</f>
        <v>0.03</v>
      </c>
      <c r="K236" s="4">
        <f>0.02</f>
        <v>0.02</v>
      </c>
      <c r="L236" s="4">
        <f>4.65</f>
        <v>4.6500000000000004</v>
      </c>
      <c r="M236" s="4">
        <f>1416.39</f>
        <v>1416.39</v>
      </c>
      <c r="N236" s="4">
        <v>-32.555555555555557</v>
      </c>
      <c r="O236" s="4">
        <v>0.1111111111111111</v>
      </c>
      <c r="P236" s="4">
        <v>32.222222222222221</v>
      </c>
    </row>
    <row r="237" spans="1:16" x14ac:dyDescent="0.3">
      <c r="A237" s="3">
        <v>235</v>
      </c>
      <c r="B237" s="4" t="s">
        <v>73</v>
      </c>
      <c r="C237" s="4">
        <v>2021</v>
      </c>
      <c r="D237" s="4">
        <v>224.3</v>
      </c>
      <c r="E237" s="4">
        <f>0.11</f>
        <v>0.11</v>
      </c>
      <c r="F237" s="4" t="s">
        <v>75</v>
      </c>
      <c r="G237" s="4">
        <f>20.55</f>
        <v>20.55</v>
      </c>
      <c r="H237" s="4">
        <f>2.46</f>
        <v>2.46</v>
      </c>
      <c r="I237" s="4">
        <f>37.41</f>
        <v>37.409999999999997</v>
      </c>
      <c r="J237" s="4">
        <f>0.02</f>
        <v>0.02</v>
      </c>
      <c r="K237" s="4">
        <f>0.02</f>
        <v>0.02</v>
      </c>
      <c r="L237" s="4">
        <f>14.14</f>
        <v>14.14</v>
      </c>
      <c r="M237" s="4">
        <f>5595.34</f>
        <v>5595.34</v>
      </c>
      <c r="N237" s="4">
        <v>-57.666666666666664</v>
      </c>
      <c r="O237" s="4" t="s">
        <v>75</v>
      </c>
      <c r="P237" s="4">
        <v>57</v>
      </c>
    </row>
    <row r="238" spans="1:16" x14ac:dyDescent="0.3">
      <c r="A238" s="3">
        <v>236</v>
      </c>
      <c r="B238" s="4" t="s">
        <v>74</v>
      </c>
      <c r="C238" s="4">
        <v>2018</v>
      </c>
      <c r="D238" s="4">
        <v>-27.5</v>
      </c>
      <c r="E238" s="4">
        <f>18.02</f>
        <v>18.02</v>
      </c>
      <c r="F238" s="4">
        <f>0.24</f>
        <v>0.24</v>
      </c>
      <c r="G238" s="4">
        <f>1.14</f>
        <v>1.1399999999999999</v>
      </c>
      <c r="H238" s="4">
        <f>0.99</f>
        <v>0.99</v>
      </c>
      <c r="I238" s="4">
        <f>9.75</f>
        <v>9.75</v>
      </c>
      <c r="J238" s="4">
        <f>8.81</f>
        <v>8.81</v>
      </c>
      <c r="K238" s="4">
        <f>6.26</f>
        <v>6.26</v>
      </c>
      <c r="L238" s="4">
        <f>26.45</f>
        <v>26.45</v>
      </c>
      <c r="M238" s="4">
        <f>22.73</f>
        <v>22.73</v>
      </c>
      <c r="N238" s="4">
        <v>0.39171416045594037</v>
      </c>
      <c r="O238" s="4">
        <v>6.9706269180184133E-2</v>
      </c>
      <c r="P238" s="4">
        <v>-0.35072336694432266</v>
      </c>
    </row>
    <row r="239" spans="1:16" x14ac:dyDescent="0.3">
      <c r="A239" s="3">
        <v>237</v>
      </c>
      <c r="B239" s="4" t="s">
        <v>74</v>
      </c>
      <c r="C239" s="4">
        <v>2019</v>
      </c>
      <c r="D239" s="4">
        <v>21.9</v>
      </c>
      <c r="E239" s="4">
        <f>21.12</f>
        <v>21.12</v>
      </c>
      <c r="F239" s="4">
        <f>0.25</f>
        <v>0.25</v>
      </c>
      <c r="G239" s="4">
        <f>1.06</f>
        <v>1.06</v>
      </c>
      <c r="H239" s="4">
        <f>0.85</f>
        <v>0.85</v>
      </c>
      <c r="I239" s="4">
        <f>10.33</f>
        <v>10.33</v>
      </c>
      <c r="J239" s="4">
        <f>10.28</f>
        <v>10.28</v>
      </c>
      <c r="K239" s="4">
        <f>7.65</f>
        <v>7.65</v>
      </c>
      <c r="L239" s="4">
        <f>30.8</f>
        <v>30.8</v>
      </c>
      <c r="M239" s="4">
        <f>27.75</f>
        <v>27.75</v>
      </c>
      <c r="N239" s="4">
        <v>0.33988551679447027</v>
      </c>
      <c r="O239" s="4">
        <v>2.5380710659898477E-2</v>
      </c>
      <c r="P239" s="4">
        <v>-0.4779133815746841</v>
      </c>
    </row>
    <row r="240" spans="1:16" x14ac:dyDescent="0.3">
      <c r="A240" s="3">
        <v>238</v>
      </c>
      <c r="B240" s="4" t="s">
        <v>74</v>
      </c>
      <c r="C240" s="4">
        <v>2020</v>
      </c>
      <c r="D240" s="4">
        <v>-7.6</v>
      </c>
      <c r="E240" s="4">
        <f>13.33</f>
        <v>13.33</v>
      </c>
      <c r="F240" s="4">
        <f>0.22</f>
        <v>0.22</v>
      </c>
      <c r="G240" s="4">
        <f>1.98</f>
        <v>1.98</v>
      </c>
      <c r="H240" s="4">
        <f>1.84</f>
        <v>1.84</v>
      </c>
      <c r="I240" s="4">
        <f>19.52</f>
        <v>19.52</v>
      </c>
      <c r="J240" s="4">
        <f>8.46</f>
        <v>8.4600000000000009</v>
      </c>
      <c r="K240" s="4">
        <f>6.3</f>
        <v>6.3</v>
      </c>
      <c r="L240" s="4">
        <f>28.6</f>
        <v>28.6</v>
      </c>
      <c r="M240" s="4">
        <f>29.97</f>
        <v>29.97</v>
      </c>
      <c r="N240" s="4">
        <v>0.48289110337375435</v>
      </c>
      <c r="O240" s="4">
        <v>-0.63140833233281302</v>
      </c>
      <c r="P240" s="4">
        <v>0.34818105414815703</v>
      </c>
    </row>
    <row r="241" spans="1:16" x14ac:dyDescent="0.3">
      <c r="A241" s="3">
        <v>239</v>
      </c>
      <c r="B241" s="4" t="s">
        <v>74</v>
      </c>
      <c r="C241" s="4">
        <v>2021</v>
      </c>
      <c r="D241" s="4">
        <v>-4.0999999999999996</v>
      </c>
      <c r="E241" s="4">
        <f>5.94</f>
        <v>5.94</v>
      </c>
      <c r="F241" s="4">
        <f>0.15</f>
        <v>0.15</v>
      </c>
      <c r="G241" s="4">
        <f>2.36</f>
        <v>2.36</v>
      </c>
      <c r="H241" s="4">
        <f>2.16</f>
        <v>2.16</v>
      </c>
      <c r="I241" s="4">
        <f>10.3</f>
        <v>10.3</v>
      </c>
      <c r="J241" s="4">
        <f>4.38</f>
        <v>4.38</v>
      </c>
      <c r="K241" s="4">
        <f>3.38</f>
        <v>3.38</v>
      </c>
      <c r="L241" s="4">
        <f>22.32</f>
        <v>22.32</v>
      </c>
      <c r="M241" s="4">
        <f>52.04</f>
        <v>52.04</v>
      </c>
      <c r="N241" s="4">
        <v>0.28942454591750127</v>
      </c>
      <c r="O241" s="4">
        <v>0.19725004243761671</v>
      </c>
      <c r="P241" s="4">
        <v>-0.4449159735189272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Đăng</dc:creator>
  <cp:lastModifiedBy>Đăng Nguyễn</cp:lastModifiedBy>
  <dcterms:created xsi:type="dcterms:W3CDTF">2015-06-05T18:17:20Z</dcterms:created>
  <dcterms:modified xsi:type="dcterms:W3CDTF">2022-05-06T23:55:21Z</dcterms:modified>
</cp:coreProperties>
</file>