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khoi nghiep\"/>
    </mc:Choice>
  </mc:AlternateContent>
  <xr:revisionPtr revIDLastSave="0" documentId="13_ncr:1_{3B7F0C2C-7E58-4FFC-851F-08B936BCE2FD}" xr6:coauthVersionLast="47" xr6:coauthVersionMax="47" xr10:uidLastSave="{00000000-0000-0000-0000-000000000000}"/>
  <bookViews>
    <workbookView xWindow="-108" yWindow="-108" windowWidth="23256" windowHeight="12576" tabRatio="870" firstSheet="2" activeTab="3" xr2:uid="{9AA35BDA-ED3C-4667-92EA-960454FF97DD}"/>
  </bookViews>
  <sheets>
    <sheet name="đầu tư ban đầu" sheetId="1" r:id="rId1"/>
    <sheet name="nguồn vốn" sheetId="2" r:id="rId2"/>
    <sheet name="thoi gian khấu hao" sheetId="3" r:id="rId3"/>
    <sheet name="doanh thu" sheetId="4" r:id="rId4"/>
    <sheet name="chi phí hoạt động" sheetId="5" r:id="rId5"/>
    <sheet name="thu hồi" sheetId="6" r:id="rId6"/>
    <sheet name="thuế" sheetId="7" r:id="rId7"/>
    <sheet name="tra nợ vay" sheetId="9" r:id="rId8"/>
    <sheet name="công thức" sheetId="10" r:id="rId9"/>
    <sheet name="thu nhập" sheetId="11" r:id="rId10"/>
    <sheet name="Dòng tiền" sheetId="12" r:id="rId11"/>
    <sheet name="điểm hòa vốn" sheetId="13" r:id="rId12"/>
    <sheet name="phân tích rủi ro" sheetId="14" r:id="rId13"/>
    <sheet name="Kế hoạch triển khai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5" l="1"/>
  <c r="B4" i="6"/>
  <c r="G5" i="12"/>
  <c r="C5" i="4"/>
  <c r="C4" i="9" l="1"/>
  <c r="C6" i="3"/>
  <c r="B3" i="13"/>
  <c r="B2" i="13"/>
  <c r="B4" i="13" s="1"/>
  <c r="C5" i="9"/>
  <c r="B21" i="12"/>
  <c r="B20" i="12"/>
  <c r="B19" i="12"/>
  <c r="B18" i="12"/>
  <c r="G7" i="12"/>
  <c r="G6" i="12"/>
  <c r="B5" i="6"/>
  <c r="C3" i="5"/>
  <c r="B12" i="5" s="1"/>
  <c r="B8" i="4"/>
  <c r="B8" i="3" l="1"/>
  <c r="B3" i="11"/>
  <c r="C8" i="4"/>
  <c r="D8" i="4" s="1"/>
  <c r="B5" i="11"/>
  <c r="B5" i="13"/>
  <c r="C12" i="5"/>
  <c r="D12" i="5" s="1"/>
  <c r="E12" i="5" s="1"/>
  <c r="F12" i="5" s="1"/>
  <c r="C2" i="9"/>
  <c r="C3" i="9" s="1"/>
  <c r="B9" i="12"/>
  <c r="B8" i="12" s="1"/>
  <c r="B12" i="12" s="1"/>
  <c r="B13" i="12" s="1"/>
  <c r="B14" i="12" s="1"/>
  <c r="B22" i="12"/>
  <c r="C4" i="12"/>
  <c r="C3" i="12" s="1"/>
  <c r="B13" i="5"/>
  <c r="D8" i="3" l="1"/>
  <c r="C8" i="3"/>
  <c r="C5" i="11" s="1"/>
  <c r="C3" i="11"/>
  <c r="E8" i="4"/>
  <c r="D13" i="5"/>
  <c r="B7" i="9"/>
  <c r="B9" i="9" s="1"/>
  <c r="B14" i="5"/>
  <c r="B4" i="11" s="1"/>
  <c r="B6" i="11" s="1"/>
  <c r="B6" i="13"/>
  <c r="B7" i="13" s="1"/>
  <c r="D4" i="12"/>
  <c r="D3" i="12" s="1"/>
  <c r="C13" i="5"/>
  <c r="C14" i="5" s="1"/>
  <c r="F8" i="3" l="1"/>
  <c r="F5" i="11" s="1"/>
  <c r="E8" i="3"/>
  <c r="E5" i="11" s="1"/>
  <c r="D5" i="11"/>
  <c r="E3" i="11"/>
  <c r="F4" i="12"/>
  <c r="F3" i="12" s="1"/>
  <c r="F8" i="4"/>
  <c r="E13" i="5"/>
  <c r="E14" i="5" s="1"/>
  <c r="B10" i="9"/>
  <c r="B11" i="9"/>
  <c r="C7" i="9" s="1"/>
  <c r="C10" i="9" s="1"/>
  <c r="C7" i="11" s="1"/>
  <c r="C9" i="9"/>
  <c r="C10" i="12"/>
  <c r="D14" i="5"/>
  <c r="E4" i="12"/>
  <c r="E3" i="12" s="1"/>
  <c r="D3" i="11"/>
  <c r="C4" i="11"/>
  <c r="C6" i="11" s="1"/>
  <c r="D10" i="12"/>
  <c r="B8" i="9" l="1"/>
  <c r="B7" i="11"/>
  <c r="B8" i="11" s="1"/>
  <c r="B9" i="11" s="1"/>
  <c r="C11" i="12" s="1"/>
  <c r="C8" i="12" s="1"/>
  <c r="C12" i="12" s="1"/>
  <c r="F13" i="5"/>
  <c r="F14" i="5" s="1"/>
  <c r="F3" i="11"/>
  <c r="G4" i="12"/>
  <c r="G3" i="12" s="1"/>
  <c r="F10" i="12"/>
  <c r="E4" i="11"/>
  <c r="E6" i="11" s="1"/>
  <c r="C8" i="9"/>
  <c r="C11" i="9"/>
  <c r="D7" i="9" s="1"/>
  <c r="D10" i="9" s="1"/>
  <c r="D7" i="11" s="1"/>
  <c r="D9" i="9"/>
  <c r="D4" i="11"/>
  <c r="D6" i="11" s="1"/>
  <c r="E10" i="12"/>
  <c r="G10" i="12" l="1"/>
  <c r="F4" i="11"/>
  <c r="F6" i="11" s="1"/>
  <c r="B10" i="11"/>
  <c r="D11" i="9"/>
  <c r="E7" i="9" s="1"/>
  <c r="E9" i="9"/>
  <c r="F9" i="9" s="1"/>
  <c r="D8" i="9"/>
  <c r="C13" i="12"/>
  <c r="C14" i="12" l="1"/>
  <c r="C8" i="11"/>
  <c r="E10" i="9"/>
  <c r="E11" i="9"/>
  <c r="F7" i="9" s="1"/>
  <c r="E8" i="9" l="1"/>
  <c r="E7" i="11"/>
  <c r="E8" i="11" s="1"/>
  <c r="C9" i="11"/>
  <c r="D11" i="12" s="1"/>
  <c r="D8" i="12" s="1"/>
  <c r="D12" i="12" s="1"/>
  <c r="F11" i="9"/>
  <c r="F10" i="9"/>
  <c r="F8" i="9" l="1"/>
  <c r="F7" i="11"/>
  <c r="F8" i="11" s="1"/>
  <c r="E9" i="11"/>
  <c r="F11" i="12" s="1"/>
  <c r="F8" i="12" s="1"/>
  <c r="F12" i="12" s="1"/>
  <c r="F13" i="12" s="1"/>
  <c r="D13" i="12"/>
  <c r="B17" i="12" s="1"/>
  <c r="D8" i="11"/>
  <c r="C10" i="11"/>
  <c r="E10" i="11" l="1"/>
  <c r="F9" i="11"/>
  <c r="G11" i="12" s="1"/>
  <c r="G8" i="12" s="1"/>
  <c r="G12" i="12" s="1"/>
  <c r="G13" i="12" s="1"/>
  <c r="D14" i="12"/>
  <c r="D9" i="11"/>
  <c r="E11" i="12" s="1"/>
  <c r="E8" i="12" s="1"/>
  <c r="E12" i="12" s="1"/>
  <c r="F10" i="11" l="1"/>
  <c r="B16" i="12"/>
  <c r="E13" i="12"/>
  <c r="D10" i="11"/>
  <c r="E14" i="12" l="1"/>
  <c r="F14" i="12" s="1"/>
  <c r="G14" i="12" s="1"/>
  <c r="B15" i="12"/>
</calcChain>
</file>

<file path=xl/sharedStrings.xml><?xml version="1.0" encoding="utf-8"?>
<sst xmlns="http://schemas.openxmlformats.org/spreadsheetml/2006/main" count="186" uniqueCount="146">
  <si>
    <t>(1) Chi phí đầu tư ban đầu</t>
  </si>
  <si>
    <t>a. Chi phí cố định:</t>
  </si>
  <si>
    <t xml:space="preserve">   + Đặt cọc mặt bằng</t>
  </si>
  <si>
    <t xml:space="preserve">   + Chi phí thiết bị</t>
  </si>
  <si>
    <t xml:space="preserve">   + Chi phí cải tạo mặt bằng và thiết kế</t>
  </si>
  <si>
    <t>Đơn vị tính: đồng</t>
  </si>
  <si>
    <t>b. Vốn lưu động</t>
  </si>
  <si>
    <t>(2) Nguồn vốn</t>
  </si>
  <si>
    <t>Vốn vay</t>
  </si>
  <si>
    <t>chi phí đầu tư ban đầu</t>
  </si>
  <si>
    <t>a. Vốn chủ sở hữu</t>
  </si>
  <si>
    <t>b. Vốn vay</t>
  </si>
  <si>
    <t xml:space="preserve">   + Lãi kỳ vọng </t>
  </si>
  <si>
    <t xml:space="preserve">   + Lãi suất vay</t>
  </si>
  <si>
    <t xml:space="preserve">   + Thời gian trả nợ</t>
  </si>
  <si>
    <t>10%</t>
  </si>
  <si>
    <t>năm</t>
  </si>
  <si>
    <t>(3) Thời gian khấu hao của dự án</t>
  </si>
  <si>
    <t>3</t>
  </si>
  <si>
    <t xml:space="preserve">   Dòng đời dự án</t>
  </si>
  <si>
    <t>(4) Doanh thu</t>
  </si>
  <si>
    <t>Sản lượng tiêu thụ</t>
  </si>
  <si>
    <t>Giá bán</t>
  </si>
  <si>
    <t>Doanh thu</t>
  </si>
  <si>
    <t>Dự kiến tăng</t>
  </si>
  <si>
    <t>Năm</t>
  </si>
  <si>
    <t>đồng/năm</t>
  </si>
  <si>
    <t>đồng</t>
  </si>
  <si>
    <t>(5) Chi phí hoạt động</t>
  </si>
  <si>
    <t>a. Chi phí cố định</t>
  </si>
  <si>
    <t xml:space="preserve">   + Thuê mặt bằng</t>
  </si>
  <si>
    <t xml:space="preserve">   + Điện, nước</t>
  </si>
  <si>
    <t xml:space="preserve">   + Internet</t>
  </si>
  <si>
    <t xml:space="preserve">   + Lương nhân viên</t>
  </si>
  <si>
    <t xml:space="preserve">   + Khác</t>
  </si>
  <si>
    <t>Chi phí cố định dự kiến tăng</t>
  </si>
  <si>
    <t>b. Chi phí biến đổi</t>
  </si>
  <si>
    <t>đồng/tháng</t>
  </si>
  <si>
    <t>doanh thu</t>
  </si>
  <si>
    <t xml:space="preserve">Chi phí cố định </t>
  </si>
  <si>
    <t>Chi phí biến đổi</t>
  </si>
  <si>
    <t>Tổng chi phí hoạt động</t>
  </si>
  <si>
    <t>(6) Giá trị thu hồi</t>
  </si>
  <si>
    <t>Thanh lý TSCĐ sau thuế:</t>
  </si>
  <si>
    <t>Thu hồi tiền đặt cọc:</t>
  </si>
  <si>
    <t>Thu hồi vốn lưu động:</t>
  </si>
  <si>
    <t xml:space="preserve">(7) Thuế thu nhập doanh nghiệp (TNDN) </t>
  </si>
  <si>
    <t xml:space="preserve">Tổng vốn đầu tư: </t>
  </si>
  <si>
    <t>Nợ đầu năm</t>
  </si>
  <si>
    <t>Nợ cuối năm</t>
  </si>
  <si>
    <t xml:space="preserve">  Trả nợ</t>
  </si>
  <si>
    <t>Hạng mục</t>
  </si>
  <si>
    <t>Ký hiệu</t>
  </si>
  <si>
    <t>Công thức</t>
  </si>
  <si>
    <t>S</t>
  </si>
  <si>
    <t>P*Q</t>
  </si>
  <si>
    <t>Chi phí hoạt động</t>
  </si>
  <si>
    <t>O</t>
  </si>
  <si>
    <t>Khấu hao</t>
  </si>
  <si>
    <t>De</t>
  </si>
  <si>
    <t>Thu nhập trước thuế và lãi vay</t>
  </si>
  <si>
    <t>EBIT</t>
  </si>
  <si>
    <t>S-O-De</t>
  </si>
  <si>
    <t>Lãi vay</t>
  </si>
  <si>
    <t>I</t>
  </si>
  <si>
    <t>Bảng kế hoạch lãi vay</t>
  </si>
  <si>
    <t>Bảng chi phí</t>
  </si>
  <si>
    <t>Bảng khấu hao</t>
  </si>
  <si>
    <t>Thu nhập trước thuế</t>
  </si>
  <si>
    <t>EBT</t>
  </si>
  <si>
    <t>EBIT-I</t>
  </si>
  <si>
    <t>Thuế TNDN</t>
  </si>
  <si>
    <t>T</t>
  </si>
  <si>
    <t>EBT* thuế suất</t>
  </si>
  <si>
    <t>Thu nhập sau thuế</t>
  </si>
  <si>
    <t>EAT</t>
  </si>
  <si>
    <t>EBT-T</t>
  </si>
  <si>
    <t>Doanh thu (S)</t>
  </si>
  <si>
    <t>Chi phí hoạt động (O)</t>
  </si>
  <si>
    <t>Khấu hao (De)</t>
  </si>
  <si>
    <t>Thu nhập trước thuế và lãi vay (EBIT)</t>
  </si>
  <si>
    <t>Lãi vay (I)</t>
  </si>
  <si>
    <t>Thu nhập trước thuế (EBT)</t>
  </si>
  <si>
    <t>Thuế TNDN (T)</t>
  </si>
  <si>
    <t>Thu nhập sau thuế (EAT)</t>
  </si>
  <si>
    <t xml:space="preserve">1 </t>
  </si>
  <si>
    <t xml:space="preserve">2 </t>
  </si>
  <si>
    <t>Dòng tiền vào (Bt)</t>
  </si>
  <si>
    <t>Thu hồi tiền đặt cọc</t>
  </si>
  <si>
    <t>Thanh lý TSCĐ (sau thuế)</t>
  </si>
  <si>
    <t>Thu hồi vốn lưu động</t>
  </si>
  <si>
    <t>Dòng tiền ra (Ct)</t>
  </si>
  <si>
    <t>Chi đầu tư ban đầu</t>
  </si>
  <si>
    <t>Thuế thu nhập doanh nghiệp</t>
  </si>
  <si>
    <t>D: tỉ lệ % vốn vay trong vốn đầu tư</t>
  </si>
  <si>
    <t>E: tỉ lệ % vốn chủ sở hữu trong tổng vốn đầu tư</t>
  </si>
  <si>
    <t>rd: lãi vay</t>
  </si>
  <si>
    <t>re : lợi nhuận kỳ vọng vốn chủ sổ hữu</t>
  </si>
  <si>
    <t>Thời gian thu hồi vốn</t>
  </si>
  <si>
    <t>Dòng tiền lũy kế</t>
  </si>
  <si>
    <t xml:space="preserve">Sản lượng tiêu thụ </t>
  </si>
  <si>
    <t>Chi phí biến đổi/ sp</t>
  </si>
  <si>
    <t>Sản lượng hòa vốn</t>
  </si>
  <si>
    <t>% Biến phí/ Doanh thu</t>
  </si>
  <si>
    <t>NPV thay đổi theo sự thay đổi giá bán và biến phí</t>
  </si>
  <si>
    <t>Dòng tiền quy đổi về hiện tại</t>
  </si>
  <si>
    <t>70%</t>
  </si>
  <si>
    <t>30%</t>
  </si>
  <si>
    <t>5%</t>
  </si>
  <si>
    <t>5</t>
  </si>
  <si>
    <t>đồng/website</t>
  </si>
  <si>
    <t>website/tháng</t>
  </si>
  <si>
    <t>4</t>
  </si>
  <si>
    <t>website</t>
  </si>
  <si>
    <t>website/năm</t>
  </si>
  <si>
    <t>1 năm 2 tháng</t>
  </si>
  <si>
    <t>(7) Kế hoạch vay và trả nợ</t>
  </si>
  <si>
    <t xml:space="preserve">(8) Kế hoạch thu nhập </t>
  </si>
  <si>
    <t>(9) Kế hoạch dòng tiền</t>
  </si>
  <si>
    <r>
      <t>r= D*r</t>
    </r>
    <r>
      <rPr>
        <vertAlign val="subscript"/>
        <sz val="13"/>
        <color rgb="FFFF0000"/>
        <rFont val="Arial"/>
        <family val="2"/>
      </rPr>
      <t>d</t>
    </r>
    <r>
      <rPr>
        <sz val="13"/>
        <color rgb="FFFF0000"/>
        <rFont val="Arial"/>
        <family val="2"/>
      </rPr>
      <t xml:space="preserve"> + E*r</t>
    </r>
    <r>
      <rPr>
        <vertAlign val="subscript"/>
        <sz val="13"/>
        <color rgb="FFFF0000"/>
        <rFont val="Arial"/>
        <family val="2"/>
      </rPr>
      <t>e</t>
    </r>
  </si>
  <si>
    <t>(10) Điểm hòa vốn</t>
  </si>
  <si>
    <t>+ Trả gốc đều:</t>
  </si>
  <si>
    <t>+ Trả lãi:</t>
  </si>
  <si>
    <t>NPV</t>
  </si>
  <si>
    <t>IRR</t>
  </si>
  <si>
    <t>Dòng tiền ròng</t>
  </si>
  <si>
    <t>STT</t>
  </si>
  <si>
    <t>Hạng Mục</t>
  </si>
  <si>
    <t>Diễn Giải</t>
  </si>
  <si>
    <t>Chi phí</t>
  </si>
  <si>
    <t xml:space="preserve">Thuê Mặt bằng </t>
  </si>
  <si>
    <r>
      <t>Thuê đất vị trí quận 10, Đường Lê Hồng Phong cọc trước 2 tháng, diện tích 30m</t>
    </r>
    <r>
      <rPr>
        <vertAlign val="superscript"/>
        <sz val="13"/>
        <color rgb="FF000000"/>
        <rFont val="Times New Roman"/>
        <family val="1"/>
      </rPr>
      <t>2</t>
    </r>
  </si>
  <si>
    <t>Xây dựng web</t>
  </si>
  <si>
    <t xml:space="preserve">Bố trí tỉ mỉ và đạt yêu cầu mong muốn của công ty và các khách hàng </t>
  </si>
  <si>
    <t>Vốn lưu động để làm web</t>
  </si>
  <si>
    <t xml:space="preserve">Cần vốn đầu tư </t>
  </si>
  <si>
    <t xml:space="preserve">Nhân viên tư vấn </t>
  </si>
  <si>
    <t xml:space="preserve">Tư vấn chăm sóc khách hàng </t>
  </si>
  <si>
    <t xml:space="preserve">Nhân viên làm việc về web </t>
  </si>
  <si>
    <t xml:space="preserve">Làm việc về wed về cod thiết kế tất cả các trang mà các hàng yêu cầu </t>
  </si>
  <si>
    <t>Nhân viên bảo trì web</t>
  </si>
  <si>
    <t xml:space="preserve">Máy tính và các thiết bị </t>
  </si>
  <si>
    <t>Đầu thư thiết bị máy tính để có thể làm việc suyên suốt tuyến độ cao số lượng lớn</t>
  </si>
  <si>
    <t>Lắp đặt bố trí hệ thộng mạng wifi, bố trí đường dây mạng nội bộ, mạng máy tính</t>
  </si>
  <si>
    <t xml:space="preserve">Tổng cộng </t>
  </si>
  <si>
    <t xml:space="preserve">Bảo trì web chính tránh những trường hợp sập hoặc bị đánh cắp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</si>
</sst>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  <scheme val="minor"/>
    </font>
    <font>
      <sz val="13"/>
      <color theme="1"/>
      <name val="Arial"/>
      <family val="2"/>
    </font>
    <font>
      <b/>
      <sz val="13"/>
      <color rgb="FF0070C0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theme="1"/>
      <name val="Arial"/>
      <family val="2"/>
      <scheme val="minor"/>
    </font>
    <font>
      <i/>
      <sz val="13"/>
      <color theme="1"/>
      <name val="Arial"/>
      <family val="2"/>
      <scheme val="minor"/>
    </font>
    <font>
      <sz val="13"/>
      <color rgb="FF0070C0"/>
      <name val="Arial"/>
      <family val="2"/>
    </font>
    <font>
      <sz val="13"/>
      <color rgb="FFFF0000"/>
      <name val="Arial"/>
      <family val="2"/>
    </font>
    <font>
      <sz val="13"/>
      <color rgb="FF000000"/>
      <name val="Arial"/>
      <family val="2"/>
    </font>
    <font>
      <vertAlign val="subscript"/>
      <sz val="13"/>
      <color rgb="FFFF0000"/>
      <name val="Arial"/>
      <family val="2"/>
    </font>
    <font>
      <sz val="12"/>
      <color rgb="FF0070C0"/>
      <name val="Arial"/>
      <family val="2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vertAlign val="superscript"/>
      <sz val="13"/>
      <color rgb="FF000000"/>
      <name val="Times New Roman"/>
      <family val="1"/>
    </font>
    <font>
      <b/>
      <sz val="13"/>
      <color rgb="FF0070C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2" fillId="0" borderId="0" xfId="0" applyNumberFormat="1" applyFont="1"/>
    <xf numFmtId="2" fontId="2" fillId="0" borderId="0" xfId="1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3" fontId="2" fillId="0" borderId="0" xfId="1" applyNumberFormat="1" applyFont="1"/>
    <xf numFmtId="43" fontId="2" fillId="0" borderId="0" xfId="1" applyFont="1"/>
    <xf numFmtId="49" fontId="0" fillId="0" borderId="0" xfId="0" applyNumberFormat="1"/>
    <xf numFmtId="49" fontId="5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3" fontId="2" fillId="0" borderId="0" xfId="0" applyNumberFormat="1" applyFont="1"/>
    <xf numFmtId="9" fontId="2" fillId="0" borderId="0" xfId="0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3" fontId="5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center"/>
    </xf>
    <xf numFmtId="3" fontId="9" fillId="0" borderId="1" xfId="0" applyNumberFormat="1" applyFont="1" applyBorder="1"/>
    <xf numFmtId="9" fontId="9" fillId="0" borderId="1" xfId="0" applyNumberFormat="1" applyFont="1" applyBorder="1" applyAlignment="1">
      <alignment horizontal="center"/>
    </xf>
    <xf numFmtId="3" fontId="8" fillId="0" borderId="1" xfId="0" applyNumberFormat="1" applyFont="1" applyBorder="1"/>
    <xf numFmtId="3" fontId="10" fillId="0" borderId="1" xfId="0" applyNumberFormat="1" applyFont="1" applyBorder="1"/>
    <xf numFmtId="3" fontId="10" fillId="2" borderId="1" xfId="0" applyNumberFormat="1" applyFont="1" applyFill="1" applyBorder="1"/>
    <xf numFmtId="0" fontId="4" fillId="0" borderId="1" xfId="0" applyFont="1" applyBorder="1"/>
    <xf numFmtId="3" fontId="2" fillId="0" borderId="0" xfId="1" applyNumberFormat="1" applyFont="1" applyAlignment="1">
      <alignment vertical="center"/>
    </xf>
    <xf numFmtId="49" fontId="12" fillId="0" borderId="1" xfId="0" applyNumberFormat="1" applyFont="1" applyBorder="1" applyAlignment="1">
      <alignment vertical="center"/>
    </xf>
    <xf numFmtId="2" fontId="12" fillId="0" borderId="1" xfId="1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3" fontId="13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vertical="center"/>
    </xf>
    <xf numFmtId="3" fontId="14" fillId="0" borderId="1" xfId="1" applyNumberFormat="1" applyFont="1" applyBorder="1" applyAlignment="1">
      <alignment vertical="center"/>
    </xf>
    <xf numFmtId="3" fontId="12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right" vertical="center"/>
    </xf>
    <xf numFmtId="49" fontId="1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12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3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3" fontId="16" fillId="2" borderId="1" xfId="0" applyNumberFormat="1" applyFont="1" applyFill="1" applyBorder="1" applyAlignment="1">
      <alignment vertical="center"/>
    </xf>
    <xf numFmtId="9" fontId="16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9" fontId="12" fillId="0" borderId="1" xfId="0" applyNumberFormat="1" applyFont="1" applyBorder="1" applyAlignment="1">
      <alignment vertical="center"/>
    </xf>
    <xf numFmtId="9" fontId="12" fillId="2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37" fontId="12" fillId="0" borderId="1" xfId="1" applyNumberFormat="1" applyFont="1" applyBorder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vertical="center"/>
    </xf>
    <xf numFmtId="3" fontId="18" fillId="0" borderId="1" xfId="1" applyNumberFormat="1" applyFont="1" applyBorder="1" applyAlignment="1">
      <alignment vertical="center"/>
    </xf>
    <xf numFmtId="3" fontId="19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left" vertical="center"/>
    </xf>
    <xf numFmtId="3" fontId="7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vertical="center"/>
    </xf>
    <xf numFmtId="3" fontId="12" fillId="0" borderId="1" xfId="0" quotePrefix="1" applyNumberFormat="1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horizontal="justify" vertical="center"/>
    </xf>
    <xf numFmtId="49" fontId="19" fillId="0" borderId="1" xfId="0" applyNumberFormat="1" applyFont="1" applyBorder="1" applyAlignment="1">
      <alignment vertical="center"/>
    </xf>
    <xf numFmtId="3" fontId="19" fillId="0" borderId="1" xfId="0" applyNumberFormat="1" applyFont="1" applyBorder="1" applyAlignment="1">
      <alignment vertical="center"/>
    </xf>
    <xf numFmtId="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2" fontId="12" fillId="0" borderId="1" xfId="0" applyNumberFormat="1" applyFont="1" applyBorder="1" applyAlignment="1">
      <alignment horizontal="right" vertical="center"/>
    </xf>
    <xf numFmtId="165" fontId="19" fillId="0" borderId="1" xfId="2" applyNumberFormat="1" applyFont="1" applyBorder="1" applyAlignment="1">
      <alignment horizontal="right" vertical="center"/>
    </xf>
    <xf numFmtId="37" fontId="15" fillId="0" borderId="1" xfId="1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3" fontId="18" fillId="0" borderId="1" xfId="1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3" fontId="12" fillId="0" borderId="1" xfId="1" applyNumberFormat="1" applyFont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2" fontId="15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horizontal="left" vertical="center" wrapText="1"/>
    </xf>
    <xf numFmtId="3" fontId="12" fillId="0" borderId="2" xfId="0" applyNumberFormat="1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justify" vertical="center"/>
    </xf>
    <xf numFmtId="3" fontId="25" fillId="0" borderId="1" xfId="0" applyNumberFormat="1" applyFon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/>
    </xf>
    <xf numFmtId="0" fontId="25" fillId="0" borderId="1" xfId="0" applyFont="1" applyBorder="1" applyAlignment="1">
      <alignment horizontal="left" vertical="center" wrapText="1"/>
    </xf>
    <xf numFmtId="3" fontId="27" fillId="0" borderId="1" xfId="0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26193</xdr:colOff>
      <xdr:row>16</xdr:row>
      <xdr:rowOff>4032</xdr:rowOff>
    </xdr:from>
    <xdr:ext cx="2392450" cy="2802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EAC4BB-C30B-4178-AD84-62E4E8B735EB}"/>
                </a:ext>
              </a:extLst>
            </xdr:cNvPr>
            <xdr:cNvSpPr txBox="1"/>
          </xdr:nvSpPr>
          <xdr:spPr>
            <a:xfrm>
              <a:off x="4605813" y="5002752"/>
              <a:ext cx="2392450" cy="28027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vi-VN" sz="1100" i="1">
                      <a:latin typeface="Cambria Math" panose="02040503050406030204" pitchFamily="18" charset="0"/>
                    </a:rPr>
                    <m:t>N</m:t>
                  </m:r>
                  <m:r>
                    <a:rPr lang="vi-VN" sz="1100" i="1">
                      <a:latin typeface="Cambria Math" panose="02040503050406030204" pitchFamily="18" charset="0"/>
                    </a:rPr>
                    <m:t>ă</m:t>
                  </m:r>
                  <m:r>
                    <m:rPr>
                      <m:sty m:val="p"/>
                    </m:rPr>
                    <a:rPr lang="vi-VN" sz="1100" i="1">
                      <a:latin typeface="Cambria Math" panose="02040503050406030204" pitchFamily="18" charset="0"/>
                    </a:rPr>
                    <m:t>m</m:t>
                  </m:r>
                </m:oMath>
              </a14:m>
              <a:r>
                <a:rPr lang="vi-VN" sz="1100"/>
                <a:t> xảy ra lỗ sang lời +</a:t>
              </a:r>
              <a14:m>
                <m:oMath xmlns:m="http://schemas.openxmlformats.org/officeDocument/2006/math">
                  <m:f>
                    <m:fPr>
                      <m:ctrlPr>
                        <a:rPr lang="vi-V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i="1">
                          <a:latin typeface="Cambria Math" panose="02040503050406030204" pitchFamily="18" charset="0"/>
                        </a:rPr>
                        <m:t>ũ</m:t>
                      </m:r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y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k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ế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ă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m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ỗ</m:t>
                      </m:r>
                    </m:num>
                    <m:den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S</m:t>
                      </m:r>
                      <m:r>
                        <a:rPr lang="vi-VN" sz="1100" i="1">
                          <a:latin typeface="Cambria Math" panose="02040503050406030204" pitchFamily="18" charset="0"/>
                        </a:rPr>
                        <m:t>ố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ti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ề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ă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m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ờ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i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/12</m:t>
                      </m:r>
                    </m:den>
                  </m:f>
                </m:oMath>
              </a14:m>
              <a:endParaRPr lang="vi-VN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EAC4BB-C30B-4178-AD84-62E4E8B735EB}"/>
                </a:ext>
              </a:extLst>
            </xdr:cNvPr>
            <xdr:cNvSpPr txBox="1"/>
          </xdr:nvSpPr>
          <xdr:spPr>
            <a:xfrm>
              <a:off x="4605813" y="5002752"/>
              <a:ext cx="2392450" cy="28027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vi-VN" sz="1100" i="0">
                  <a:latin typeface="Cambria Math" panose="02040503050406030204" pitchFamily="18" charset="0"/>
                </a:rPr>
                <a:t>Năm</a:t>
              </a:r>
              <a:r>
                <a:rPr lang="vi-VN" sz="1100"/>
                <a:t> xảy ra lỗ sang lời +</a:t>
              </a:r>
              <a:r>
                <a:rPr lang="vi-VN" sz="1100" i="0">
                  <a:latin typeface="Cambria Math" panose="02040503050406030204" pitchFamily="18" charset="0"/>
                </a:rPr>
                <a:t>(Lũy</a:t>
              </a:r>
              <a:r>
                <a:rPr lang="vi-VN" sz="1100" b="0" i="0">
                  <a:latin typeface="Cambria Math" panose="02040503050406030204" pitchFamily="18" charset="0"/>
                </a:rPr>
                <a:t> kế năm lỗ)/(</a:t>
              </a:r>
              <a:r>
                <a:rPr lang="vi-VN" sz="1100" i="0">
                  <a:latin typeface="Cambria Math" panose="02040503050406030204" pitchFamily="18" charset="0"/>
                </a:rPr>
                <a:t>Số </a:t>
              </a:r>
              <a:r>
                <a:rPr lang="vi-VN" sz="1100" b="0" i="0">
                  <a:latin typeface="Cambria Math" panose="02040503050406030204" pitchFamily="18" charset="0"/>
                </a:rPr>
                <a:t>tiền năm lời/12)</a:t>
              </a:r>
              <a:endParaRPr lang="vi-V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8772-254D-4511-AC30-41FF03C47D1C}">
  <dimension ref="A1:J24"/>
  <sheetViews>
    <sheetView workbookViewId="0">
      <selection activeCell="B6" sqref="B6"/>
    </sheetView>
  </sheetViews>
  <sheetFormatPr defaultColWidth="9.19921875" defaultRowHeight="21" customHeight="1" x14ac:dyDescent="0.3"/>
  <cols>
    <col min="1" max="1" width="44.19921875" style="1" bestFit="1" customWidth="1"/>
    <col min="2" max="2" width="18.296875" style="2" bestFit="1" customWidth="1"/>
    <col min="3" max="10" width="9.19921875" style="1"/>
    <col min="11" max="16384" width="9.19921875" style="3"/>
  </cols>
  <sheetData>
    <row r="1" spans="1:10" ht="22.05" customHeight="1" x14ac:dyDescent="0.3">
      <c r="A1" s="38"/>
      <c r="B1" s="39" t="s">
        <v>5</v>
      </c>
    </row>
    <row r="2" spans="1:10" s="5" customFormat="1" ht="22.05" customHeight="1" x14ac:dyDescent="0.3">
      <c r="A2" s="40" t="s">
        <v>0</v>
      </c>
      <c r="B2" s="41">
        <v>430000000</v>
      </c>
      <c r="C2" s="4"/>
      <c r="D2" s="4"/>
      <c r="E2" s="4"/>
      <c r="F2" s="4"/>
      <c r="G2" s="4"/>
      <c r="H2" s="4"/>
      <c r="I2" s="4"/>
      <c r="J2" s="4"/>
    </row>
    <row r="3" spans="1:10" s="7" customFormat="1" ht="22.05" customHeight="1" x14ac:dyDescent="0.3">
      <c r="A3" s="42" t="s">
        <v>1</v>
      </c>
      <c r="B3" s="43">
        <v>400000000</v>
      </c>
      <c r="C3" s="6"/>
      <c r="D3" s="6"/>
      <c r="E3" s="6"/>
      <c r="F3" s="6"/>
      <c r="G3" s="6"/>
      <c r="H3" s="6"/>
      <c r="I3" s="6"/>
      <c r="J3" s="6"/>
    </row>
    <row r="4" spans="1:10" ht="22.05" customHeight="1" x14ac:dyDescent="0.3">
      <c r="A4" s="38" t="s">
        <v>2</v>
      </c>
      <c r="B4" s="44">
        <v>80000000</v>
      </c>
    </row>
    <row r="5" spans="1:10" ht="22.05" customHeight="1" x14ac:dyDescent="0.3">
      <c r="A5" s="38" t="s">
        <v>3</v>
      </c>
      <c r="B5" s="44">
        <v>300000000</v>
      </c>
    </row>
    <row r="6" spans="1:10" ht="22.05" customHeight="1" x14ac:dyDescent="0.3">
      <c r="A6" s="38" t="s">
        <v>4</v>
      </c>
      <c r="B6" s="44">
        <v>20000000</v>
      </c>
    </row>
    <row r="7" spans="1:10" s="7" customFormat="1" ht="22.05" customHeight="1" x14ac:dyDescent="0.3">
      <c r="A7" s="42" t="s">
        <v>6</v>
      </c>
      <c r="B7" s="43">
        <v>30000000</v>
      </c>
      <c r="C7" s="6"/>
      <c r="D7" s="6"/>
      <c r="E7" s="6"/>
      <c r="F7" s="6"/>
      <c r="G7" s="6"/>
      <c r="H7" s="6"/>
      <c r="I7" s="6"/>
      <c r="J7" s="6"/>
    </row>
    <row r="8" spans="1:10" ht="21" customHeight="1" x14ac:dyDescent="0.3">
      <c r="B8" s="8"/>
    </row>
    <row r="9" spans="1:10" ht="21" customHeight="1" x14ac:dyDescent="0.3">
      <c r="B9" s="8"/>
    </row>
    <row r="10" spans="1:10" ht="21" customHeight="1" x14ac:dyDescent="0.3">
      <c r="B10" s="8"/>
    </row>
    <row r="11" spans="1:10" ht="21" customHeight="1" x14ac:dyDescent="0.3">
      <c r="B11" s="8"/>
    </row>
    <row r="12" spans="1:10" ht="21" customHeight="1" x14ac:dyDescent="0.3">
      <c r="B12" s="8"/>
    </row>
    <row r="13" spans="1:10" ht="21" customHeight="1" x14ac:dyDescent="0.3">
      <c r="B13" s="8"/>
    </row>
    <row r="14" spans="1:10" ht="21" customHeight="1" x14ac:dyDescent="0.3">
      <c r="B14" s="8"/>
    </row>
    <row r="15" spans="1:10" ht="21" customHeight="1" x14ac:dyDescent="0.3">
      <c r="B15" s="8"/>
    </row>
    <row r="16" spans="1:10" ht="21" customHeight="1" x14ac:dyDescent="0.3">
      <c r="B16" s="8"/>
    </row>
    <row r="17" spans="2:2" ht="21" customHeight="1" x14ac:dyDescent="0.3">
      <c r="B17" s="8"/>
    </row>
    <row r="18" spans="2:2" ht="21" customHeight="1" x14ac:dyDescent="0.3">
      <c r="B18" s="8"/>
    </row>
    <row r="23" spans="2:2" ht="21" customHeight="1" x14ac:dyDescent="0.3">
      <c r="B23" s="9"/>
    </row>
    <row r="24" spans="2:2" ht="21" customHeight="1" x14ac:dyDescent="0.3">
      <c r="B2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0149-F63F-44C6-9E7A-74199675F837}">
  <dimension ref="A1:F10"/>
  <sheetViews>
    <sheetView workbookViewId="0">
      <selection activeCell="F10" sqref="A1:F10"/>
    </sheetView>
  </sheetViews>
  <sheetFormatPr defaultColWidth="9.19921875" defaultRowHeight="19.8" customHeight="1" x14ac:dyDescent="0.3"/>
  <cols>
    <col min="1" max="1" width="13" style="20" customWidth="1"/>
    <col min="2" max="2" width="14.796875" style="20" customWidth="1"/>
    <col min="3" max="3" width="14.796875" style="20" bestFit="1" customWidth="1"/>
    <col min="4" max="6" width="15.5" style="20" bestFit="1" customWidth="1"/>
    <col min="7" max="16384" width="9.19921875" style="20"/>
  </cols>
  <sheetData>
    <row r="1" spans="1:6" s="13" customFormat="1" ht="22.05" customHeight="1" x14ac:dyDescent="0.25">
      <c r="A1" s="59" t="s">
        <v>117</v>
      </c>
      <c r="B1" s="65"/>
      <c r="C1" s="65"/>
      <c r="D1" s="65"/>
      <c r="E1" s="65"/>
      <c r="F1" s="65"/>
    </row>
    <row r="2" spans="1:6" s="13" customFormat="1" ht="22.05" customHeight="1" x14ac:dyDescent="0.25">
      <c r="A2" s="65" t="s">
        <v>25</v>
      </c>
      <c r="B2" s="65">
        <v>1</v>
      </c>
      <c r="C2" s="65">
        <v>2</v>
      </c>
      <c r="D2" s="65">
        <v>3</v>
      </c>
      <c r="E2" s="65">
        <v>4</v>
      </c>
      <c r="F2" s="65">
        <v>5</v>
      </c>
    </row>
    <row r="3" spans="1:6" s="13" customFormat="1" ht="33.6" x14ac:dyDescent="0.25">
      <c r="A3" s="98" t="s">
        <v>77</v>
      </c>
      <c r="B3" s="73">
        <f>'doanh thu'!B8</f>
        <v>1680000000</v>
      </c>
      <c r="C3" s="73">
        <f>'doanh thu'!C8</f>
        <v>2184000000</v>
      </c>
      <c r="D3" s="73">
        <f>'doanh thu'!D8</f>
        <v>2839200000</v>
      </c>
      <c r="E3" s="73">
        <f>'doanh thu'!E8</f>
        <v>3690960000</v>
      </c>
      <c r="F3" s="73">
        <f>'doanh thu'!F8</f>
        <v>4798248000</v>
      </c>
    </row>
    <row r="4" spans="1:6" s="13" customFormat="1" ht="33.6" x14ac:dyDescent="0.25">
      <c r="A4" s="98" t="s">
        <v>78</v>
      </c>
      <c r="B4" s="73">
        <f>'chi phí hoạt động'!B14</f>
        <v>1284000000</v>
      </c>
      <c r="C4" s="73">
        <f>'chi phí hoạt động'!C14</f>
        <v>1432200000</v>
      </c>
      <c r="D4" s="73">
        <f>'chi phí hoạt động'!D14</f>
        <v>1613010000</v>
      </c>
      <c r="E4" s="73">
        <f>'chi phí hoạt động'!E14</f>
        <v>1835620500</v>
      </c>
      <c r="F4" s="73">
        <f>'chi phí hoạt động'!F14</f>
        <v>2111949525</v>
      </c>
    </row>
    <row r="5" spans="1:6" s="13" customFormat="1" ht="33.6" x14ac:dyDescent="0.25">
      <c r="A5" s="98" t="s">
        <v>79</v>
      </c>
      <c r="B5" s="73">
        <f>'thoi gian khấu hao'!B8</f>
        <v>64000000</v>
      </c>
      <c r="C5" s="73">
        <f>'thoi gian khấu hao'!C8</f>
        <v>64000000</v>
      </c>
      <c r="D5" s="73">
        <f>'thoi gian khấu hao'!D8</f>
        <v>64000000</v>
      </c>
      <c r="E5" s="73">
        <f>'thoi gian khấu hao'!E8</f>
        <v>64000000</v>
      </c>
      <c r="F5" s="73">
        <f>'thoi gian khấu hao'!F8</f>
        <v>64000000</v>
      </c>
    </row>
    <row r="6" spans="1:6" s="13" customFormat="1" ht="67.2" x14ac:dyDescent="0.25">
      <c r="A6" s="98" t="s">
        <v>80</v>
      </c>
      <c r="B6" s="73">
        <f>B3-B4-B5</f>
        <v>332000000</v>
      </c>
      <c r="C6" s="73">
        <f t="shared" ref="C6:D6" si="0">C3-C4-C5</f>
        <v>687800000</v>
      </c>
      <c r="D6" s="73">
        <f t="shared" si="0"/>
        <v>1162190000</v>
      </c>
      <c r="E6" s="73">
        <f t="shared" ref="E6:F6" si="1">E3-E4-E5</f>
        <v>1791339500</v>
      </c>
      <c r="F6" s="73">
        <f t="shared" si="1"/>
        <v>2622298475</v>
      </c>
    </row>
    <row r="7" spans="1:6" s="13" customFormat="1" ht="17.399999999999999" x14ac:dyDescent="0.25">
      <c r="A7" s="98" t="s">
        <v>81</v>
      </c>
      <c r="B7" s="73">
        <f>'tra nợ vay'!B10</f>
        <v>6450000</v>
      </c>
      <c r="C7" s="73">
        <f>'tra nợ vay'!C10</f>
        <v>5160000</v>
      </c>
      <c r="D7" s="73">
        <f>'tra nợ vay'!D10</f>
        <v>3870000</v>
      </c>
      <c r="E7" s="73">
        <f>'tra nợ vay'!E10</f>
        <v>2580000</v>
      </c>
      <c r="F7" s="73">
        <f>'tra nợ vay'!F10</f>
        <v>1290000</v>
      </c>
    </row>
    <row r="8" spans="1:6" s="79" customFormat="1" ht="50.4" x14ac:dyDescent="0.25">
      <c r="A8" s="130" t="s">
        <v>82</v>
      </c>
      <c r="B8" s="78">
        <f>B6-B7</f>
        <v>325550000</v>
      </c>
      <c r="C8" s="78">
        <f t="shared" ref="C8:D8" si="2">C6-C7</f>
        <v>682640000</v>
      </c>
      <c r="D8" s="78">
        <f t="shared" si="2"/>
        <v>1158320000</v>
      </c>
      <c r="E8" s="78">
        <f t="shared" ref="E8:F8" si="3">E6-E7</f>
        <v>1788759500</v>
      </c>
      <c r="F8" s="78">
        <f t="shared" si="3"/>
        <v>2621008475</v>
      </c>
    </row>
    <row r="9" spans="1:6" s="13" customFormat="1" ht="33.6" x14ac:dyDescent="0.25">
      <c r="A9" s="98" t="s">
        <v>83</v>
      </c>
      <c r="B9" s="73">
        <f>IF(B8&gt;0,B8*thuế!$B$2,0)</f>
        <v>65110000</v>
      </c>
      <c r="C9" s="73">
        <f>IF(C8&gt;0,C8*thuế!$B$2,0)</f>
        <v>136528000</v>
      </c>
      <c r="D9" s="73">
        <f>IF(D8&gt;0,D8*thuế!$B$2,0)</f>
        <v>231664000</v>
      </c>
      <c r="E9" s="73">
        <f>IF(E8&gt;0,E8*thuế!$B$2,0)</f>
        <v>357751900</v>
      </c>
      <c r="F9" s="73">
        <f>IF(F8&gt;0,F8*thuế!$B$2,0)</f>
        <v>524201695</v>
      </c>
    </row>
    <row r="10" spans="1:6" s="13" customFormat="1" ht="50.4" x14ac:dyDescent="0.25">
      <c r="A10" s="131" t="s">
        <v>84</v>
      </c>
      <c r="B10" s="75">
        <f>B8-B9</f>
        <v>260440000</v>
      </c>
      <c r="C10" s="75">
        <f t="shared" ref="C10:D10" si="4">C8-C9</f>
        <v>546112000</v>
      </c>
      <c r="D10" s="75">
        <f t="shared" si="4"/>
        <v>926656000</v>
      </c>
      <c r="E10" s="75">
        <f t="shared" ref="E10:F10" si="5">E8-E9</f>
        <v>1431007600</v>
      </c>
      <c r="F10" s="75">
        <f t="shared" si="5"/>
        <v>2096806780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68DB-F556-4AB9-8F65-0397AAF3CFDC}">
  <dimension ref="A1:R22"/>
  <sheetViews>
    <sheetView workbookViewId="0">
      <selection activeCell="D12" sqref="D12"/>
    </sheetView>
  </sheetViews>
  <sheetFormatPr defaultColWidth="9.19921875" defaultRowHeight="24.6" customHeight="1" x14ac:dyDescent="0.3"/>
  <cols>
    <col min="1" max="1" width="21.8984375" style="1" customWidth="1"/>
    <col min="2" max="2" width="16" style="15" bestFit="1" customWidth="1"/>
    <col min="3" max="4" width="15.796875" style="15" customWidth="1"/>
    <col min="5" max="5" width="16.09765625" style="15" customWidth="1"/>
    <col min="6" max="6" width="15.796875" style="15" bestFit="1" customWidth="1"/>
    <col min="7" max="8" width="16" style="15" bestFit="1" customWidth="1"/>
    <col min="9" max="18" width="9.19921875" style="15"/>
    <col min="19" max="16384" width="9.19921875" style="3"/>
  </cols>
  <sheetData>
    <row r="1" spans="1:18" ht="24.6" customHeight="1" x14ac:dyDescent="0.3">
      <c r="A1" s="106" t="s">
        <v>118</v>
      </c>
      <c r="B1" s="107"/>
      <c r="C1" s="107"/>
      <c r="D1" s="107"/>
      <c r="E1" s="107"/>
      <c r="F1" s="107"/>
      <c r="G1" s="108"/>
    </row>
    <row r="2" spans="1:18" s="13" customFormat="1" ht="24.6" customHeight="1" x14ac:dyDescent="0.25">
      <c r="A2" s="57" t="s">
        <v>25</v>
      </c>
      <c r="B2" s="83">
        <v>0</v>
      </c>
      <c r="C2" s="83">
        <v>1</v>
      </c>
      <c r="D2" s="83">
        <v>2</v>
      </c>
      <c r="E2" s="83">
        <v>3</v>
      </c>
      <c r="F2" s="83">
        <v>4</v>
      </c>
      <c r="G2" s="83">
        <v>5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s="50" customFormat="1" ht="24.6" customHeight="1" x14ac:dyDescent="0.25">
      <c r="A3" s="42" t="s">
        <v>87</v>
      </c>
      <c r="B3" s="67"/>
      <c r="C3" s="67">
        <f>SUM(C4:C7)</f>
        <v>1680000000</v>
      </c>
      <c r="D3" s="67">
        <f t="shared" ref="D3:E3" si="0">SUM(D4:D7)</f>
        <v>2184000000</v>
      </c>
      <c r="E3" s="67">
        <f t="shared" si="0"/>
        <v>2839200000</v>
      </c>
      <c r="F3" s="67">
        <f t="shared" ref="F3" si="1">SUM(F4:F7)</f>
        <v>3690960000</v>
      </c>
      <c r="G3" s="67">
        <f>SUM(G4:G7)</f>
        <v>5008248000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18" s="52" customFormat="1" ht="24.6" customHeight="1" x14ac:dyDescent="0.25">
      <c r="A4" s="38" t="s">
        <v>23</v>
      </c>
      <c r="B4" s="55"/>
      <c r="C4" s="55">
        <f>'doanh thu'!B8</f>
        <v>1680000000</v>
      </c>
      <c r="D4" s="55">
        <f>'doanh thu'!C8</f>
        <v>2184000000</v>
      </c>
      <c r="E4" s="55">
        <f>'doanh thu'!D8</f>
        <v>2839200000</v>
      </c>
      <c r="F4" s="55">
        <f>'doanh thu'!E8</f>
        <v>3690960000</v>
      </c>
      <c r="G4" s="55">
        <f>'doanh thu'!F8</f>
        <v>4798248000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s="52" customFormat="1" ht="24.6" customHeight="1" x14ac:dyDescent="0.25">
      <c r="A5" s="38" t="s">
        <v>89</v>
      </c>
      <c r="B5" s="55"/>
      <c r="C5" s="55"/>
      <c r="D5" s="55"/>
      <c r="E5" s="55"/>
      <c r="F5" s="55"/>
      <c r="G5" s="55">
        <f>'thu hồi'!B3</f>
        <v>100000000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s="52" customFormat="1" ht="24.6" customHeight="1" x14ac:dyDescent="0.25">
      <c r="A6" s="38" t="s">
        <v>88</v>
      </c>
      <c r="B6" s="55"/>
      <c r="C6" s="55"/>
      <c r="D6" s="55"/>
      <c r="E6" s="55"/>
      <c r="F6" s="55"/>
      <c r="G6" s="55">
        <f>'đầu tư ban đầu'!B4</f>
        <v>80000000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s="52" customFormat="1" ht="24.6" customHeight="1" x14ac:dyDescent="0.25">
      <c r="A7" s="38" t="s">
        <v>90</v>
      </c>
      <c r="B7" s="55"/>
      <c r="C7" s="55"/>
      <c r="D7" s="55"/>
      <c r="E7" s="55"/>
      <c r="F7" s="55"/>
      <c r="G7" s="55">
        <f>'đầu tư ban đầu'!B7</f>
        <v>30000000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s="50" customFormat="1" ht="24.6" customHeight="1" x14ac:dyDescent="0.25">
      <c r="A8" s="42" t="s">
        <v>91</v>
      </c>
      <c r="B8" s="67">
        <f>SUM(B9:B11)</f>
        <v>430000000</v>
      </c>
      <c r="C8" s="67">
        <f t="shared" ref="C8:E8" si="2">SUM(C9:C11)</f>
        <v>1349110000</v>
      </c>
      <c r="D8" s="67">
        <f t="shared" si="2"/>
        <v>1568728000</v>
      </c>
      <c r="E8" s="67">
        <f t="shared" si="2"/>
        <v>1844674000</v>
      </c>
      <c r="F8" s="67">
        <f t="shared" ref="F8:G8" si="3">SUM(F9:F11)</f>
        <v>2193372400</v>
      </c>
      <c r="G8" s="67">
        <f t="shared" si="3"/>
        <v>2636151220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s="52" customFormat="1" ht="24.6" customHeight="1" x14ac:dyDescent="0.25">
      <c r="A9" s="38" t="s">
        <v>92</v>
      </c>
      <c r="B9" s="55">
        <f>'đầu tư ban đầu'!B2</f>
        <v>430000000</v>
      </c>
      <c r="C9" s="55"/>
      <c r="D9" s="55"/>
      <c r="E9" s="55"/>
      <c r="F9" s="55"/>
      <c r="G9" s="55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18" s="52" customFormat="1" ht="24.6" customHeight="1" x14ac:dyDescent="0.25">
      <c r="A10" s="38" t="s">
        <v>56</v>
      </c>
      <c r="B10" s="55"/>
      <c r="C10" s="55">
        <f>'chi phí hoạt động'!B14</f>
        <v>1284000000</v>
      </c>
      <c r="D10" s="55">
        <f>'chi phí hoạt động'!C14</f>
        <v>1432200000</v>
      </c>
      <c r="E10" s="55">
        <f>'chi phí hoạt động'!D14</f>
        <v>1613010000</v>
      </c>
      <c r="F10" s="55">
        <f>'chi phí hoạt động'!E14</f>
        <v>1835620500</v>
      </c>
      <c r="G10" s="55">
        <f>'chi phí hoạt động'!F14</f>
        <v>2111949525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s="52" customFormat="1" ht="24.6" customHeight="1" x14ac:dyDescent="0.25">
      <c r="A11" s="38" t="s">
        <v>93</v>
      </c>
      <c r="B11" s="55"/>
      <c r="C11" s="55">
        <f>'thu nhập'!B9</f>
        <v>65110000</v>
      </c>
      <c r="D11" s="55">
        <f>'thu nhập'!C9</f>
        <v>136528000</v>
      </c>
      <c r="E11" s="55">
        <f>'thu nhập'!D9</f>
        <v>231664000</v>
      </c>
      <c r="F11" s="55">
        <f>'thu nhập'!E9</f>
        <v>357751900</v>
      </c>
      <c r="G11" s="55">
        <f>'thu nhập'!F9</f>
        <v>524201695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s="91" customFormat="1" ht="24.6" customHeight="1" x14ac:dyDescent="0.25">
      <c r="A12" s="80" t="s">
        <v>125</v>
      </c>
      <c r="B12" s="75">
        <f>B3-B8</f>
        <v>-430000000</v>
      </c>
      <c r="C12" s="75">
        <f t="shared" ref="C12:G12" si="4">C3-C8</f>
        <v>330890000</v>
      </c>
      <c r="D12" s="75">
        <f t="shared" si="4"/>
        <v>615272000</v>
      </c>
      <c r="E12" s="75">
        <f t="shared" si="4"/>
        <v>994526000</v>
      </c>
      <c r="F12" s="75">
        <f t="shared" si="4"/>
        <v>1497587600</v>
      </c>
      <c r="G12" s="75">
        <f t="shared" si="4"/>
        <v>2372096780</v>
      </c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1:18" s="52" customFormat="1" ht="33.6" x14ac:dyDescent="0.25">
      <c r="A13" s="134" t="s">
        <v>105</v>
      </c>
      <c r="B13" s="55">
        <f>B12</f>
        <v>-430000000</v>
      </c>
      <c r="C13" s="55">
        <f>C12/(1+$B$22)^C2</f>
        <v>304967741.93548387</v>
      </c>
      <c r="D13" s="55">
        <f t="shared" ref="D13:G13" si="5">D12/(1+$B$22)^D2</f>
        <v>522646053.21837372</v>
      </c>
      <c r="E13" s="55">
        <f t="shared" si="5"/>
        <v>778622459.49991941</v>
      </c>
      <c r="F13" s="55">
        <f t="shared" si="5"/>
        <v>1080620700.598562</v>
      </c>
      <c r="G13" s="55">
        <f t="shared" si="5"/>
        <v>1577552107.1362367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</row>
    <row r="14" spans="1:18" s="52" customFormat="1" ht="24.6" customHeight="1" x14ac:dyDescent="0.25">
      <c r="A14" s="38" t="s">
        <v>99</v>
      </c>
      <c r="B14" s="55">
        <f>B13</f>
        <v>-430000000</v>
      </c>
      <c r="C14" s="55">
        <f>B14+C13</f>
        <v>-125032258.06451613</v>
      </c>
      <c r="D14" s="55">
        <f>C14+D13</f>
        <v>397613795.15385759</v>
      </c>
      <c r="E14" s="55">
        <f>D14+E13</f>
        <v>1176236254.6537771</v>
      </c>
      <c r="F14" s="55">
        <f t="shared" ref="F14:G14" si="6">E14+F13</f>
        <v>2256856955.2523394</v>
      </c>
      <c r="G14" s="55">
        <f t="shared" si="6"/>
        <v>3834409062.388576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</row>
    <row r="15" spans="1:18" s="52" customFormat="1" ht="24.6" customHeight="1" x14ac:dyDescent="0.25">
      <c r="A15" s="38" t="s">
        <v>123</v>
      </c>
      <c r="B15" s="55">
        <f>SUM(B13:G13)</f>
        <v>3834409062.388576</v>
      </c>
      <c r="C15" s="85"/>
      <c r="D15" s="85"/>
      <c r="E15" s="55"/>
      <c r="F15" s="55"/>
      <c r="G15" s="55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</row>
    <row r="16" spans="1:18" s="52" customFormat="1" ht="24.6" customHeight="1" x14ac:dyDescent="0.25">
      <c r="A16" s="38" t="s">
        <v>124</v>
      </c>
      <c r="B16" s="84">
        <f>IRR(B12:G12)</f>
        <v>1.3051729424999827</v>
      </c>
      <c r="C16" s="85"/>
      <c r="D16" s="55"/>
      <c r="E16" s="55"/>
      <c r="F16" s="55"/>
      <c r="G16" s="55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7" spans="1:18" s="52" customFormat="1" ht="22.05" customHeight="1" x14ac:dyDescent="0.25">
      <c r="A17" s="38" t="s">
        <v>98</v>
      </c>
      <c r="B17" s="86">
        <f>-(C14/(D13/12))</f>
        <v>2.8707517975789569</v>
      </c>
      <c r="C17" s="55" t="s">
        <v>115</v>
      </c>
      <c r="D17" s="132"/>
      <c r="E17" s="133"/>
      <c r="F17" s="55"/>
      <c r="G17" s="55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s="52" customFormat="1" ht="33.6" x14ac:dyDescent="0.25">
      <c r="A18" s="87" t="s">
        <v>94</v>
      </c>
      <c r="B18" s="92" t="str">
        <f>'nguồn vốn'!B5</f>
        <v>30%</v>
      </c>
      <c r="C18" s="55"/>
      <c r="D18" s="55"/>
      <c r="E18" s="55"/>
      <c r="F18" s="55"/>
      <c r="G18" s="55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s="52" customFormat="1" ht="33.6" x14ac:dyDescent="0.25">
      <c r="A19" s="87" t="s">
        <v>95</v>
      </c>
      <c r="B19" s="92" t="str">
        <f>'nguồn vốn'!B3</f>
        <v>70%</v>
      </c>
      <c r="C19" s="55"/>
      <c r="D19" s="55"/>
      <c r="E19" s="55"/>
      <c r="F19" s="55"/>
      <c r="G19" s="55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8" s="52" customFormat="1" ht="17.399999999999999" x14ac:dyDescent="0.25">
      <c r="A20" s="87" t="s">
        <v>96</v>
      </c>
      <c r="B20" s="92" t="str">
        <f>'nguồn vốn'!B6</f>
        <v>5%</v>
      </c>
      <c r="C20" s="55"/>
      <c r="D20" s="55"/>
      <c r="E20" s="55"/>
      <c r="F20" s="55"/>
      <c r="G20" s="55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s="52" customFormat="1" ht="33.6" x14ac:dyDescent="0.25">
      <c r="A21" s="87" t="s">
        <v>97</v>
      </c>
      <c r="B21" s="92" t="str">
        <f>'nguồn vốn'!B4</f>
        <v>10%</v>
      </c>
      <c r="C21" s="55"/>
      <c r="D21" s="55"/>
      <c r="E21" s="55"/>
      <c r="F21" s="55"/>
      <c r="G21" s="55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s="54" customFormat="1" ht="19.2" x14ac:dyDescent="0.25">
      <c r="A22" s="88" t="s">
        <v>119</v>
      </c>
      <c r="B22" s="93">
        <f>B18*B20+B19*B21</f>
        <v>8.4999999999999992E-2</v>
      </c>
      <c r="C22" s="89"/>
      <c r="D22" s="89"/>
      <c r="E22" s="89"/>
      <c r="F22" s="89"/>
      <c r="G22" s="89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</sheetData>
  <mergeCells count="2">
    <mergeCell ref="A1:G1"/>
    <mergeCell ref="D17:E1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6CD-0FC2-4B0B-BFE0-46F4AB04514A}">
  <dimension ref="A1:C7"/>
  <sheetViews>
    <sheetView workbookViewId="0">
      <selection activeCell="C11" sqref="C11"/>
    </sheetView>
  </sheetViews>
  <sheetFormatPr defaultColWidth="9.19921875" defaultRowHeight="19.8" customHeight="1" x14ac:dyDescent="0.3"/>
  <cols>
    <col min="1" max="1" width="22.5" style="3" bestFit="1" customWidth="1"/>
    <col min="2" max="2" width="14.8984375" style="3" bestFit="1" customWidth="1"/>
    <col min="3" max="3" width="16.19921875" style="3" bestFit="1" customWidth="1"/>
    <col min="4" max="4" width="20.5" style="3" bestFit="1" customWidth="1"/>
    <col min="5" max="16384" width="9.19921875" style="3"/>
  </cols>
  <sheetData>
    <row r="1" spans="1:3" s="52" customFormat="1" ht="22.05" customHeight="1" x14ac:dyDescent="0.25">
      <c r="A1" s="59" t="s">
        <v>120</v>
      </c>
      <c r="B1" s="60"/>
      <c r="C1" s="60"/>
    </row>
    <row r="2" spans="1:3" s="52" customFormat="1" ht="22.05" customHeight="1" x14ac:dyDescent="0.25">
      <c r="A2" s="60" t="s">
        <v>21</v>
      </c>
      <c r="B2" s="55">
        <f>'doanh thu'!C3</f>
        <v>7</v>
      </c>
      <c r="C2" s="68" t="s">
        <v>111</v>
      </c>
    </row>
    <row r="3" spans="1:3" s="52" customFormat="1" ht="22.05" customHeight="1" x14ac:dyDescent="0.25">
      <c r="A3" s="60" t="s">
        <v>22</v>
      </c>
      <c r="B3" s="55">
        <f>'doanh thu'!C4</f>
        <v>20000000</v>
      </c>
      <c r="C3" s="68" t="s">
        <v>110</v>
      </c>
    </row>
    <row r="4" spans="1:3" s="52" customFormat="1" ht="22.05" customHeight="1" x14ac:dyDescent="0.25">
      <c r="A4" s="60" t="s">
        <v>100</v>
      </c>
      <c r="B4" s="55">
        <f>B2*12</f>
        <v>84</v>
      </c>
      <c r="C4" s="68" t="s">
        <v>114</v>
      </c>
    </row>
    <row r="5" spans="1:3" s="52" customFormat="1" ht="22.05" customHeight="1" x14ac:dyDescent="0.25">
      <c r="A5" s="60" t="s">
        <v>39</v>
      </c>
      <c r="B5" s="55">
        <f>'chi phí hoạt động'!B12</f>
        <v>948000000</v>
      </c>
      <c r="C5" s="68" t="s">
        <v>26</v>
      </c>
    </row>
    <row r="6" spans="1:3" s="52" customFormat="1" ht="22.05" customHeight="1" x14ac:dyDescent="0.25">
      <c r="A6" s="60" t="s">
        <v>101</v>
      </c>
      <c r="B6" s="55">
        <f>'chi phí hoạt động'!B13/'điểm hòa vốn'!B4</f>
        <v>4000000</v>
      </c>
      <c r="C6" s="94" t="s">
        <v>110</v>
      </c>
    </row>
    <row r="7" spans="1:3" s="52" customFormat="1" ht="22.05" customHeight="1" x14ac:dyDescent="0.25">
      <c r="A7" s="59" t="s">
        <v>102</v>
      </c>
      <c r="B7" s="95">
        <f>B5/(B3-B6)</f>
        <v>59.25</v>
      </c>
      <c r="C7" s="59" t="s">
        <v>113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E591-1D43-4BD7-AEB4-037CB79B7F69}">
  <dimension ref="A1:I13"/>
  <sheetViews>
    <sheetView zoomScale="120" zoomScaleNormal="120" workbookViewId="0">
      <selection activeCell="D10" sqref="D10"/>
    </sheetView>
  </sheetViews>
  <sheetFormatPr defaultColWidth="9.19921875" defaultRowHeight="19.350000000000001" customHeight="1" x14ac:dyDescent="0.3"/>
  <cols>
    <col min="1" max="1" width="10.69921875" style="26" customWidth="1"/>
    <col min="2" max="2" width="9.296875" style="30" bestFit="1" customWidth="1"/>
    <col min="3" max="3" width="15.796875" style="26" bestFit="1" customWidth="1"/>
    <col min="4" max="5" width="15.09765625" style="26" customWidth="1"/>
    <col min="6" max="6" width="13.796875" style="26" customWidth="1"/>
    <col min="7" max="16384" width="9.19921875" style="26"/>
  </cols>
  <sheetData>
    <row r="1" spans="1:9" ht="22.35" customHeight="1" x14ac:dyDescent="0.25">
      <c r="A1" s="113" t="s">
        <v>104</v>
      </c>
      <c r="B1" s="113"/>
      <c r="C1" s="114" t="s">
        <v>22</v>
      </c>
      <c r="D1" s="114"/>
      <c r="E1" s="114"/>
      <c r="F1" s="114"/>
    </row>
    <row r="2" spans="1:9" s="28" customFormat="1" ht="22.35" customHeight="1" x14ac:dyDescent="0.3">
      <c r="A2" s="113"/>
      <c r="B2" s="113"/>
      <c r="C2" s="31">
        <v>11000</v>
      </c>
      <c r="D2" s="31">
        <v>13000</v>
      </c>
      <c r="E2" s="31">
        <v>15000</v>
      </c>
      <c r="F2" s="31">
        <v>17000</v>
      </c>
      <c r="G2" s="29"/>
      <c r="H2" s="29"/>
      <c r="I2" s="29"/>
    </row>
    <row r="3" spans="1:9" ht="19.350000000000001" customHeight="1" x14ac:dyDescent="0.3">
      <c r="A3" s="113" t="s">
        <v>103</v>
      </c>
      <c r="B3" s="32">
        <v>0.15</v>
      </c>
      <c r="C3" s="33">
        <v>-75366018.36949572</v>
      </c>
      <c r="D3" s="33">
        <v>96973139.27720201</v>
      </c>
      <c r="E3" s="34">
        <v>256855361.41659698</v>
      </c>
      <c r="F3" s="34">
        <v>416737583.55599177</v>
      </c>
      <c r="G3" s="27"/>
      <c r="H3" s="27"/>
      <c r="I3" s="27"/>
    </row>
    <row r="4" spans="1:9" ht="19.350000000000001" customHeight="1" x14ac:dyDescent="0.3">
      <c r="A4" s="113"/>
      <c r="B4" s="32">
        <v>0.2</v>
      </c>
      <c r="C4" s="33">
        <v>-139634494.99665159</v>
      </c>
      <c r="D4" s="33">
        <v>35663765.457314081</v>
      </c>
      <c r="E4" s="34">
        <v>186319086.94333455</v>
      </c>
      <c r="F4" s="34">
        <v>336796472.48629439</v>
      </c>
      <c r="G4" s="27"/>
      <c r="H4" s="27"/>
      <c r="I4" s="27"/>
    </row>
    <row r="5" spans="1:9" ht="19.350000000000001" customHeight="1" x14ac:dyDescent="0.3">
      <c r="A5" s="113"/>
      <c r="B5" s="32">
        <v>0.25</v>
      </c>
      <c r="C5" s="33">
        <v>-204292746.59714213</v>
      </c>
      <c r="D5" s="33">
        <v>-31409366.225216761</v>
      </c>
      <c r="E5" s="34">
        <v>115782812.47007217</v>
      </c>
      <c r="F5" s="34">
        <v>256855361.41659698</v>
      </c>
      <c r="G5" s="27"/>
      <c r="H5" s="27"/>
      <c r="I5" s="27"/>
    </row>
    <row r="6" spans="1:9" ht="19.350000000000001" customHeight="1" x14ac:dyDescent="0.3">
      <c r="A6" s="113"/>
      <c r="B6" s="32">
        <v>0.3</v>
      </c>
      <c r="C6" s="33">
        <v>-268950998.19763267</v>
      </c>
      <c r="D6" s="33">
        <v>-104366357.76002038</v>
      </c>
      <c r="E6" s="35">
        <v>45246537.996809743</v>
      </c>
      <c r="F6" s="34">
        <v>176914250.34689957</v>
      </c>
      <c r="G6" s="27"/>
      <c r="H6" s="27"/>
      <c r="I6" s="27"/>
    </row>
    <row r="7" spans="1:9" ht="19.350000000000001" customHeight="1" x14ac:dyDescent="0.3">
      <c r="A7" s="113"/>
      <c r="B7" s="32">
        <v>0.35</v>
      </c>
      <c r="C7" s="33">
        <v>-333609249.79812318</v>
      </c>
      <c r="D7" s="33">
        <v>-180780655.10605466</v>
      </c>
      <c r="E7" s="33">
        <v>-31409366.225216508</v>
      </c>
      <c r="F7" s="34">
        <v>96973139.277202174</v>
      </c>
      <c r="G7" s="27"/>
      <c r="H7" s="27"/>
      <c r="I7" s="27"/>
    </row>
    <row r="8" spans="1:9" ht="19.350000000000001" customHeight="1" x14ac:dyDescent="0.3">
      <c r="A8" s="113"/>
      <c r="B8" s="32">
        <v>0.4</v>
      </c>
      <c r="C8" s="33">
        <v>-398267501.39861375</v>
      </c>
      <c r="D8" s="33">
        <v>-257194952.45208895</v>
      </c>
      <c r="E8" s="33">
        <v>-116122403.50556394</v>
      </c>
      <c r="F8" s="34">
        <v>15252668.77689971</v>
      </c>
      <c r="G8" s="27"/>
      <c r="H8" s="27"/>
      <c r="I8" s="27"/>
    </row>
    <row r="9" spans="1:9" ht="19.350000000000001" customHeight="1" x14ac:dyDescent="0.3">
      <c r="C9" s="27"/>
      <c r="D9" s="27"/>
      <c r="E9" s="27"/>
      <c r="F9" s="27"/>
      <c r="G9" s="27"/>
      <c r="H9" s="27"/>
      <c r="I9" s="27"/>
    </row>
    <row r="10" spans="1:9" ht="19.350000000000001" customHeight="1" x14ac:dyDescent="0.3">
      <c r="C10" s="27"/>
      <c r="D10" s="27"/>
      <c r="E10" s="27"/>
      <c r="F10" s="27"/>
      <c r="G10" s="27"/>
      <c r="H10" s="27"/>
      <c r="I10" s="27"/>
    </row>
    <row r="11" spans="1:9" ht="19.350000000000001" customHeight="1" x14ac:dyDescent="0.3">
      <c r="C11" s="27"/>
      <c r="D11" s="27"/>
      <c r="E11" s="27"/>
      <c r="F11" s="27"/>
      <c r="G11" s="27"/>
      <c r="H11" s="27"/>
      <c r="I11" s="27"/>
    </row>
    <row r="12" spans="1:9" ht="19.350000000000001" customHeight="1" x14ac:dyDescent="0.3">
      <c r="C12" s="27"/>
      <c r="D12" s="27"/>
      <c r="E12" s="27"/>
      <c r="F12" s="27"/>
      <c r="G12" s="27"/>
      <c r="H12" s="27"/>
      <c r="I12" s="27"/>
    </row>
    <row r="13" spans="1:9" ht="19.350000000000001" customHeight="1" x14ac:dyDescent="0.3">
      <c r="C13" s="27"/>
      <c r="D13" s="27"/>
      <c r="E13" s="27"/>
      <c r="F13" s="27"/>
      <c r="G13" s="27"/>
      <c r="H13" s="27"/>
      <c r="I13" s="27"/>
    </row>
  </sheetData>
  <mergeCells count="3">
    <mergeCell ref="A3:A8"/>
    <mergeCell ref="C1:F1"/>
    <mergeCell ref="A1: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0935-4AE3-4728-9EB0-92333A02202F}">
  <dimension ref="A1:D10"/>
  <sheetViews>
    <sheetView workbookViewId="0">
      <selection activeCell="E10" sqref="E10"/>
    </sheetView>
  </sheetViews>
  <sheetFormatPr defaultRowHeight="13.8" x14ac:dyDescent="0.25"/>
  <cols>
    <col min="1" max="1" width="6.5" customWidth="1"/>
    <col min="2" max="2" width="22.8984375" customWidth="1"/>
    <col min="3" max="3" width="45.09765625" customWidth="1"/>
    <col min="4" max="4" width="12" customWidth="1"/>
  </cols>
  <sheetData>
    <row r="1" spans="1:4" ht="22.05" customHeight="1" x14ac:dyDescent="0.25">
      <c r="A1" s="135" t="s">
        <v>126</v>
      </c>
      <c r="B1" s="135" t="s">
        <v>127</v>
      </c>
      <c r="C1" s="135" t="s">
        <v>128</v>
      </c>
      <c r="D1" s="135" t="s">
        <v>129</v>
      </c>
    </row>
    <row r="2" spans="1:4" ht="36" x14ac:dyDescent="0.25">
      <c r="A2" s="135">
        <v>1</v>
      </c>
      <c r="B2" s="136" t="s">
        <v>130</v>
      </c>
      <c r="C2" s="137" t="s">
        <v>131</v>
      </c>
      <c r="D2" s="138">
        <v>50000000</v>
      </c>
    </row>
    <row r="3" spans="1:4" ht="33.6" x14ac:dyDescent="0.25">
      <c r="A3" s="135">
        <v>2</v>
      </c>
      <c r="B3" s="136" t="s">
        <v>132</v>
      </c>
      <c r="C3" s="137" t="s">
        <v>133</v>
      </c>
      <c r="D3" s="139"/>
    </row>
    <row r="4" spans="1:4" ht="22.05" customHeight="1" x14ac:dyDescent="0.25">
      <c r="A4" s="135">
        <v>3</v>
      </c>
      <c r="B4" s="136" t="s">
        <v>134</v>
      </c>
      <c r="C4" s="137" t="s">
        <v>135</v>
      </c>
      <c r="D4" s="138">
        <v>100000000</v>
      </c>
    </row>
    <row r="5" spans="1:4" ht="22.05" customHeight="1" x14ac:dyDescent="0.25">
      <c r="A5" s="135">
        <v>4</v>
      </c>
      <c r="B5" s="136" t="s">
        <v>136</v>
      </c>
      <c r="C5" s="137" t="s">
        <v>137</v>
      </c>
      <c r="D5" s="138">
        <v>5000000</v>
      </c>
    </row>
    <row r="6" spans="1:4" ht="33.6" x14ac:dyDescent="0.25">
      <c r="A6" s="135">
        <v>5</v>
      </c>
      <c r="B6" s="136" t="s">
        <v>138</v>
      </c>
      <c r="C6" s="137" t="s">
        <v>139</v>
      </c>
      <c r="D6" s="138">
        <v>10000000</v>
      </c>
    </row>
    <row r="7" spans="1:4" ht="33.6" x14ac:dyDescent="0.25">
      <c r="A7" s="135">
        <v>6</v>
      </c>
      <c r="B7" s="136" t="s">
        <v>140</v>
      </c>
      <c r="C7" s="137" t="s">
        <v>145</v>
      </c>
      <c r="D7" s="138">
        <v>5000000</v>
      </c>
    </row>
    <row r="8" spans="1:4" ht="33.6" x14ac:dyDescent="0.25">
      <c r="A8" s="135">
        <v>7</v>
      </c>
      <c r="B8" s="136" t="s">
        <v>141</v>
      </c>
      <c r="C8" s="137" t="s">
        <v>142</v>
      </c>
      <c r="D8" s="138">
        <v>250000000</v>
      </c>
    </row>
    <row r="9" spans="1:4" ht="37.200000000000003" customHeight="1" x14ac:dyDescent="0.25">
      <c r="A9" s="135">
        <v>8</v>
      </c>
      <c r="B9" s="141" t="s">
        <v>143</v>
      </c>
      <c r="C9" s="141"/>
      <c r="D9" s="138">
        <v>10000000</v>
      </c>
    </row>
    <row r="10" spans="1:4" ht="22.05" customHeight="1" x14ac:dyDescent="0.25">
      <c r="A10" s="140" t="s">
        <v>144</v>
      </c>
      <c r="B10" s="140"/>
      <c r="C10" s="140"/>
      <c r="D10" s="142">
        <f>SUM(D2:D9)</f>
        <v>430000000</v>
      </c>
    </row>
  </sheetData>
  <mergeCells count="2">
    <mergeCell ref="B9:C9"/>
    <mergeCell ref="A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E89C-8AEB-4393-8789-194CF3ADA034}">
  <dimension ref="A2:C7"/>
  <sheetViews>
    <sheetView workbookViewId="0">
      <selection activeCell="C7" sqref="C7"/>
    </sheetView>
  </sheetViews>
  <sheetFormatPr defaultColWidth="9.19921875" defaultRowHeight="21.6" customHeight="1" x14ac:dyDescent="0.3"/>
  <cols>
    <col min="1" max="1" width="23.3984375" style="1" bestFit="1" customWidth="1"/>
    <col min="2" max="2" width="6.8984375" style="1" bestFit="1" customWidth="1"/>
    <col min="3" max="3" width="28.3984375" style="1" bestFit="1" customWidth="1"/>
    <col min="4" max="16384" width="9.19921875" style="1"/>
  </cols>
  <sheetData>
    <row r="2" spans="1:3" s="4" customFormat="1" ht="22.05" customHeight="1" x14ac:dyDescent="0.3">
      <c r="A2" s="99" t="s">
        <v>7</v>
      </c>
      <c r="B2" s="100"/>
      <c r="C2" s="101"/>
    </row>
    <row r="3" spans="1:3" ht="22.05" customHeight="1" x14ac:dyDescent="0.3">
      <c r="A3" s="42" t="s">
        <v>10</v>
      </c>
      <c r="B3" s="45" t="s">
        <v>106</v>
      </c>
      <c r="C3" s="38"/>
    </row>
    <row r="4" spans="1:3" s="11" customFormat="1" ht="22.05" customHeight="1" x14ac:dyDescent="0.35">
      <c r="A4" s="38" t="s">
        <v>12</v>
      </c>
      <c r="B4" s="46" t="s">
        <v>15</v>
      </c>
      <c r="C4" s="47"/>
    </row>
    <row r="5" spans="1:3" s="6" customFormat="1" ht="22.05" customHeight="1" x14ac:dyDescent="0.3">
      <c r="A5" s="42" t="s">
        <v>11</v>
      </c>
      <c r="B5" s="45" t="s">
        <v>107</v>
      </c>
      <c r="C5" s="47" t="s">
        <v>9</v>
      </c>
    </row>
    <row r="6" spans="1:3" s="11" customFormat="1" ht="22.05" customHeight="1" x14ac:dyDescent="0.35">
      <c r="A6" s="38" t="s">
        <v>13</v>
      </c>
      <c r="B6" s="46" t="s">
        <v>108</v>
      </c>
      <c r="C6" s="47" t="s">
        <v>16</v>
      </c>
    </row>
    <row r="7" spans="1:3" s="11" customFormat="1" ht="22.05" customHeight="1" x14ac:dyDescent="0.35">
      <c r="A7" s="38" t="s">
        <v>14</v>
      </c>
      <c r="B7" s="46" t="s">
        <v>109</v>
      </c>
      <c r="C7" s="47" t="s">
        <v>16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6839-235A-42D2-BF1D-50CCC0596934}">
  <dimension ref="A2:F18"/>
  <sheetViews>
    <sheetView zoomScaleNormal="100" workbookViewId="0">
      <selection activeCell="A2" sqref="A2:F8"/>
    </sheetView>
  </sheetViews>
  <sheetFormatPr defaultColWidth="9.19921875" defaultRowHeight="20.25" customHeight="1" x14ac:dyDescent="0.35"/>
  <cols>
    <col min="1" max="1" width="20.296875" style="10" customWidth="1"/>
    <col min="2" max="2" width="14.3984375" style="10" customWidth="1"/>
    <col min="3" max="3" width="14.09765625" style="11" bestFit="1" customWidth="1"/>
    <col min="4" max="4" width="14.09765625" style="10" bestFit="1" customWidth="1"/>
    <col min="5" max="6" width="12.69921875" style="10" bestFit="1" customWidth="1"/>
    <col min="7" max="16384" width="9.19921875" style="10"/>
  </cols>
  <sheetData>
    <row r="2" spans="1:6" ht="22.05" customHeight="1" x14ac:dyDescent="0.25">
      <c r="A2" s="99" t="s">
        <v>17</v>
      </c>
      <c r="B2" s="101"/>
      <c r="C2" s="55">
        <v>5</v>
      </c>
      <c r="D2" s="47" t="s">
        <v>16</v>
      </c>
      <c r="E2" s="56"/>
      <c r="F2" s="56"/>
    </row>
    <row r="3" spans="1:6" ht="22.05" customHeight="1" x14ac:dyDescent="0.25">
      <c r="A3" s="102" t="s">
        <v>19</v>
      </c>
      <c r="B3" s="103"/>
      <c r="C3" s="55">
        <v>5</v>
      </c>
      <c r="D3" s="47" t="s">
        <v>16</v>
      </c>
      <c r="E3" s="56"/>
      <c r="F3" s="56"/>
    </row>
    <row r="4" spans="1:6" ht="22.05" customHeight="1" x14ac:dyDescent="0.25">
      <c r="A4" s="102" t="s">
        <v>3</v>
      </c>
      <c r="B4" s="103"/>
      <c r="C4" s="55">
        <v>300000000</v>
      </c>
      <c r="D4" s="47" t="s">
        <v>27</v>
      </c>
      <c r="E4" s="56"/>
      <c r="F4" s="56"/>
    </row>
    <row r="5" spans="1:6" ht="34.799999999999997" customHeight="1" x14ac:dyDescent="0.25">
      <c r="A5" s="104" t="s">
        <v>4</v>
      </c>
      <c r="B5" s="105"/>
      <c r="C5" s="55">
        <v>20000000</v>
      </c>
      <c r="D5" s="47" t="s">
        <v>27</v>
      </c>
      <c r="E5" s="56"/>
      <c r="F5" s="56"/>
    </row>
    <row r="6" spans="1:6" ht="22.05" customHeight="1" x14ac:dyDescent="0.25">
      <c r="A6" s="102"/>
      <c r="B6" s="103"/>
      <c r="C6" s="55">
        <f>SUM(C4:C5)</f>
        <v>320000000</v>
      </c>
      <c r="D6" s="47" t="s">
        <v>27</v>
      </c>
      <c r="E6" s="38"/>
      <c r="F6" s="38"/>
    </row>
    <row r="7" spans="1:6" s="25" customFormat="1" ht="22.05" customHeight="1" x14ac:dyDescent="0.25">
      <c r="A7" s="57" t="s">
        <v>25</v>
      </c>
      <c r="B7" s="96" t="s">
        <v>85</v>
      </c>
      <c r="C7" s="96" t="s">
        <v>86</v>
      </c>
      <c r="D7" s="96" t="s">
        <v>18</v>
      </c>
      <c r="E7" s="96" t="s">
        <v>112</v>
      </c>
      <c r="F7" s="96" t="s">
        <v>109</v>
      </c>
    </row>
    <row r="8" spans="1:6" ht="22.05" customHeight="1" x14ac:dyDescent="0.25">
      <c r="A8" s="38" t="s">
        <v>58</v>
      </c>
      <c r="B8" s="58">
        <f>C6/C3</f>
        <v>64000000</v>
      </c>
      <c r="C8" s="58">
        <f>B8</f>
        <v>64000000</v>
      </c>
      <c r="D8" s="58">
        <f>B8</f>
        <v>64000000</v>
      </c>
      <c r="E8" s="58">
        <f>D8</f>
        <v>64000000</v>
      </c>
      <c r="F8" s="58">
        <f>D8</f>
        <v>64000000</v>
      </c>
    </row>
    <row r="9" spans="1:6" ht="20.25" customHeight="1" x14ac:dyDescent="0.35">
      <c r="A9" s="1"/>
      <c r="B9" s="15"/>
      <c r="C9" s="19"/>
      <c r="D9" s="15"/>
      <c r="E9" s="1"/>
    </row>
    <row r="10" spans="1:6" ht="20.25" customHeight="1" x14ac:dyDescent="0.35">
      <c r="A10" s="1"/>
      <c r="B10" s="15"/>
      <c r="C10" s="19"/>
      <c r="D10" s="15"/>
      <c r="E10" s="1"/>
    </row>
    <row r="11" spans="1:6" ht="20.25" customHeight="1" x14ac:dyDescent="0.35">
      <c r="A11" s="1"/>
      <c r="B11" s="15"/>
      <c r="C11" s="19"/>
      <c r="D11" s="15"/>
      <c r="E11" s="1"/>
    </row>
    <row r="12" spans="1:6" ht="20.25" customHeight="1" x14ac:dyDescent="0.35">
      <c r="A12" s="1"/>
      <c r="B12" s="1"/>
      <c r="D12" s="1"/>
      <c r="E12" s="1"/>
    </row>
    <row r="13" spans="1:6" ht="20.25" customHeight="1" x14ac:dyDescent="0.35">
      <c r="A13" s="1"/>
      <c r="B13" s="1"/>
      <c r="D13" s="1"/>
      <c r="E13" s="1"/>
    </row>
    <row r="14" spans="1:6" ht="20.25" customHeight="1" x14ac:dyDescent="0.35">
      <c r="A14" s="1"/>
      <c r="B14" s="1"/>
      <c r="D14" s="1"/>
      <c r="E14" s="1"/>
    </row>
    <row r="15" spans="1:6" ht="20.25" customHeight="1" x14ac:dyDescent="0.35">
      <c r="A15" s="1"/>
      <c r="B15" s="1"/>
      <c r="D15" s="1"/>
      <c r="E15" s="1"/>
    </row>
    <row r="16" spans="1:6" ht="20.25" customHeight="1" x14ac:dyDescent="0.35">
      <c r="A16" s="1"/>
      <c r="B16" s="1"/>
      <c r="D16" s="1"/>
      <c r="E16" s="1"/>
    </row>
    <row r="17" spans="1:5" ht="20.25" customHeight="1" x14ac:dyDescent="0.35">
      <c r="A17" s="1"/>
      <c r="B17" s="1"/>
      <c r="D17" s="1"/>
      <c r="E17" s="1"/>
    </row>
    <row r="18" spans="1:5" ht="20.25" customHeight="1" x14ac:dyDescent="0.35">
      <c r="A18" s="1"/>
      <c r="B18" s="1"/>
      <c r="D18" s="1"/>
      <c r="E18" s="1"/>
    </row>
  </sheetData>
  <mergeCells count="5">
    <mergeCell ref="A2:B2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orientation="portrait" r:id="rId1"/>
  <ignoredErrors>
    <ignoredError sqref="D8" formula="1"/>
    <ignoredError sqref="C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A76B-4900-4945-B5F7-7219FBAC851E}">
  <dimension ref="A2:F8"/>
  <sheetViews>
    <sheetView tabSelected="1" workbookViewId="0">
      <selection activeCell="B3" sqref="B3"/>
    </sheetView>
  </sheetViews>
  <sheetFormatPr defaultColWidth="9.19921875" defaultRowHeight="20.25" customHeight="1" x14ac:dyDescent="0.35"/>
  <cols>
    <col min="1" max="1" width="13.59765625" style="3" customWidth="1"/>
    <col min="2" max="2" width="14.796875" style="3" bestFit="1" customWidth="1"/>
    <col min="3" max="3" width="15.09765625" style="14" bestFit="1" customWidth="1"/>
    <col min="4" max="6" width="14.796875" style="3" bestFit="1" customWidth="1"/>
    <col min="7" max="7" width="14.8984375" style="3" bestFit="1" customWidth="1"/>
    <col min="8" max="16384" width="9.19921875" style="3"/>
  </cols>
  <sheetData>
    <row r="2" spans="1:6" s="49" customFormat="1" ht="22.05" customHeight="1" x14ac:dyDescent="0.25">
      <c r="A2" s="106" t="s">
        <v>20</v>
      </c>
      <c r="B2" s="107"/>
      <c r="C2" s="107"/>
      <c r="D2" s="107"/>
      <c r="E2" s="107"/>
      <c r="F2" s="108"/>
    </row>
    <row r="3" spans="1:6" s="52" customFormat="1" ht="22.05" customHeight="1" x14ac:dyDescent="0.25">
      <c r="A3" s="60" t="s">
        <v>21</v>
      </c>
      <c r="B3" s="48"/>
      <c r="C3" s="61">
        <v>7</v>
      </c>
      <c r="D3" s="62" t="s">
        <v>111</v>
      </c>
      <c r="E3" s="60"/>
      <c r="F3" s="60"/>
    </row>
    <row r="4" spans="1:6" s="52" customFormat="1" ht="22.05" customHeight="1" x14ac:dyDescent="0.25">
      <c r="A4" s="109" t="s">
        <v>22</v>
      </c>
      <c r="B4" s="110"/>
      <c r="C4" s="63">
        <v>20000000</v>
      </c>
      <c r="D4" s="62" t="s">
        <v>110</v>
      </c>
      <c r="E4" s="60"/>
      <c r="F4" s="60"/>
    </row>
    <row r="5" spans="1:6" s="52" customFormat="1" ht="22.05" customHeight="1" x14ac:dyDescent="0.25">
      <c r="A5" s="109" t="s">
        <v>23</v>
      </c>
      <c r="B5" s="110"/>
      <c r="C5" s="61">
        <f>C3*C4*12</f>
        <v>1680000000</v>
      </c>
      <c r="D5" s="62" t="s">
        <v>26</v>
      </c>
      <c r="E5" s="60"/>
      <c r="F5" s="60"/>
    </row>
    <row r="6" spans="1:6" s="52" customFormat="1" ht="22.05" customHeight="1" x14ac:dyDescent="0.25">
      <c r="A6" s="109" t="s">
        <v>24</v>
      </c>
      <c r="B6" s="110"/>
      <c r="C6" s="64">
        <v>0.3</v>
      </c>
      <c r="D6" s="62" t="s">
        <v>16</v>
      </c>
      <c r="E6" s="60"/>
      <c r="F6" s="60"/>
    </row>
    <row r="7" spans="1:6" s="52" customFormat="1" ht="22.05" customHeight="1" x14ac:dyDescent="0.25">
      <c r="A7" s="60" t="s">
        <v>25</v>
      </c>
      <c r="B7" s="65">
        <v>1</v>
      </c>
      <c r="C7" s="65">
        <v>2</v>
      </c>
      <c r="D7" s="65">
        <v>3</v>
      </c>
      <c r="E7" s="65">
        <v>4</v>
      </c>
      <c r="F7" s="65">
        <v>5</v>
      </c>
    </row>
    <row r="8" spans="1:6" s="54" customFormat="1" ht="22.05" customHeight="1" x14ac:dyDescent="0.25">
      <c r="A8" s="59" t="s">
        <v>23</v>
      </c>
      <c r="B8" s="58">
        <f>C5</f>
        <v>1680000000</v>
      </c>
      <c r="C8" s="58">
        <f>B8*1.3</f>
        <v>2184000000</v>
      </c>
      <c r="D8" s="58">
        <f t="shared" ref="D8:F8" si="0">C8*1.3</f>
        <v>2839200000</v>
      </c>
      <c r="E8" s="58">
        <f t="shared" si="0"/>
        <v>3690960000</v>
      </c>
      <c r="F8" s="58">
        <f t="shared" si="0"/>
        <v>4798248000</v>
      </c>
    </row>
  </sheetData>
  <mergeCells count="4">
    <mergeCell ref="A2:F2"/>
    <mergeCell ref="A4:B4"/>
    <mergeCell ref="A5:B5"/>
    <mergeCell ref="A6:B6"/>
  </mergeCells>
  <pageMargins left="0.7" right="0.7" top="0.75" bottom="0.75" header="0.3" footer="0.3"/>
  <pageSetup paperSiz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D592-E971-4F57-B3A0-6B357C9DD456}">
  <dimension ref="A2:F14"/>
  <sheetViews>
    <sheetView workbookViewId="0">
      <selection sqref="A1:F1048576"/>
    </sheetView>
  </sheetViews>
  <sheetFormatPr defaultColWidth="9.19921875" defaultRowHeight="18.899999999999999" customHeight="1" x14ac:dyDescent="0.35"/>
  <cols>
    <col min="1" max="1" width="12.09765625" style="3" customWidth="1"/>
    <col min="2" max="2" width="14.796875" style="15" bestFit="1" customWidth="1"/>
    <col min="3" max="3" width="14.796875" style="14" bestFit="1" customWidth="1"/>
    <col min="4" max="6" width="15.5" style="3" bestFit="1" customWidth="1"/>
    <col min="7" max="16384" width="9.19921875" style="3"/>
  </cols>
  <sheetData>
    <row r="2" spans="1:6" s="5" customFormat="1" ht="22.05" customHeight="1" x14ac:dyDescent="0.3">
      <c r="A2" s="106" t="s">
        <v>28</v>
      </c>
      <c r="B2" s="107"/>
      <c r="C2" s="107"/>
      <c r="D2" s="107"/>
      <c r="E2" s="107"/>
      <c r="F2" s="108"/>
    </row>
    <row r="3" spans="1:6" s="7" customFormat="1" ht="22.05" customHeight="1" x14ac:dyDescent="0.3">
      <c r="A3" s="111" t="s">
        <v>29</v>
      </c>
      <c r="B3" s="112"/>
      <c r="C3" s="67">
        <f>SUM(C4:C8)</f>
        <v>79000000</v>
      </c>
      <c r="D3" s="68" t="s">
        <v>37</v>
      </c>
      <c r="E3" s="66"/>
      <c r="F3" s="66"/>
    </row>
    <row r="4" spans="1:6" ht="22.05" customHeight="1" x14ac:dyDescent="0.3">
      <c r="A4" s="109" t="s">
        <v>30</v>
      </c>
      <c r="B4" s="110"/>
      <c r="C4" s="55">
        <v>15000000</v>
      </c>
      <c r="D4" s="68" t="s">
        <v>37</v>
      </c>
      <c r="E4" s="60"/>
      <c r="F4" s="60"/>
    </row>
    <row r="5" spans="1:6" ht="22.05" customHeight="1" x14ac:dyDescent="0.3">
      <c r="A5" s="109" t="s">
        <v>31</v>
      </c>
      <c r="B5" s="110"/>
      <c r="C5" s="55">
        <v>2000000</v>
      </c>
      <c r="D5" s="68" t="s">
        <v>37</v>
      </c>
      <c r="E5" s="60"/>
      <c r="F5" s="60"/>
    </row>
    <row r="6" spans="1:6" ht="22.05" customHeight="1" x14ac:dyDescent="0.3">
      <c r="A6" s="109" t="s">
        <v>32</v>
      </c>
      <c r="B6" s="110"/>
      <c r="C6" s="55">
        <v>1000000</v>
      </c>
      <c r="D6" s="68" t="s">
        <v>37</v>
      </c>
      <c r="E6" s="60"/>
      <c r="F6" s="60"/>
    </row>
    <row r="7" spans="1:6" ht="22.05" customHeight="1" x14ac:dyDescent="0.3">
      <c r="A7" s="109" t="s">
        <v>33</v>
      </c>
      <c r="B7" s="110"/>
      <c r="C7" s="55">
        <v>60000000</v>
      </c>
      <c r="D7" s="68" t="s">
        <v>37</v>
      </c>
      <c r="E7" s="60"/>
      <c r="F7" s="60"/>
    </row>
    <row r="8" spans="1:6" ht="22.05" customHeight="1" x14ac:dyDescent="0.3">
      <c r="A8" s="109" t="s">
        <v>34</v>
      </c>
      <c r="B8" s="110"/>
      <c r="C8" s="55">
        <v>1000000</v>
      </c>
      <c r="D8" s="68" t="s">
        <v>37</v>
      </c>
      <c r="E8" s="60"/>
      <c r="F8" s="60"/>
    </row>
    <row r="9" spans="1:6" ht="22.05" customHeight="1" x14ac:dyDescent="0.3">
      <c r="A9" s="109" t="s">
        <v>35</v>
      </c>
      <c r="B9" s="110"/>
      <c r="C9" s="69">
        <v>0.05</v>
      </c>
      <c r="D9" s="68" t="s">
        <v>16</v>
      </c>
      <c r="E9" s="60"/>
      <c r="F9" s="60"/>
    </row>
    <row r="10" spans="1:6" s="7" customFormat="1" ht="22.05" customHeight="1" x14ac:dyDescent="0.3">
      <c r="A10" s="66" t="s">
        <v>36</v>
      </c>
      <c r="B10" s="36"/>
      <c r="C10" s="70">
        <v>0.2</v>
      </c>
      <c r="D10" s="68" t="s">
        <v>38</v>
      </c>
      <c r="E10" s="66"/>
      <c r="F10" s="66"/>
    </row>
    <row r="11" spans="1:6" s="18" customFormat="1" ht="22.05" customHeight="1" x14ac:dyDescent="0.3">
      <c r="A11" s="71" t="s">
        <v>25</v>
      </c>
      <c r="B11" s="72">
        <v>1</v>
      </c>
      <c r="C11" s="71">
        <v>2</v>
      </c>
      <c r="D11" s="71">
        <v>3</v>
      </c>
      <c r="E11" s="71">
        <v>4</v>
      </c>
      <c r="F11" s="71">
        <v>5</v>
      </c>
    </row>
    <row r="12" spans="1:6" ht="33.6" x14ac:dyDescent="0.3">
      <c r="A12" s="98" t="s">
        <v>39</v>
      </c>
      <c r="B12" s="73">
        <f>C3*12</f>
        <v>948000000</v>
      </c>
      <c r="C12" s="74">
        <f>B12*1.05</f>
        <v>995400000</v>
      </c>
      <c r="D12" s="74">
        <f>C12*1.05</f>
        <v>1045170000</v>
      </c>
      <c r="E12" s="74">
        <f t="shared" ref="E12:F12" si="0">D12*1.05</f>
        <v>1097428500</v>
      </c>
      <c r="F12" s="74">
        <f t="shared" si="0"/>
        <v>1152299925</v>
      </c>
    </row>
    <row r="13" spans="1:6" ht="33.6" x14ac:dyDescent="0.3">
      <c r="A13" s="98" t="s">
        <v>40</v>
      </c>
      <c r="B13" s="73">
        <f>C10*'doanh thu'!B8</f>
        <v>336000000</v>
      </c>
      <c r="C13" s="74">
        <f>C10*'doanh thu'!C8</f>
        <v>436800000</v>
      </c>
      <c r="D13" s="74">
        <f>C10*'doanh thu'!D8</f>
        <v>567840000</v>
      </c>
      <c r="E13" s="74">
        <f>C10*'doanh thu'!E8</f>
        <v>738192000</v>
      </c>
      <c r="F13" s="74">
        <f>C10*'doanh thu'!F8</f>
        <v>959649600</v>
      </c>
    </row>
    <row r="14" spans="1:6" s="5" customFormat="1" ht="50.4" x14ac:dyDescent="0.3">
      <c r="A14" s="97" t="s">
        <v>41</v>
      </c>
      <c r="B14" s="75">
        <f>SUM(B12:B13)</f>
        <v>1284000000</v>
      </c>
      <c r="C14" s="75">
        <f t="shared" ref="C14:D14" si="1">SUM(C12:C13)</f>
        <v>1432200000</v>
      </c>
      <c r="D14" s="75">
        <f t="shared" si="1"/>
        <v>1613010000</v>
      </c>
      <c r="E14" s="75">
        <f t="shared" ref="E14:F14" si="2">SUM(E12:E13)</f>
        <v>1835620500</v>
      </c>
      <c r="F14" s="75">
        <f t="shared" si="2"/>
        <v>2111949525</v>
      </c>
    </row>
  </sheetData>
  <mergeCells count="8">
    <mergeCell ref="A7:B7"/>
    <mergeCell ref="A8:B8"/>
    <mergeCell ref="A9:B9"/>
    <mergeCell ref="A2:F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D3DF-A99B-4417-90EE-391F759C0085}">
  <dimension ref="A2:C5"/>
  <sheetViews>
    <sheetView workbookViewId="0">
      <selection activeCell="A2" sqref="A2:C2"/>
    </sheetView>
  </sheetViews>
  <sheetFormatPr defaultColWidth="9.19921875" defaultRowHeight="18" customHeight="1" x14ac:dyDescent="0.3"/>
  <cols>
    <col min="1" max="1" width="25.09765625" style="3" bestFit="1" customWidth="1"/>
    <col min="2" max="2" width="18.09765625" style="17" customWidth="1"/>
    <col min="3" max="3" width="8.8984375" style="3" customWidth="1"/>
    <col min="4" max="16384" width="9.19921875" style="3"/>
  </cols>
  <sheetData>
    <row r="2" spans="1:3" s="5" customFormat="1" ht="22.05" customHeight="1" x14ac:dyDescent="0.3">
      <c r="A2" s="106" t="s">
        <v>42</v>
      </c>
      <c r="B2" s="107"/>
      <c r="C2" s="108"/>
    </row>
    <row r="3" spans="1:3" ht="22.05" customHeight="1" x14ac:dyDescent="0.3">
      <c r="A3" s="60" t="s">
        <v>43</v>
      </c>
      <c r="B3" s="75">
        <v>100000000</v>
      </c>
      <c r="C3" s="60" t="s">
        <v>27</v>
      </c>
    </row>
    <row r="4" spans="1:3" ht="22.05" customHeight="1" x14ac:dyDescent="0.3">
      <c r="A4" s="60" t="s">
        <v>44</v>
      </c>
      <c r="B4" s="75">
        <f>'đầu tư ban đầu'!B4</f>
        <v>80000000</v>
      </c>
      <c r="C4" s="60" t="s">
        <v>27</v>
      </c>
    </row>
    <row r="5" spans="1:3" ht="22.05" customHeight="1" x14ac:dyDescent="0.3">
      <c r="A5" s="60" t="s">
        <v>45</v>
      </c>
      <c r="B5" s="75">
        <f>'đầu tư ban đầu'!B7</f>
        <v>30000000</v>
      </c>
      <c r="C5" s="60" t="s">
        <v>27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65B8-492F-4B92-AD53-E619F557E2D3}">
  <dimension ref="A2:B2"/>
  <sheetViews>
    <sheetView workbookViewId="0">
      <selection activeCell="A4" sqref="A4"/>
    </sheetView>
  </sheetViews>
  <sheetFormatPr defaultColWidth="9.19921875" defaultRowHeight="17.55" customHeight="1" x14ac:dyDescent="0.3"/>
  <cols>
    <col min="1" max="1" width="47.19921875" style="3" bestFit="1" customWidth="1"/>
    <col min="2" max="16384" width="9.19921875" style="3"/>
  </cols>
  <sheetData>
    <row r="2" spans="1:2" ht="17.55" customHeight="1" x14ac:dyDescent="0.3">
      <c r="A2" s="3" t="s">
        <v>46</v>
      </c>
      <c r="B2" s="16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23F4-E839-4F1E-9BA8-C453D4E9C876}">
  <dimension ref="A1:F11"/>
  <sheetViews>
    <sheetView workbookViewId="0">
      <selection activeCell="G19" sqref="G19"/>
    </sheetView>
  </sheetViews>
  <sheetFormatPr defaultColWidth="9.19921875" defaultRowHeight="18.600000000000001" customHeight="1" x14ac:dyDescent="0.3"/>
  <cols>
    <col min="1" max="1" width="13.796875" style="52" customWidth="1"/>
    <col min="2" max="2" width="13.3984375" style="37" customWidth="1"/>
    <col min="3" max="3" width="14.796875" style="52" bestFit="1" customWidth="1"/>
    <col min="4" max="4" width="15.5" style="53" bestFit="1" customWidth="1"/>
    <col min="5" max="6" width="15.5" style="52" bestFit="1" customWidth="1"/>
    <col min="7" max="16384" width="9.19921875" style="3"/>
  </cols>
  <sheetData>
    <row r="1" spans="1:6" s="5" customFormat="1" ht="22.05" customHeight="1" x14ac:dyDescent="0.3">
      <c r="A1" s="129" t="s">
        <v>116</v>
      </c>
      <c r="B1" s="129"/>
      <c r="C1" s="129"/>
      <c r="D1" s="129"/>
      <c r="E1" s="129"/>
      <c r="F1" s="129"/>
    </row>
    <row r="2" spans="1:6" ht="22.05" customHeight="1" x14ac:dyDescent="0.3">
      <c r="A2" s="115" t="s">
        <v>47</v>
      </c>
      <c r="B2" s="115"/>
      <c r="C2" s="126">
        <f>'đầu tư ban đầu'!B2</f>
        <v>430000000</v>
      </c>
      <c r="D2" s="60"/>
      <c r="E2" s="60"/>
      <c r="F2" s="60"/>
    </row>
    <row r="3" spans="1:6" ht="22.05" customHeight="1" x14ac:dyDescent="0.3">
      <c r="A3" s="116" t="s">
        <v>8</v>
      </c>
      <c r="B3" s="117"/>
      <c r="C3" s="127">
        <f>'nguồn vốn'!B5*'tra nợ vay'!C2</f>
        <v>129000000</v>
      </c>
      <c r="D3" s="76"/>
      <c r="E3" s="60"/>
      <c r="F3" s="60"/>
    </row>
    <row r="4" spans="1:6" ht="22.05" customHeight="1" x14ac:dyDescent="0.3">
      <c r="A4" s="118" t="s">
        <v>13</v>
      </c>
      <c r="B4" s="117"/>
      <c r="C4" s="128" t="str">
        <f>'nguồn vốn'!B6</f>
        <v>5%</v>
      </c>
      <c r="D4" s="47" t="s">
        <v>16</v>
      </c>
      <c r="E4" s="60"/>
      <c r="F4" s="60"/>
    </row>
    <row r="5" spans="1:6" ht="22.05" customHeight="1" x14ac:dyDescent="0.3">
      <c r="A5" s="118" t="s">
        <v>14</v>
      </c>
      <c r="B5" s="117"/>
      <c r="C5" s="128" t="str">
        <f>'nguồn vốn'!B7</f>
        <v>5</v>
      </c>
      <c r="D5" s="47" t="s">
        <v>16</v>
      </c>
      <c r="E5" s="60"/>
      <c r="F5" s="60"/>
    </row>
    <row r="6" spans="1:6" s="18" customFormat="1" ht="22.05" customHeight="1" x14ac:dyDescent="0.3">
      <c r="A6" s="123" t="s">
        <v>25</v>
      </c>
      <c r="B6" s="124">
        <v>1</v>
      </c>
      <c r="C6" s="123">
        <v>2</v>
      </c>
      <c r="D6" s="125">
        <v>3</v>
      </c>
      <c r="E6" s="123">
        <v>4</v>
      </c>
      <c r="F6" s="123">
        <v>5</v>
      </c>
    </row>
    <row r="7" spans="1:6" ht="22.05" customHeight="1" x14ac:dyDescent="0.3">
      <c r="A7" s="119" t="s">
        <v>48</v>
      </c>
      <c r="B7" s="44">
        <f>C3</f>
        <v>129000000</v>
      </c>
      <c r="C7" s="55">
        <f>B11</f>
        <v>103200000</v>
      </c>
      <c r="D7" s="55">
        <f>C11</f>
        <v>77400000</v>
      </c>
      <c r="E7" s="55">
        <f t="shared" ref="E7:F7" si="0">D11</f>
        <v>51600000</v>
      </c>
      <c r="F7" s="55">
        <f t="shared" si="0"/>
        <v>25800000</v>
      </c>
    </row>
    <row r="8" spans="1:6" s="12" customFormat="1" ht="22.05" customHeight="1" x14ac:dyDescent="0.3">
      <c r="A8" s="120" t="s">
        <v>50</v>
      </c>
      <c r="B8" s="77">
        <f>SUM(B9:B10)</f>
        <v>32250000</v>
      </c>
      <c r="C8" s="77">
        <f t="shared" ref="C8:D8" si="1">SUM(C9:C10)</f>
        <v>30960000</v>
      </c>
      <c r="D8" s="77">
        <f t="shared" si="1"/>
        <v>29670000</v>
      </c>
      <c r="E8" s="77">
        <f t="shared" ref="E8:F8" si="2">SUM(E9:E10)</f>
        <v>28380000</v>
      </c>
      <c r="F8" s="77">
        <f t="shared" si="2"/>
        <v>27090000</v>
      </c>
    </row>
    <row r="9" spans="1:6" ht="22.05" customHeight="1" x14ac:dyDescent="0.3">
      <c r="A9" s="121" t="s">
        <v>121</v>
      </c>
      <c r="B9" s="44">
        <f>B7/5</f>
        <v>25800000</v>
      </c>
      <c r="C9" s="55">
        <f>B9</f>
        <v>25800000</v>
      </c>
      <c r="D9" s="55">
        <f>C9</f>
        <v>25800000</v>
      </c>
      <c r="E9" s="55">
        <f t="shared" ref="E9:F9" si="3">D9</f>
        <v>25800000</v>
      </c>
      <c r="F9" s="55">
        <f t="shared" si="3"/>
        <v>25800000</v>
      </c>
    </row>
    <row r="10" spans="1:6" ht="22.05" customHeight="1" x14ac:dyDescent="0.3">
      <c r="A10" s="122" t="s">
        <v>122</v>
      </c>
      <c r="B10" s="44">
        <f>B7*$C$4</f>
        <v>6450000</v>
      </c>
      <c r="C10" s="44">
        <f>C7*$C$4</f>
        <v>5160000</v>
      </c>
      <c r="D10" s="44">
        <f>D7*$C$4</f>
        <v>3870000</v>
      </c>
      <c r="E10" s="44">
        <f>E7*$C$4</f>
        <v>2580000</v>
      </c>
      <c r="F10" s="44">
        <f>F7*$C$4</f>
        <v>1290000</v>
      </c>
    </row>
    <row r="11" spans="1:6" s="5" customFormat="1" ht="22.05" customHeight="1" x14ac:dyDescent="0.3">
      <c r="A11" s="120" t="s">
        <v>49</v>
      </c>
      <c r="B11" s="41">
        <f>B7-B9</f>
        <v>103200000</v>
      </c>
      <c r="C11" s="58">
        <f>C7-C9</f>
        <v>77400000</v>
      </c>
      <c r="D11" s="58">
        <f>D7-D9</f>
        <v>51600000</v>
      </c>
      <c r="E11" s="58">
        <f t="shared" ref="E11:F11" si="4">E7-E9</f>
        <v>25800000</v>
      </c>
      <c r="F11" s="58">
        <f t="shared" si="4"/>
        <v>0</v>
      </c>
    </row>
  </sheetData>
  <mergeCells count="5">
    <mergeCell ref="A1:F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1F51-6FD3-4804-9A9A-1CE5079B216E}">
  <dimension ref="A2:C10"/>
  <sheetViews>
    <sheetView workbookViewId="0">
      <selection activeCell="A7" sqref="A7"/>
    </sheetView>
  </sheetViews>
  <sheetFormatPr defaultRowHeight="19.8" customHeight="1" x14ac:dyDescent="0.25"/>
  <cols>
    <col min="1" max="1" width="34.8984375" bestFit="1" customWidth="1"/>
    <col min="2" max="2" width="10.59765625" style="21" customWidth="1"/>
    <col min="3" max="3" width="25" bestFit="1" customWidth="1"/>
  </cols>
  <sheetData>
    <row r="2" spans="1:3" ht="19.8" customHeight="1" x14ac:dyDescent="0.3">
      <c r="A2" s="22" t="s">
        <v>51</v>
      </c>
      <c r="B2" s="22" t="s">
        <v>52</v>
      </c>
      <c r="C2" s="22" t="s">
        <v>53</v>
      </c>
    </row>
    <row r="3" spans="1:3" ht="19.8" customHeight="1" x14ac:dyDescent="0.3">
      <c r="A3" s="23" t="s">
        <v>23</v>
      </c>
      <c r="B3" s="24" t="s">
        <v>54</v>
      </c>
      <c r="C3" s="23" t="s">
        <v>55</v>
      </c>
    </row>
    <row r="4" spans="1:3" ht="19.8" customHeight="1" x14ac:dyDescent="0.3">
      <c r="A4" s="23" t="s">
        <v>56</v>
      </c>
      <c r="B4" s="24" t="s">
        <v>57</v>
      </c>
      <c r="C4" s="23" t="s">
        <v>66</v>
      </c>
    </row>
    <row r="5" spans="1:3" ht="19.8" customHeight="1" x14ac:dyDescent="0.3">
      <c r="A5" s="23" t="s">
        <v>58</v>
      </c>
      <c r="B5" s="24" t="s">
        <v>59</v>
      </c>
      <c r="C5" s="23" t="s">
        <v>67</v>
      </c>
    </row>
    <row r="6" spans="1:3" ht="19.8" customHeight="1" x14ac:dyDescent="0.3">
      <c r="A6" s="23" t="s">
        <v>60</v>
      </c>
      <c r="B6" s="24" t="s">
        <v>61</v>
      </c>
      <c r="C6" s="23" t="s">
        <v>62</v>
      </c>
    </row>
    <row r="7" spans="1:3" ht="19.8" customHeight="1" x14ac:dyDescent="0.3">
      <c r="A7" s="23" t="s">
        <v>63</v>
      </c>
      <c r="B7" s="24" t="s">
        <v>64</v>
      </c>
      <c r="C7" s="23" t="s">
        <v>65</v>
      </c>
    </row>
    <row r="8" spans="1:3" ht="19.8" customHeight="1" x14ac:dyDescent="0.3">
      <c r="A8" s="23" t="s">
        <v>68</v>
      </c>
      <c r="B8" s="24" t="s">
        <v>69</v>
      </c>
      <c r="C8" s="23" t="s">
        <v>70</v>
      </c>
    </row>
    <row r="9" spans="1:3" ht="19.8" customHeight="1" x14ac:dyDescent="0.3">
      <c r="A9" s="23" t="s">
        <v>71</v>
      </c>
      <c r="B9" s="24" t="s">
        <v>72</v>
      </c>
      <c r="C9" s="23" t="s">
        <v>73</v>
      </c>
    </row>
    <row r="10" spans="1:3" ht="19.8" customHeight="1" x14ac:dyDescent="0.3">
      <c r="A10" s="23" t="s">
        <v>74</v>
      </c>
      <c r="B10" s="24" t="s">
        <v>75</v>
      </c>
      <c r="C10" s="23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đầu tư ban đầu</vt:lpstr>
      <vt:lpstr>nguồn vốn</vt:lpstr>
      <vt:lpstr>thoi gian khấu hao</vt:lpstr>
      <vt:lpstr>doanh thu</vt:lpstr>
      <vt:lpstr>chi phí hoạt động</vt:lpstr>
      <vt:lpstr>thu hồi</vt:lpstr>
      <vt:lpstr>thuế</vt:lpstr>
      <vt:lpstr>tra nợ vay</vt:lpstr>
      <vt:lpstr>công thức</vt:lpstr>
      <vt:lpstr>thu nhập</vt:lpstr>
      <vt:lpstr>Dòng tiền</vt:lpstr>
      <vt:lpstr>điểm hòa vốn</vt:lpstr>
      <vt:lpstr>phân tích rủi ro</vt:lpstr>
      <vt:lpstr>Kế hoạch triển khai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</dc:creator>
  <cp:lastModifiedBy>pc</cp:lastModifiedBy>
  <dcterms:created xsi:type="dcterms:W3CDTF">2021-07-02T09:24:53Z</dcterms:created>
  <dcterms:modified xsi:type="dcterms:W3CDTF">2021-11-13T09:49:13Z</dcterms:modified>
</cp:coreProperties>
</file>