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BD14BA-E484-4A4B-8735-130BC950A889}" xr6:coauthVersionLast="47" xr6:coauthVersionMax="47" xr10:uidLastSave="{00000000-0000-0000-0000-000000000000}"/>
  <bookViews>
    <workbookView xWindow="154" yWindow="0" windowWidth="16303" windowHeight="8657" firstSheet="7" activeTab="10" xr2:uid="{9AA35BDA-ED3C-4667-92EA-960454FF97DD}"/>
  </bookViews>
  <sheets>
    <sheet name="đầu tư ban đầu" sheetId="1" r:id="rId1"/>
    <sheet name="nguồn vốn" sheetId="2" r:id="rId2"/>
    <sheet name="thoi gian khấu hao" sheetId="3" r:id="rId3"/>
    <sheet name="doanh thu" sheetId="4" r:id="rId4"/>
    <sheet name="chi phí hoạt động" sheetId="5" r:id="rId5"/>
    <sheet name="thu hồi" sheetId="6" r:id="rId6"/>
    <sheet name="thuế" sheetId="7" r:id="rId7"/>
    <sheet name="tra nợ vay" sheetId="9" r:id="rId8"/>
    <sheet name="công thức" sheetId="10" r:id="rId9"/>
    <sheet name="thu nhập" sheetId="11" r:id="rId10"/>
    <sheet name="Dòng tiền" sheetId="12" r:id="rId11"/>
    <sheet name="điểm hòa vốn" sheetId="13" r:id="rId12"/>
    <sheet name="phân tích rủi ro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1" l="1"/>
  <c r="B5" i="13"/>
  <c r="B6" i="13" s="1"/>
  <c r="B7" i="13" s="1"/>
  <c r="B4" i="13"/>
  <c r="B14" i="12"/>
  <c r="B23" i="12"/>
  <c r="B9" i="12"/>
  <c r="B8" i="12" s="1"/>
  <c r="B12" i="12" s="1"/>
  <c r="E7" i="12"/>
  <c r="E6" i="12"/>
  <c r="C7" i="11"/>
  <c r="D7" i="11"/>
  <c r="B7" i="11"/>
  <c r="C5" i="11"/>
  <c r="D5" i="11"/>
  <c r="B5" i="11"/>
  <c r="D8" i="3"/>
  <c r="C8" i="3"/>
  <c r="B8" i="3"/>
  <c r="B6" i="3"/>
  <c r="D18" i="9"/>
  <c r="D16" i="9"/>
  <c r="C20" i="9"/>
  <c r="C18" i="9"/>
  <c r="C16" i="9"/>
  <c r="B18" i="9"/>
  <c r="C17" i="9"/>
  <c r="D17" i="9"/>
  <c r="B17" i="9"/>
  <c r="B16" i="9"/>
  <c r="B15" i="9"/>
  <c r="D11" i="9"/>
  <c r="D10" i="9"/>
  <c r="D8" i="9" s="1"/>
  <c r="D7" i="9"/>
  <c r="D6" i="9"/>
  <c r="C11" i="9"/>
  <c r="C8" i="9"/>
  <c r="D9" i="9"/>
  <c r="C9" i="9"/>
  <c r="C10" i="9"/>
  <c r="C7" i="9"/>
  <c r="C6" i="9"/>
  <c r="B11" i="9"/>
  <c r="B8" i="9"/>
  <c r="B10" i="9"/>
  <c r="B9" i="9"/>
  <c r="B7" i="9"/>
  <c r="B6" i="9"/>
  <c r="B5" i="6"/>
  <c r="B4" i="6"/>
  <c r="D12" i="5"/>
  <c r="C12" i="5"/>
  <c r="B12" i="5"/>
  <c r="B3" i="5"/>
  <c r="B5" i="4"/>
  <c r="B8" i="4" s="1"/>
  <c r="B3" i="11" s="1"/>
  <c r="B2" i="1"/>
  <c r="B3" i="1"/>
  <c r="C4" i="12" l="1"/>
  <c r="C3" i="12" s="1"/>
  <c r="B13" i="5"/>
  <c r="B14" i="5" s="1"/>
  <c r="C8" i="4"/>
  <c r="C3" i="11" s="1"/>
  <c r="B13" i="12"/>
  <c r="B19" i="9"/>
  <c r="B4" i="11" l="1"/>
  <c r="B6" i="11" s="1"/>
  <c r="B8" i="11" s="1"/>
  <c r="C10" i="12"/>
  <c r="D4" i="12"/>
  <c r="D3" i="12" s="1"/>
  <c r="C13" i="5"/>
  <c r="C14" i="5" s="1"/>
  <c r="D8" i="4"/>
  <c r="B20" i="9"/>
  <c r="C15" i="9" s="1"/>
  <c r="C11" i="12" l="1"/>
  <c r="C8" i="12" s="1"/>
  <c r="C12" i="12" s="1"/>
  <c r="D13" i="5"/>
  <c r="D14" i="5" s="1"/>
  <c r="E4" i="12"/>
  <c r="E3" i="12" s="1"/>
  <c r="D3" i="11"/>
  <c r="C4" i="11"/>
  <c r="C6" i="11" s="1"/>
  <c r="C8" i="11" s="1"/>
  <c r="C9" i="11" s="1"/>
  <c r="D10" i="12"/>
  <c r="C19" i="9"/>
  <c r="D15" i="9"/>
  <c r="B10" i="11" l="1"/>
  <c r="D11" i="12"/>
  <c r="D8" i="12" s="1"/>
  <c r="D12" i="12" s="1"/>
  <c r="C13" i="12"/>
  <c r="D4" i="11"/>
  <c r="D6" i="11" s="1"/>
  <c r="D8" i="11" s="1"/>
  <c r="D9" i="11" s="1"/>
  <c r="E10" i="12"/>
  <c r="D19" i="9"/>
  <c r="D20" i="9"/>
  <c r="C10" i="11" l="1"/>
  <c r="D13" i="12"/>
  <c r="E11" i="12"/>
  <c r="E8" i="12" s="1"/>
  <c r="E12" i="12" s="1"/>
  <c r="C14" i="12"/>
  <c r="D14" i="12" l="1"/>
  <c r="E13" i="12"/>
  <c r="B15" i="12" s="1"/>
  <c r="B16" i="12"/>
  <c r="B17" i="12"/>
  <c r="D10" i="11"/>
  <c r="E14" i="12" l="1"/>
  <c r="B18" i="12"/>
</calcChain>
</file>

<file path=xl/sharedStrings.xml><?xml version="1.0" encoding="utf-8"?>
<sst xmlns="http://schemas.openxmlformats.org/spreadsheetml/2006/main" count="175" uniqueCount="125">
  <si>
    <t>(1) Chi phí đầu tư ban đầu</t>
  </si>
  <si>
    <t>a. Chi phí cố định:</t>
  </si>
  <si>
    <t xml:space="preserve">   + Đặt cọc mặt bằng</t>
  </si>
  <si>
    <t xml:space="preserve">   + Chi phí thiết bị</t>
  </si>
  <si>
    <t xml:space="preserve">   + Chi phí cải tạo mặt bằng và thiết kế</t>
  </si>
  <si>
    <t>Đơn vị tính: đồng</t>
  </si>
  <si>
    <t>b. Vốn lưu động</t>
  </si>
  <si>
    <t>(2) Nguồn vốn</t>
  </si>
  <si>
    <t>40%</t>
  </si>
  <si>
    <t>16%</t>
  </si>
  <si>
    <t>Vốn vay</t>
  </si>
  <si>
    <t>60%</t>
  </si>
  <si>
    <t>chi phí đầu tư ban đầu</t>
  </si>
  <si>
    <t>a. Vốn chủ sở hữu</t>
  </si>
  <si>
    <t>b. Vốn vay</t>
  </si>
  <si>
    <t xml:space="preserve">   + Lãi kỳ vọng </t>
  </si>
  <si>
    <t xml:space="preserve">   + Lãi suất vay</t>
  </si>
  <si>
    <t xml:space="preserve">   + Thời gian trả nợ</t>
  </si>
  <si>
    <t>10%</t>
  </si>
  <si>
    <t>năm</t>
  </si>
  <si>
    <t xml:space="preserve">3 </t>
  </si>
  <si>
    <t>(3) Thời gian khấu hao của dự án</t>
  </si>
  <si>
    <t>3</t>
  </si>
  <si>
    <t xml:space="preserve">   Dòng đời dự án</t>
  </si>
  <si>
    <t>(4) Doanh thu</t>
  </si>
  <si>
    <t>Sản lượng tiêu thụ</t>
  </si>
  <si>
    <t>Giá bán</t>
  </si>
  <si>
    <t>Doanh thu</t>
  </si>
  <si>
    <t>Dự kiến tăng</t>
  </si>
  <si>
    <t>Năm</t>
  </si>
  <si>
    <t>ly/ngày</t>
  </si>
  <si>
    <t>đồng/năm</t>
  </si>
  <si>
    <t>đồng</t>
  </si>
  <si>
    <t>(5) Chi phí hoạt động</t>
  </si>
  <si>
    <t>a. Chi phí cố định</t>
  </si>
  <si>
    <t xml:space="preserve">   + Thuê mặt bằng</t>
  </si>
  <si>
    <t xml:space="preserve">   + Điện, nước</t>
  </si>
  <si>
    <t xml:space="preserve">   + Internet</t>
  </si>
  <si>
    <t xml:space="preserve">   + Lương nhân viên</t>
  </si>
  <si>
    <t xml:space="preserve">   + Khác</t>
  </si>
  <si>
    <t>Chi phí cố định dự kiến tăng</t>
  </si>
  <si>
    <t>b. Chi phí biến đổi</t>
  </si>
  <si>
    <t>đồng/tháng</t>
  </si>
  <si>
    <t>doanh thu</t>
  </si>
  <si>
    <t xml:space="preserve">Chi phí cố định </t>
  </si>
  <si>
    <t>Chi phí biến đổi</t>
  </si>
  <si>
    <t>Tổng chi phí hoạt động</t>
  </si>
  <si>
    <t>(6) Giá trị thu hồi</t>
  </si>
  <si>
    <t>Thanh lý TSCĐ sau thuế:</t>
  </si>
  <si>
    <t>Thu hồi tiền đặt cọc:</t>
  </si>
  <si>
    <t>Thu hồi vốn lưu động:</t>
  </si>
  <si>
    <t xml:space="preserve">(7) Thuế thu nhập doanh nghiệp (TNDN) </t>
  </si>
  <si>
    <t xml:space="preserve">Tổng vốn đầu tư: </t>
  </si>
  <si>
    <t>Nợ đầu năm</t>
  </si>
  <si>
    <t xml:space="preserve">   + Trả gốc đều:</t>
  </si>
  <si>
    <t xml:space="preserve">   + Trả lãi:</t>
  </si>
  <si>
    <t>Nợ cuối năm</t>
  </si>
  <si>
    <t xml:space="preserve">  Lãi phát sinh</t>
  </si>
  <si>
    <t xml:space="preserve">  Trả nợ</t>
  </si>
  <si>
    <t>Hạng mục</t>
  </si>
  <si>
    <t>Ký hiệu</t>
  </si>
  <si>
    <t>Công thức</t>
  </si>
  <si>
    <t>S</t>
  </si>
  <si>
    <t>P*Q</t>
  </si>
  <si>
    <t>Chi phí hoạt động</t>
  </si>
  <si>
    <t>O</t>
  </si>
  <si>
    <t>Khấu hao</t>
  </si>
  <si>
    <t>De</t>
  </si>
  <si>
    <t>Thu nhập trước thuế và lãi vay</t>
  </si>
  <si>
    <t>EBIT</t>
  </si>
  <si>
    <t>S-O-De</t>
  </si>
  <si>
    <t>Lãi vay</t>
  </si>
  <si>
    <t>I</t>
  </si>
  <si>
    <t>Bảng kế hoạch lãi vay</t>
  </si>
  <si>
    <t>Bảng chi phí</t>
  </si>
  <si>
    <t>Bảng khấu hao</t>
  </si>
  <si>
    <t>Thu nhập trước thuế</t>
  </si>
  <si>
    <t>EBT</t>
  </si>
  <si>
    <t>EBIT-I</t>
  </si>
  <si>
    <t>Thuế TNDN</t>
  </si>
  <si>
    <t>T</t>
  </si>
  <si>
    <t>EBT* thuế suất</t>
  </si>
  <si>
    <t>Thu nhập sau thuế</t>
  </si>
  <si>
    <t>EAT</t>
  </si>
  <si>
    <t>EBT-T</t>
  </si>
  <si>
    <t>Doanh thu (S)</t>
  </si>
  <si>
    <t>Chi phí hoạt động (O)</t>
  </si>
  <si>
    <t>Khấu hao (De)</t>
  </si>
  <si>
    <t>Thu nhập trước thuế và lãi vay (EBIT)</t>
  </si>
  <si>
    <t>Lãi vay (I)</t>
  </si>
  <si>
    <t>Thu nhập trước thuế (EBT)</t>
  </si>
  <si>
    <t>Thuế TNDN (T)</t>
  </si>
  <si>
    <t>Thu nhập sau thuế (EAT)</t>
  </si>
  <si>
    <t xml:space="preserve">1 </t>
  </si>
  <si>
    <t xml:space="preserve">2 </t>
  </si>
  <si>
    <t>Dòng tiền vào (Bt)</t>
  </si>
  <si>
    <t>Thu hồi tiền đặt cọc</t>
  </si>
  <si>
    <t>Thanh lý TSCĐ (sau thuế)</t>
  </si>
  <si>
    <t>Thu hồi vốn lưu động</t>
  </si>
  <si>
    <t>Dòng tiền ra (Ct)</t>
  </si>
  <si>
    <t>Chi đầu tư ban đầu</t>
  </si>
  <si>
    <t>Thuế thu nhập doanh nghiệp</t>
  </si>
  <si>
    <t>NPV</t>
  </si>
  <si>
    <t>r=</t>
  </si>
  <si>
    <t>CFn</t>
  </si>
  <si>
    <t>D: tỉ lệ % vốn vay trong vốn đầu tư</t>
  </si>
  <si>
    <t>E: tỉ lệ % vốn chủ sở hữu trong tổng vốn đầu tư</t>
  </si>
  <si>
    <t>rd: lãi vay</t>
  </si>
  <si>
    <t>re : lợi nhuận kỳ vọng vốn chủ sổ hữu</t>
  </si>
  <si>
    <t>- PMT(r;n;P)</t>
  </si>
  <si>
    <t xml:space="preserve">  Trả nợ (PMT)</t>
  </si>
  <si>
    <t>IRR</t>
  </si>
  <si>
    <t>Thời gian thu hồi vốn</t>
  </si>
  <si>
    <t>Dòng tiền lũy kế</t>
  </si>
  <si>
    <t>2 năm 6 tháng</t>
  </si>
  <si>
    <t xml:space="preserve">Sản lượng tiêu thụ </t>
  </si>
  <si>
    <t>ly/năm</t>
  </si>
  <si>
    <t>Chi phí biến đổi/ sp</t>
  </si>
  <si>
    <t>Sản lượng hòa vốn</t>
  </si>
  <si>
    <t>ly</t>
  </si>
  <si>
    <t>đồng/ly</t>
  </si>
  <si>
    <t>30% doanh thu/Q</t>
  </si>
  <si>
    <t>Dòng tiền ròng NCFt= Bt-Ct)</t>
  </si>
  <si>
    <t>% Biến phí/ Doanh thu</t>
  </si>
  <si>
    <t>NPV thay đổi theo sự thay đổi giá bán và biến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</si>
</sst>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rgb="FF0070C0"/>
      <name val="Arial"/>
      <family val="2"/>
    </font>
    <font>
      <b/>
      <i/>
      <sz val="14"/>
      <color rgb="FF0070C0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49" fontId="2" fillId="0" borderId="0" xfId="0" applyNumberFormat="1" applyFont="1"/>
    <xf numFmtId="2" fontId="2" fillId="0" borderId="0" xfId="1" applyNumberFormat="1" applyFont="1"/>
    <xf numFmtId="0" fontId="2" fillId="0" borderId="0" xfId="0" applyFont="1"/>
    <xf numFmtId="49" fontId="3" fillId="0" borderId="0" xfId="0" applyNumberFormat="1" applyFont="1"/>
    <xf numFmtId="3" fontId="3" fillId="0" borderId="0" xfId="1" applyNumberFormat="1" applyFont="1"/>
    <xf numFmtId="0" fontId="3" fillId="0" borderId="0" xfId="0" applyFont="1"/>
    <xf numFmtId="49" fontId="4" fillId="0" borderId="0" xfId="0" applyNumberFormat="1" applyFont="1"/>
    <xf numFmtId="3" fontId="4" fillId="0" borderId="0" xfId="1" applyNumberFormat="1" applyFont="1"/>
    <xf numFmtId="0" fontId="4" fillId="0" borderId="0" xfId="0" applyFont="1"/>
    <xf numFmtId="3" fontId="2" fillId="0" borderId="0" xfId="1" applyNumberFormat="1" applyFont="1"/>
    <xf numFmtId="43" fontId="2" fillId="0" borderId="0" xfId="1" applyFont="1"/>
    <xf numFmtId="49" fontId="0" fillId="0" borderId="0" xfId="0" applyNumberFormat="1"/>
    <xf numFmtId="49" fontId="5" fillId="0" borderId="0" xfId="0" applyNumberFormat="1" applyFont="1"/>
    <xf numFmtId="49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3" fontId="2" fillId="0" borderId="0" xfId="0" applyNumberFormat="1" applyFont="1"/>
    <xf numFmtId="9" fontId="2" fillId="0" borderId="0" xfId="0" applyNumberFormat="1" applyFont="1"/>
    <xf numFmtId="164" fontId="2" fillId="0" borderId="0" xfId="1" applyNumberFormat="1" applyFont="1"/>
    <xf numFmtId="3" fontId="3" fillId="0" borderId="0" xfId="0" applyNumberFormat="1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2" fillId="0" borderId="0" xfId="1" applyNumberFormat="1" applyFont="1"/>
    <xf numFmtId="165" fontId="3" fillId="0" borderId="0" xfId="1" applyNumberFormat="1" applyFont="1"/>
    <xf numFmtId="37" fontId="2" fillId="0" borderId="0" xfId="1" applyNumberFormat="1" applyFont="1"/>
    <xf numFmtId="164" fontId="3" fillId="0" borderId="0" xfId="1" applyNumberFormat="1" applyFont="1"/>
    <xf numFmtId="3" fontId="3" fillId="0" borderId="0" xfId="1" applyNumberFormat="1" applyFont="1" applyAlignment="1">
      <alignment horizontal="center"/>
    </xf>
    <xf numFmtId="3" fontId="5" fillId="0" borderId="0" xfId="0" applyNumberFormat="1" applyFont="1"/>
    <xf numFmtId="3" fontId="6" fillId="0" borderId="0" xfId="1" applyNumberFormat="1" applyFont="1"/>
    <xf numFmtId="0" fontId="8" fillId="0" borderId="0" xfId="0" applyFont="1"/>
    <xf numFmtId="3" fontId="8" fillId="0" borderId="0" xfId="1" applyNumberFormat="1" applyFont="1"/>
    <xf numFmtId="3" fontId="8" fillId="0" borderId="0" xfId="0" applyNumberFormat="1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0" fillId="0" borderId="1" xfId="0" applyNumberFormat="1" applyBorder="1"/>
    <xf numFmtId="3" fontId="2" fillId="0" borderId="1" xfId="1" applyNumberFormat="1" applyFont="1" applyBorder="1"/>
    <xf numFmtId="3" fontId="2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center"/>
    </xf>
    <xf numFmtId="10" fontId="2" fillId="0" borderId="0" xfId="0" applyNumberFormat="1" applyFont="1"/>
    <xf numFmtId="0" fontId="9" fillId="0" borderId="0" xfId="0" applyFont="1" applyAlignment="1">
      <alignment horizontal="justify" vertical="center"/>
    </xf>
    <xf numFmtId="49" fontId="8" fillId="0" borderId="0" xfId="0" applyNumberFormat="1" applyFont="1"/>
    <xf numFmtId="9" fontId="8" fillId="0" borderId="0" xfId="2" applyFont="1"/>
    <xf numFmtId="0" fontId="10" fillId="0" borderId="0" xfId="0" applyFont="1"/>
    <xf numFmtId="2" fontId="2" fillId="0" borderId="0" xfId="0" applyNumberFormat="1" applyFont="1"/>
    <xf numFmtId="3" fontId="2" fillId="2" borderId="0" xfId="0" applyNumberFormat="1" applyFont="1" applyFill="1"/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3" fontId="12" fillId="0" borderId="0" xfId="0" applyNumberFormat="1" applyFont="1"/>
    <xf numFmtId="0" fontId="12" fillId="0" borderId="0" xfId="0" applyFont="1" applyAlignment="1">
      <alignment horizontal="center"/>
    </xf>
    <xf numFmtId="3" fontId="12" fillId="0" borderId="1" xfId="0" applyNumberFormat="1" applyFont="1" applyBorder="1"/>
    <xf numFmtId="9" fontId="12" fillId="0" borderId="1" xfId="0" applyNumberFormat="1" applyFont="1" applyBorder="1" applyAlignment="1">
      <alignment horizontal="center"/>
    </xf>
    <xf numFmtId="3" fontId="11" fillId="0" borderId="1" xfId="0" applyNumberFormat="1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64" fontId="8" fillId="0" borderId="0" xfId="1" applyNumberFormat="1" applyFont="1"/>
    <xf numFmtId="9" fontId="2" fillId="2" borderId="0" xfId="0" applyNumberFormat="1" applyFont="1" applyFill="1"/>
    <xf numFmtId="0" fontId="8" fillId="0" borderId="1" xfId="0" applyFont="1" applyBorder="1"/>
    <xf numFmtId="3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3" fontId="13" fillId="0" borderId="1" xfId="0" applyNumberFormat="1" applyFont="1" applyBorder="1"/>
    <xf numFmtId="3" fontId="13" fillId="2" borderId="1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625928</xdr:colOff>
      <xdr:row>18</xdr:row>
      <xdr:rowOff>266699</xdr:rowOff>
    </xdr:from>
    <xdr:to>
      <xdr:col>4</xdr:col>
      <xdr:colOff>485466</xdr:colOff>
      <xdr:row>20</xdr:row>
      <xdr:rowOff>146128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9AA28C-1ECC-4850-AEA0-6D82DF094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7157" y="5230585"/>
          <a:ext cx="2091109" cy="499915"/>
        </a:xfrm>
        <a:prstGeom prst="rect">
          <a:avLst/>
        </a:prstGeom>
      </xdr:spPr>
    </xdr:pic>
    <xdr:clientData/>
  </xdr:twoCellAnchor>
  <xdr:twoCellAnchor editAs="oneCell">
    <xdr:from>
      <xdr:col>2</xdr:col>
      <xdr:colOff>201385</xdr:colOff>
      <xdr:row>14</xdr:row>
      <xdr:rowOff>190500</xdr:rowOff>
    </xdr:from>
    <xdr:to>
      <xdr:col>4</xdr:col>
      <xdr:colOff>560614</xdr:colOff>
      <xdr:row>16</xdr:row>
      <xdr:rowOff>39279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B7BE7D-4BB0-4671-A411-411893027F2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2614" y="4223657"/>
          <a:ext cx="2590800" cy="469265"/>
        </a:xfrm>
        <a:prstGeom prst="rect">
          <a:avLst/>
        </a:prstGeom>
      </xdr:spPr>
    </xdr:pic>
    <xdr:clientData/>
  </xdr:twoCellAnchor>
  <xdr:twoCellAnchor editAs="oneCell">
    <xdr:from>
      <xdr:col>4</xdr:col>
      <xdr:colOff>778328</xdr:colOff>
      <xdr:row>14</xdr:row>
      <xdr:rowOff>130629</xdr:rowOff>
    </xdr:from>
    <xdr:to>
      <xdr:col>7</xdr:col>
      <xdr:colOff>303664</xdr:colOff>
      <xdr:row>15</xdr:row>
      <xdr:rowOff>302012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EE41E9-D740-478C-8686-A50D6B6E6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1128" y="4163786"/>
          <a:ext cx="1969179" cy="481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8772-254D-4511-AC30-41FF03C47D1C}">
  <dimension ref="A1:J24"/>
  <sheetViews>
    <sheetView workbookViewId="0">
      <selection activeCell="A5" sqref="A5:B6"/>
    </sheetView>
  </sheetViews>
  <sheetFormatPr defaultRowHeight="21" customHeight="1" x14ac:dyDescent="0.4"/>
  <cols>
    <col min="1" max="1" width="44.23046875" style="1" bestFit="1" customWidth="1"/>
    <col min="2" max="2" width="17.23046875" style="2" bestFit="1" customWidth="1"/>
    <col min="3" max="10" width="9.23046875" style="1"/>
    <col min="11" max="16384" width="9.23046875" style="3"/>
  </cols>
  <sheetData>
    <row r="1" spans="1:10" ht="21" customHeight="1" x14ac:dyDescent="0.4">
      <c r="B1" s="2" t="s">
        <v>5</v>
      </c>
    </row>
    <row r="2" spans="1:10" s="6" customFormat="1" ht="21" customHeight="1" x14ac:dyDescent="0.4">
      <c r="A2" s="4" t="s">
        <v>0</v>
      </c>
      <c r="B2" s="5">
        <f>B3+B7</f>
        <v>150000000</v>
      </c>
      <c r="C2" s="4"/>
      <c r="D2" s="4"/>
      <c r="E2" s="4"/>
      <c r="F2" s="4"/>
      <c r="G2" s="4"/>
      <c r="H2" s="4"/>
      <c r="I2" s="4"/>
      <c r="J2" s="4"/>
    </row>
    <row r="3" spans="1:10" s="9" customFormat="1" ht="21" customHeight="1" x14ac:dyDescent="0.4">
      <c r="A3" s="7" t="s">
        <v>1</v>
      </c>
      <c r="B3" s="8">
        <f>SUM(B4:B6)</f>
        <v>140000000</v>
      </c>
      <c r="C3" s="7"/>
      <c r="D3" s="7"/>
      <c r="E3" s="7"/>
      <c r="F3" s="7"/>
      <c r="G3" s="7"/>
      <c r="H3" s="7"/>
      <c r="I3" s="7"/>
      <c r="J3" s="7"/>
    </row>
    <row r="4" spans="1:10" ht="21" customHeight="1" x14ac:dyDescent="0.4">
      <c r="A4" s="1" t="s">
        <v>2</v>
      </c>
      <c r="B4" s="10">
        <v>20000000</v>
      </c>
    </row>
    <row r="5" spans="1:10" ht="21" customHeight="1" x14ac:dyDescent="0.4">
      <c r="A5" s="1" t="s">
        <v>3</v>
      </c>
      <c r="B5" s="10">
        <v>100000000</v>
      </c>
    </row>
    <row r="6" spans="1:10" ht="21" customHeight="1" x14ac:dyDescent="0.4">
      <c r="A6" s="1" t="s">
        <v>4</v>
      </c>
      <c r="B6" s="10">
        <v>20000000</v>
      </c>
    </row>
    <row r="7" spans="1:10" s="9" customFormat="1" ht="21" customHeight="1" x14ac:dyDescent="0.4">
      <c r="A7" s="7" t="s">
        <v>6</v>
      </c>
      <c r="B7" s="8">
        <v>10000000</v>
      </c>
      <c r="C7" s="7"/>
      <c r="D7" s="7"/>
      <c r="E7" s="7"/>
      <c r="F7" s="7"/>
      <c r="G7" s="7"/>
      <c r="H7" s="7"/>
      <c r="I7" s="7"/>
      <c r="J7" s="7"/>
    </row>
    <row r="8" spans="1:10" ht="21" customHeight="1" x14ac:dyDescent="0.4">
      <c r="B8" s="10"/>
    </row>
    <row r="9" spans="1:10" ht="21" customHeight="1" x14ac:dyDescent="0.4">
      <c r="B9" s="10"/>
    </row>
    <row r="10" spans="1:10" ht="21" customHeight="1" x14ac:dyDescent="0.4">
      <c r="B10" s="10"/>
    </row>
    <row r="11" spans="1:10" ht="21" customHeight="1" x14ac:dyDescent="0.4">
      <c r="B11" s="10"/>
    </row>
    <row r="12" spans="1:10" ht="21" customHeight="1" x14ac:dyDescent="0.4">
      <c r="B12" s="10"/>
    </row>
    <row r="13" spans="1:10" ht="21" customHeight="1" x14ac:dyDescent="0.4">
      <c r="B13" s="10"/>
    </row>
    <row r="14" spans="1:10" ht="21" customHeight="1" x14ac:dyDescent="0.4">
      <c r="B14" s="10"/>
    </row>
    <row r="15" spans="1:10" ht="21" customHeight="1" x14ac:dyDescent="0.4">
      <c r="B15" s="10"/>
    </row>
    <row r="16" spans="1:10" ht="21" customHeight="1" x14ac:dyDescent="0.4">
      <c r="B16" s="10"/>
    </row>
    <row r="17" spans="2:2" ht="21" customHeight="1" x14ac:dyDescent="0.4">
      <c r="B17" s="10"/>
    </row>
    <row r="18" spans="2:2" ht="21" customHeight="1" x14ac:dyDescent="0.4">
      <c r="B18" s="10"/>
    </row>
    <row r="23" spans="2:2" ht="21" customHeight="1" x14ac:dyDescent="0.4">
      <c r="B23" s="11"/>
    </row>
    <row r="24" spans="2:2" ht="21" customHeight="1" x14ac:dyDescent="0.4">
      <c r="B2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E89C-8AEB-4393-8789-194CF3ADA034}">
  <dimension ref="A2:C7"/>
  <sheetViews>
    <sheetView workbookViewId="0">
      <selection activeCell="A5" sqref="A5:C7"/>
    </sheetView>
  </sheetViews>
  <sheetFormatPr defaultRowHeight="21.55" customHeight="1" x14ac:dyDescent="0.4"/>
  <cols>
    <col min="1" max="1" width="23.3828125" style="1" bestFit="1" customWidth="1"/>
    <col min="2" max="2" width="6.921875" style="1" bestFit="1" customWidth="1"/>
    <col min="3" max="3" width="28.3828125" style="1" bestFit="1" customWidth="1"/>
    <col min="4" max="16384" width="9.23046875" style="1"/>
  </cols>
  <sheetData>
    <row r="2" spans="1:3" s="4" customFormat="1" ht="21.55" customHeight="1" x14ac:dyDescent="0.4">
      <c r="A2" s="4" t="s">
        <v>7</v>
      </c>
    </row>
    <row r="3" spans="1:3" ht="21.55" customHeight="1" x14ac:dyDescent="0.4">
      <c r="A3" s="7" t="s">
        <v>13</v>
      </c>
      <c r="B3" s="1" t="s">
        <v>8</v>
      </c>
    </row>
    <row r="4" spans="1:3" s="13" customFormat="1" ht="21.55" customHeight="1" x14ac:dyDescent="0.45">
      <c r="A4" s="13" t="s">
        <v>15</v>
      </c>
      <c r="B4" s="13" t="s">
        <v>9</v>
      </c>
    </row>
    <row r="5" spans="1:3" s="7" customFormat="1" ht="21.55" customHeight="1" x14ac:dyDescent="0.45">
      <c r="A5" s="7" t="s">
        <v>14</v>
      </c>
      <c r="B5" s="7" t="s">
        <v>11</v>
      </c>
      <c r="C5" s="13" t="s">
        <v>12</v>
      </c>
    </row>
    <row r="6" spans="1:3" s="13" customFormat="1" ht="21.55" customHeight="1" x14ac:dyDescent="0.45">
      <c r="A6" s="13" t="s">
        <v>16</v>
      </c>
      <c r="B6" s="13" t="s">
        <v>18</v>
      </c>
      <c r="C6" s="13" t="s">
        <v>19</v>
      </c>
    </row>
    <row r="7" spans="1:3" s="13" customFormat="1" ht="21.55" customHeight="1" x14ac:dyDescent="0.45">
      <c r="A7" s="13" t="s">
        <v>17</v>
      </c>
      <c r="B7" s="13" t="s">
        <v>20</v>
      </c>
      <c r="C7" s="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6839-235A-42D2-BF1D-50CCC0596934}">
  <dimension ref="A2:E18"/>
  <sheetViews>
    <sheetView workbookViewId="0">
      <selection activeCell="A4" sqref="A4"/>
    </sheetView>
  </sheetViews>
  <sheetFormatPr defaultRowHeight="20.25" customHeight="1" x14ac:dyDescent="0.45"/>
  <cols>
    <col min="1" max="1" width="44.23046875" style="12" bestFit="1" customWidth="1"/>
    <col min="2" max="2" width="14.921875" style="12" bestFit="1" customWidth="1"/>
    <col min="3" max="3" width="13.53515625" style="13" bestFit="1" customWidth="1"/>
    <col min="4" max="4" width="13.53515625" style="12" bestFit="1" customWidth="1"/>
    <col min="5" max="16384" width="9.23046875" style="12"/>
  </cols>
  <sheetData>
    <row r="2" spans="1:5" ht="20.25" customHeight="1" x14ac:dyDescent="0.45">
      <c r="A2" s="44" t="s">
        <v>21</v>
      </c>
      <c r="B2" s="45" t="s">
        <v>22</v>
      </c>
      <c r="C2" s="46" t="s">
        <v>19</v>
      </c>
      <c r="D2" s="47"/>
    </row>
    <row r="3" spans="1:5" ht="20.25" customHeight="1" x14ac:dyDescent="0.45">
      <c r="A3" s="44" t="s">
        <v>23</v>
      </c>
      <c r="B3" s="45" t="s">
        <v>20</v>
      </c>
      <c r="C3" s="46" t="s">
        <v>19</v>
      </c>
      <c r="D3" s="47"/>
    </row>
    <row r="4" spans="1:5" ht="20.25" customHeight="1" x14ac:dyDescent="0.45">
      <c r="A4" s="44" t="s">
        <v>3</v>
      </c>
      <c r="B4" s="48">
        <v>100000000</v>
      </c>
      <c r="C4" s="46" t="s">
        <v>32</v>
      </c>
      <c r="D4" s="47"/>
    </row>
    <row r="5" spans="1:5" ht="20.25" customHeight="1" x14ac:dyDescent="0.45">
      <c r="A5" s="44" t="s">
        <v>4</v>
      </c>
      <c r="B5" s="48">
        <v>20000000</v>
      </c>
      <c r="C5" s="46" t="s">
        <v>32</v>
      </c>
      <c r="D5" s="47"/>
    </row>
    <row r="6" spans="1:5" ht="20.25" customHeight="1" x14ac:dyDescent="0.45">
      <c r="A6" s="44"/>
      <c r="B6" s="49">
        <f>SUM(B4:B5)</f>
        <v>120000000</v>
      </c>
      <c r="C6" s="46" t="s">
        <v>32</v>
      </c>
      <c r="D6" s="44"/>
      <c r="E6" s="1"/>
    </row>
    <row r="7" spans="1:5" s="43" customFormat="1" ht="20.25" customHeight="1" x14ac:dyDescent="0.45">
      <c r="A7" s="45" t="s">
        <v>29</v>
      </c>
      <c r="B7" s="45" t="s">
        <v>93</v>
      </c>
      <c r="C7" s="50" t="s">
        <v>94</v>
      </c>
      <c r="D7" s="45" t="s">
        <v>22</v>
      </c>
      <c r="E7" s="14"/>
    </row>
    <row r="8" spans="1:5" ht="20.25" customHeight="1" x14ac:dyDescent="0.4">
      <c r="A8" s="44" t="s">
        <v>66</v>
      </c>
      <c r="B8" s="49">
        <f>B6/3</f>
        <v>40000000</v>
      </c>
      <c r="C8" s="49">
        <f>B6/3</f>
        <v>40000000</v>
      </c>
      <c r="D8" s="49">
        <f>B6/3</f>
        <v>40000000</v>
      </c>
      <c r="E8" s="1"/>
    </row>
    <row r="9" spans="1:5" ht="20.25" customHeight="1" x14ac:dyDescent="0.45">
      <c r="A9" s="1"/>
      <c r="B9" s="20"/>
      <c r="C9" s="32"/>
      <c r="D9" s="20"/>
      <c r="E9" s="1"/>
    </row>
    <row r="10" spans="1:5" ht="20.25" customHeight="1" x14ac:dyDescent="0.45">
      <c r="A10" s="1"/>
      <c r="B10" s="20"/>
      <c r="C10" s="32"/>
      <c r="D10" s="20"/>
      <c r="E10" s="1"/>
    </row>
    <row r="11" spans="1:5" ht="20.25" customHeight="1" x14ac:dyDescent="0.45">
      <c r="A11" s="1"/>
      <c r="B11" s="20"/>
      <c r="C11" s="32"/>
      <c r="D11" s="20"/>
      <c r="E11" s="1"/>
    </row>
    <row r="12" spans="1:5" ht="20.25" customHeight="1" x14ac:dyDescent="0.45">
      <c r="A12" s="1"/>
      <c r="B12" s="1"/>
      <c r="D12" s="1"/>
      <c r="E12" s="1"/>
    </row>
    <row r="13" spans="1:5" ht="20.25" customHeight="1" x14ac:dyDescent="0.45">
      <c r="A13" s="1"/>
      <c r="B13" s="1"/>
      <c r="D13" s="1"/>
      <c r="E13" s="1"/>
    </row>
    <row r="14" spans="1:5" ht="20.25" customHeight="1" x14ac:dyDescent="0.45">
      <c r="A14" s="1"/>
      <c r="B14" s="1"/>
      <c r="D14" s="1"/>
      <c r="E14" s="1"/>
    </row>
    <row r="15" spans="1:5" ht="20.25" customHeight="1" x14ac:dyDescent="0.45">
      <c r="A15" s="1"/>
      <c r="B15" s="1"/>
      <c r="D15" s="1"/>
      <c r="E15" s="1"/>
    </row>
    <row r="16" spans="1:5" ht="20.25" customHeight="1" x14ac:dyDescent="0.45">
      <c r="A16" s="1"/>
      <c r="B16" s="1"/>
      <c r="D16" s="1"/>
      <c r="E16" s="1"/>
    </row>
    <row r="17" spans="1:5" ht="20.25" customHeight="1" x14ac:dyDescent="0.45">
      <c r="A17" s="1"/>
      <c r="B17" s="1"/>
      <c r="D17" s="1"/>
      <c r="E17" s="1"/>
    </row>
    <row r="18" spans="1:5" ht="20.25" customHeight="1" x14ac:dyDescent="0.45">
      <c r="A18" s="1"/>
      <c r="B18" s="1"/>
      <c r="D18" s="1"/>
      <c r="E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A76B-4900-4945-B5F7-7219FBAC851E}">
  <dimension ref="A2:D8"/>
  <sheetViews>
    <sheetView workbookViewId="0">
      <selection activeCell="B5" sqref="B5"/>
    </sheetView>
  </sheetViews>
  <sheetFormatPr defaultRowHeight="20.25" customHeight="1" x14ac:dyDescent="0.45"/>
  <cols>
    <col min="1" max="1" width="22.4609375" style="3" bestFit="1" customWidth="1"/>
    <col min="2" max="2" width="16" style="3" customWidth="1"/>
    <col min="3" max="3" width="20.15234375" style="17" bestFit="1" customWidth="1"/>
    <col min="4" max="4" width="20.15234375" style="3" bestFit="1" customWidth="1"/>
    <col min="5" max="5" width="17" style="3" bestFit="1" customWidth="1"/>
    <col min="6" max="7" width="14.921875" style="3" bestFit="1" customWidth="1"/>
    <col min="8" max="16384" width="9.23046875" style="3"/>
  </cols>
  <sheetData>
    <row r="2" spans="1:4" s="6" customFormat="1" ht="20.25" customHeight="1" x14ac:dyDescent="0.4">
      <c r="A2" s="6" t="s">
        <v>24</v>
      </c>
      <c r="C2" s="18"/>
    </row>
    <row r="3" spans="1:4" ht="20.25" customHeight="1" x14ac:dyDescent="0.45">
      <c r="A3" s="3" t="s">
        <v>25</v>
      </c>
      <c r="B3" s="20">
        <v>125</v>
      </c>
      <c r="C3" s="17" t="s">
        <v>30</v>
      </c>
      <c r="D3" s="20"/>
    </row>
    <row r="4" spans="1:4" ht="20.25" customHeight="1" x14ac:dyDescent="0.45">
      <c r="A4" s="3" t="s">
        <v>26</v>
      </c>
      <c r="B4" s="59">
        <v>15000</v>
      </c>
      <c r="C4" s="17" t="s">
        <v>120</v>
      </c>
    </row>
    <row r="5" spans="1:4" ht="20.25" customHeight="1" x14ac:dyDescent="0.45">
      <c r="A5" s="3" t="s">
        <v>27</v>
      </c>
      <c r="B5" s="20">
        <f>B3*B4*360</f>
        <v>675000000</v>
      </c>
      <c r="C5" s="17" t="s">
        <v>31</v>
      </c>
    </row>
    <row r="6" spans="1:4" ht="20.25" customHeight="1" x14ac:dyDescent="0.45">
      <c r="A6" s="3" t="s">
        <v>28</v>
      </c>
      <c r="B6" s="21">
        <v>0.1</v>
      </c>
      <c r="C6" s="17" t="s">
        <v>19</v>
      </c>
    </row>
    <row r="7" spans="1:4" ht="20.25" customHeight="1" x14ac:dyDescent="0.4">
      <c r="A7" s="3" t="s">
        <v>29</v>
      </c>
      <c r="B7" s="16">
        <v>1</v>
      </c>
      <c r="C7" s="19">
        <v>2</v>
      </c>
      <c r="D7" s="16">
        <v>3</v>
      </c>
    </row>
    <row r="8" spans="1:4" s="34" customFormat="1" ht="20.25" customHeight="1" x14ac:dyDescent="0.4">
      <c r="A8" s="34" t="s">
        <v>27</v>
      </c>
      <c r="B8" s="36">
        <f>B5</f>
        <v>675000000</v>
      </c>
      <c r="C8" s="70">
        <f>B8*1.1</f>
        <v>742500000.00000012</v>
      </c>
      <c r="D8" s="70">
        <f>C8*1.1</f>
        <v>816750000.00000024</v>
      </c>
    </row>
  </sheetData>
  <pageMargins left="0.7" right="0.7" top="0.75" bottom="0.75" header="0.3" footer="0.3"/>
  <pageSetup paperSiz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D592-E971-4F57-B3A0-6B357C9DD456}">
  <dimension ref="A2:E14"/>
  <sheetViews>
    <sheetView topLeftCell="A7" workbookViewId="0">
      <selection activeCell="B11" sqref="B11"/>
    </sheetView>
  </sheetViews>
  <sheetFormatPr defaultRowHeight="18.899999999999999" customHeight="1" x14ac:dyDescent="0.45"/>
  <cols>
    <col min="1" max="1" width="32.3828125" style="3" bestFit="1" customWidth="1"/>
    <col min="2" max="2" width="15.61328125" style="20" bestFit="1" customWidth="1"/>
    <col min="3" max="3" width="15.765625" style="17" bestFit="1" customWidth="1"/>
    <col min="4" max="4" width="15.765625" style="3" bestFit="1" customWidth="1"/>
    <col min="5" max="16384" width="9.23046875" style="3"/>
  </cols>
  <sheetData>
    <row r="2" spans="1:5" s="6" customFormat="1" ht="18.899999999999999" customHeight="1" x14ac:dyDescent="0.4">
      <c r="A2" s="6" t="s">
        <v>33</v>
      </c>
      <c r="B2" s="23"/>
      <c r="C2" s="18"/>
    </row>
    <row r="3" spans="1:5" s="9" customFormat="1" ht="18.899999999999999" customHeight="1" x14ac:dyDescent="0.45">
      <c r="A3" s="9" t="s">
        <v>34</v>
      </c>
      <c r="B3" s="24">
        <f>SUM(B4:B8)</f>
        <v>35000000</v>
      </c>
      <c r="C3" s="17" t="s">
        <v>42</v>
      </c>
    </row>
    <row r="4" spans="1:5" ht="18.899999999999999" customHeight="1" x14ac:dyDescent="0.45">
      <c r="A4" s="3" t="s">
        <v>35</v>
      </c>
      <c r="B4" s="20">
        <v>10000000</v>
      </c>
      <c r="C4" s="17" t="s">
        <v>42</v>
      </c>
    </row>
    <row r="5" spans="1:5" ht="18.899999999999999" customHeight="1" x14ac:dyDescent="0.45">
      <c r="A5" s="3" t="s">
        <v>36</v>
      </c>
      <c r="B5" s="20">
        <v>2000000</v>
      </c>
      <c r="C5" s="17" t="s">
        <v>42</v>
      </c>
    </row>
    <row r="6" spans="1:5" ht="18.899999999999999" customHeight="1" x14ac:dyDescent="0.45">
      <c r="A6" s="3" t="s">
        <v>37</v>
      </c>
      <c r="B6" s="20">
        <v>2000000</v>
      </c>
      <c r="C6" s="17" t="s">
        <v>42</v>
      </c>
    </row>
    <row r="7" spans="1:5" ht="18.899999999999999" customHeight="1" x14ac:dyDescent="0.45">
      <c r="A7" s="3" t="s">
        <v>38</v>
      </c>
      <c r="B7" s="20">
        <v>20000000</v>
      </c>
      <c r="C7" s="17" t="s">
        <v>42</v>
      </c>
    </row>
    <row r="8" spans="1:5" ht="18.899999999999999" customHeight="1" x14ac:dyDescent="0.45">
      <c r="A8" s="3" t="s">
        <v>39</v>
      </c>
      <c r="B8" s="20">
        <v>1000000</v>
      </c>
      <c r="C8" s="17" t="s">
        <v>42</v>
      </c>
    </row>
    <row r="9" spans="1:5" ht="18.899999999999999" customHeight="1" x14ac:dyDescent="0.45">
      <c r="A9" s="3" t="s">
        <v>40</v>
      </c>
      <c r="B9" s="21">
        <v>0.05</v>
      </c>
      <c r="C9" s="17" t="s">
        <v>19</v>
      </c>
    </row>
    <row r="10" spans="1:5" s="9" customFormat="1" ht="18.899999999999999" customHeight="1" x14ac:dyDescent="0.45">
      <c r="A10" s="9" t="s">
        <v>41</v>
      </c>
      <c r="B10" s="71">
        <v>0.3</v>
      </c>
      <c r="C10" s="17" t="s">
        <v>43</v>
      </c>
    </row>
    <row r="11" spans="1:5" s="25" customFormat="1" ht="18.899999999999999" customHeight="1" x14ac:dyDescent="0.4">
      <c r="A11" s="25" t="s">
        <v>29</v>
      </c>
      <c r="B11" s="26">
        <v>1</v>
      </c>
      <c r="C11" s="25">
        <v>2</v>
      </c>
      <c r="D11" s="25">
        <v>3</v>
      </c>
    </row>
    <row r="12" spans="1:5" ht="18.899999999999999" customHeight="1" x14ac:dyDescent="0.4">
      <c r="A12" s="3" t="s">
        <v>44</v>
      </c>
      <c r="B12" s="20">
        <f>B3*12</f>
        <v>420000000</v>
      </c>
      <c r="C12" s="29">
        <f>B12*1.05</f>
        <v>441000000</v>
      </c>
      <c r="D12" s="29">
        <f>C12*1.05</f>
        <v>463050000</v>
      </c>
      <c r="E12" s="27"/>
    </row>
    <row r="13" spans="1:5" ht="18.899999999999999" customHeight="1" x14ac:dyDescent="0.4">
      <c r="A13" s="3" t="s">
        <v>45</v>
      </c>
      <c r="B13" s="20">
        <f>B10*'doanh thu'!B8</f>
        <v>202500000</v>
      </c>
      <c r="C13" s="29">
        <f>B10*'doanh thu'!C8</f>
        <v>222750000.00000003</v>
      </c>
      <c r="D13" s="29">
        <f>B10*'doanh thu'!D8</f>
        <v>245025000.00000006</v>
      </c>
      <c r="E13" s="27"/>
    </row>
    <row r="14" spans="1:5" s="6" customFormat="1" ht="18.899999999999999" customHeight="1" x14ac:dyDescent="0.4">
      <c r="A14" s="6" t="s">
        <v>46</v>
      </c>
      <c r="B14" s="23">
        <f>SUM(B12:B13)</f>
        <v>622500000</v>
      </c>
      <c r="C14" s="23">
        <f t="shared" ref="C14:D14" si="0">SUM(C12:C13)</f>
        <v>663750000</v>
      </c>
      <c r="D14" s="23">
        <f t="shared" si="0"/>
        <v>708075000</v>
      </c>
      <c r="E14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D3DF-A99B-4417-90EE-391F759C0085}">
  <dimension ref="A2:C5"/>
  <sheetViews>
    <sheetView workbookViewId="0">
      <selection activeCell="A11" sqref="A11"/>
    </sheetView>
  </sheetViews>
  <sheetFormatPr defaultRowHeight="18" customHeight="1" x14ac:dyDescent="0.4"/>
  <cols>
    <col min="1" max="1" width="28.61328125" style="3" bestFit="1" customWidth="1"/>
    <col min="2" max="2" width="17.3828125" style="22" bestFit="1" customWidth="1"/>
    <col min="3" max="16384" width="9.23046875" style="3"/>
  </cols>
  <sheetData>
    <row r="2" spans="1:3" s="6" customFormat="1" ht="18" customHeight="1" x14ac:dyDescent="0.4">
      <c r="A2" s="6" t="s">
        <v>47</v>
      </c>
      <c r="B2" s="30"/>
    </row>
    <row r="3" spans="1:3" ht="18" customHeight="1" x14ac:dyDescent="0.4">
      <c r="A3" s="3" t="s">
        <v>48</v>
      </c>
      <c r="B3" s="22">
        <v>5000000</v>
      </c>
      <c r="C3" s="3" t="s">
        <v>32</v>
      </c>
    </row>
    <row r="4" spans="1:3" ht="18" customHeight="1" x14ac:dyDescent="0.4">
      <c r="A4" s="3" t="s">
        <v>49</v>
      </c>
      <c r="B4" s="22">
        <f>'đầu tư ban đầu'!B4</f>
        <v>20000000</v>
      </c>
      <c r="C4" s="3" t="s">
        <v>32</v>
      </c>
    </row>
    <row r="5" spans="1:3" ht="18" customHeight="1" x14ac:dyDescent="0.4">
      <c r="A5" s="3" t="s">
        <v>50</v>
      </c>
      <c r="B5" s="22">
        <f>'đầu tư ban đầu'!B7</f>
        <v>10000000</v>
      </c>
      <c r="C5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5B8-492F-4B92-AD53-E619F557E2D3}">
  <dimension ref="A2:B2"/>
  <sheetViews>
    <sheetView workbookViewId="0">
      <selection activeCell="A2" sqref="A2:B2"/>
    </sheetView>
  </sheetViews>
  <sheetFormatPr defaultRowHeight="17.600000000000001" customHeight="1" x14ac:dyDescent="0.4"/>
  <cols>
    <col min="1" max="1" width="47.23046875" style="3" bestFit="1" customWidth="1"/>
    <col min="2" max="16384" width="9.23046875" style="3"/>
  </cols>
  <sheetData>
    <row r="2" spans="1:2" ht="17.600000000000001" customHeight="1" x14ac:dyDescent="0.4">
      <c r="A2" s="3" t="s">
        <v>51</v>
      </c>
      <c r="B2" s="21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23F4-E839-4F1E-9BA8-C453D4E9C876}">
  <dimension ref="A1:G20"/>
  <sheetViews>
    <sheetView topLeftCell="A13" workbookViewId="0">
      <selection activeCell="A21" sqref="A21"/>
    </sheetView>
  </sheetViews>
  <sheetFormatPr defaultRowHeight="18.55" customHeight="1" x14ac:dyDescent="0.4"/>
  <cols>
    <col min="1" max="1" width="23.84375" style="3" bestFit="1" customWidth="1"/>
    <col min="2" max="2" width="14.921875" style="10" bestFit="1" customWidth="1"/>
    <col min="3" max="3" width="14.4609375" style="3" bestFit="1" customWidth="1"/>
    <col min="4" max="4" width="15.61328125" style="20" bestFit="1" customWidth="1"/>
    <col min="5" max="5" width="14.921875" style="3" bestFit="1" customWidth="1"/>
    <col min="6" max="16384" width="9.23046875" style="3"/>
  </cols>
  <sheetData>
    <row r="1" spans="1:5" ht="18.55" customHeight="1" x14ac:dyDescent="0.4">
      <c r="A1" s="3" t="s">
        <v>52</v>
      </c>
      <c r="B1" s="10">
        <v>150000000</v>
      </c>
    </row>
    <row r="2" spans="1:5" ht="18.55" customHeight="1" x14ac:dyDescent="0.45">
      <c r="A2" s="1" t="s">
        <v>10</v>
      </c>
      <c r="B2" s="1" t="s">
        <v>11</v>
      </c>
      <c r="C2" s="32"/>
    </row>
    <row r="3" spans="1:5" ht="18.55" customHeight="1" x14ac:dyDescent="0.45">
      <c r="A3" s="13" t="s">
        <v>16</v>
      </c>
      <c r="B3" s="13" t="s">
        <v>18</v>
      </c>
      <c r="C3" s="13" t="s">
        <v>19</v>
      </c>
    </row>
    <row r="4" spans="1:5" ht="18.55" customHeight="1" x14ac:dyDescent="0.45">
      <c r="A4" s="13" t="s">
        <v>17</v>
      </c>
      <c r="B4" s="13" t="s">
        <v>20</v>
      </c>
      <c r="C4" s="13" t="s">
        <v>19</v>
      </c>
    </row>
    <row r="5" spans="1:5" s="25" customFormat="1" ht="18.55" customHeight="1" x14ac:dyDescent="0.4">
      <c r="A5" s="25" t="s">
        <v>29</v>
      </c>
      <c r="B5" s="31">
        <v>1</v>
      </c>
      <c r="C5" s="25">
        <v>2</v>
      </c>
      <c r="D5" s="26">
        <v>3</v>
      </c>
    </row>
    <row r="6" spans="1:5" ht="18.55" customHeight="1" x14ac:dyDescent="0.4">
      <c r="A6" s="3" t="s">
        <v>53</v>
      </c>
      <c r="B6" s="10">
        <f>B2*B1</f>
        <v>90000000</v>
      </c>
      <c r="C6" s="20">
        <f>B11</f>
        <v>60000000</v>
      </c>
      <c r="D6" s="20">
        <f>C11</f>
        <v>30000000</v>
      </c>
    </row>
    <row r="7" spans="1:5" s="34" customFormat="1" ht="18.55" customHeight="1" x14ac:dyDescent="0.4">
      <c r="A7" s="34" t="s">
        <v>57</v>
      </c>
      <c r="B7" s="35">
        <f>B6*B3</f>
        <v>9000000</v>
      </c>
      <c r="C7" s="35">
        <f>C6*B3</f>
        <v>6000000</v>
      </c>
      <c r="D7" s="36">
        <f>D6*B3</f>
        <v>3000000</v>
      </c>
      <c r="E7" s="36"/>
    </row>
    <row r="8" spans="1:5" s="15" customFormat="1" ht="18.55" customHeight="1" x14ac:dyDescent="0.4">
      <c r="A8" s="15" t="s">
        <v>58</v>
      </c>
      <c r="B8" s="33">
        <f>SUM(B9:B10)</f>
        <v>39000000</v>
      </c>
      <c r="C8" s="33">
        <f t="shared" ref="C8:D8" si="0">SUM(C9:C10)</f>
        <v>36000000</v>
      </c>
      <c r="D8" s="33">
        <f t="shared" si="0"/>
        <v>33000000</v>
      </c>
    </row>
    <row r="9" spans="1:5" ht="18.55" customHeight="1" x14ac:dyDescent="0.4">
      <c r="A9" s="37" t="s">
        <v>54</v>
      </c>
      <c r="B9" s="10">
        <f>B6/3</f>
        <v>30000000</v>
      </c>
      <c r="C9" s="20">
        <f>B9</f>
        <v>30000000</v>
      </c>
      <c r="D9" s="20">
        <f>C9</f>
        <v>30000000</v>
      </c>
    </row>
    <row r="10" spans="1:5" ht="18.55" customHeight="1" x14ac:dyDescent="0.4">
      <c r="A10" s="3" t="s">
        <v>55</v>
      </c>
      <c r="B10" s="10">
        <f>B7</f>
        <v>9000000</v>
      </c>
      <c r="C10" s="20">
        <f>C7</f>
        <v>6000000</v>
      </c>
      <c r="D10" s="20">
        <f>D7</f>
        <v>3000000</v>
      </c>
    </row>
    <row r="11" spans="1:5" s="6" customFormat="1" ht="18.55" customHeight="1" x14ac:dyDescent="0.4">
      <c r="A11" s="6" t="s">
        <v>56</v>
      </c>
      <c r="B11" s="5">
        <f>B6-B9</f>
        <v>60000000</v>
      </c>
      <c r="C11" s="23">
        <f>C6-C9</f>
        <v>30000000</v>
      </c>
      <c r="D11" s="23">
        <f>D6-D9</f>
        <v>0</v>
      </c>
    </row>
    <row r="14" spans="1:5" ht="18.55" customHeight="1" x14ac:dyDescent="0.4">
      <c r="A14" s="25" t="s">
        <v>29</v>
      </c>
      <c r="B14" s="31">
        <v>1</v>
      </c>
      <c r="C14" s="25">
        <v>2</v>
      </c>
      <c r="D14" s="26">
        <v>3</v>
      </c>
    </row>
    <row r="15" spans="1:5" ht="18.55" customHeight="1" x14ac:dyDescent="0.4">
      <c r="A15" s="3" t="s">
        <v>53</v>
      </c>
      <c r="B15" s="10">
        <f>B1*B2</f>
        <v>90000000</v>
      </c>
      <c r="C15" s="20">
        <f>B20</f>
        <v>62809667.673716001</v>
      </c>
      <c r="D15" s="20">
        <f>C20</f>
        <v>32900302.114803605</v>
      </c>
    </row>
    <row r="16" spans="1:5" s="34" customFormat="1" ht="18.55" customHeight="1" x14ac:dyDescent="0.4">
      <c r="A16" s="34" t="s">
        <v>57</v>
      </c>
      <c r="B16" s="35">
        <f>B15*B3</f>
        <v>9000000</v>
      </c>
      <c r="C16" s="35">
        <f>C15*B3</f>
        <v>6280966.7673716005</v>
      </c>
      <c r="D16" s="36">
        <f>D15*B3</f>
        <v>3290030.2114803605</v>
      </c>
      <c r="E16" s="36"/>
    </row>
    <row r="17" spans="1:7" ht="18.55" customHeight="1" x14ac:dyDescent="0.4">
      <c r="A17" s="15" t="s">
        <v>110</v>
      </c>
      <c r="B17" s="33">
        <f>-PMT(10%,3,90000000)</f>
        <v>36190332.326283999</v>
      </c>
      <c r="C17" s="33">
        <f t="shared" ref="C17:D17" si="1">-PMT(10%,3,90000000)</f>
        <v>36190332.326283999</v>
      </c>
      <c r="D17" s="33">
        <f t="shared" si="1"/>
        <v>36190332.326283999</v>
      </c>
      <c r="E17" s="20"/>
      <c r="G17" s="57" t="s">
        <v>109</v>
      </c>
    </row>
    <row r="18" spans="1:7" ht="18.55" customHeight="1" x14ac:dyDescent="0.4">
      <c r="A18" s="37" t="s">
        <v>54</v>
      </c>
      <c r="B18" s="10">
        <f>B17-B19</f>
        <v>27190332.326283999</v>
      </c>
      <c r="C18" s="20">
        <f>C17-C19</f>
        <v>29909365.558912396</v>
      </c>
      <c r="D18" s="20">
        <f>D17-D19</f>
        <v>32900302.114803638</v>
      </c>
    </row>
    <row r="19" spans="1:7" ht="18.55" customHeight="1" x14ac:dyDescent="0.4">
      <c r="A19" s="3" t="s">
        <v>55</v>
      </c>
      <c r="B19" s="10">
        <f>B16</f>
        <v>9000000</v>
      </c>
      <c r="C19" s="20">
        <f>C16</f>
        <v>6280966.7673716005</v>
      </c>
      <c r="D19" s="20">
        <f>D16</f>
        <v>3290030.2114803605</v>
      </c>
    </row>
    <row r="20" spans="1:7" ht="18.55" customHeight="1" x14ac:dyDescent="0.4">
      <c r="A20" s="6" t="s">
        <v>56</v>
      </c>
      <c r="B20" s="5">
        <f>B15-B18</f>
        <v>62809667.673716001</v>
      </c>
      <c r="C20" s="23">
        <f>C15-C18</f>
        <v>32900302.114803605</v>
      </c>
      <c r="D20" s="23">
        <f>D15-D18</f>
        <v>-3.3527612686157227E-8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F51-6FD3-4804-9A9A-1CE5079B216E}">
  <dimension ref="A2:C10"/>
  <sheetViews>
    <sheetView workbookViewId="0">
      <selection activeCell="A3" sqref="A3:A10"/>
    </sheetView>
  </sheetViews>
  <sheetFormatPr defaultRowHeight="19.850000000000001" customHeight="1" x14ac:dyDescent="0.4"/>
  <cols>
    <col min="1" max="1" width="34.921875" bestFit="1" customWidth="1"/>
    <col min="2" max="2" width="10.61328125" style="39" customWidth="1"/>
    <col min="3" max="3" width="25" bestFit="1" customWidth="1"/>
  </cols>
  <sheetData>
    <row r="2" spans="1:3" ht="19.850000000000001" customHeight="1" x14ac:dyDescent="0.4">
      <c r="A2" s="40" t="s">
        <v>59</v>
      </c>
      <c r="B2" s="40" t="s">
        <v>60</v>
      </c>
      <c r="C2" s="40" t="s">
        <v>61</v>
      </c>
    </row>
    <row r="3" spans="1:3" ht="19.850000000000001" customHeight="1" x14ac:dyDescent="0.4">
      <c r="A3" s="41" t="s">
        <v>27</v>
      </c>
      <c r="B3" s="42" t="s">
        <v>62</v>
      </c>
      <c r="C3" s="41" t="s">
        <v>63</v>
      </c>
    </row>
    <row r="4" spans="1:3" ht="19.850000000000001" customHeight="1" x14ac:dyDescent="0.4">
      <c r="A4" s="41" t="s">
        <v>64</v>
      </c>
      <c r="B4" s="42" t="s">
        <v>65</v>
      </c>
      <c r="C4" s="41" t="s">
        <v>74</v>
      </c>
    </row>
    <row r="5" spans="1:3" ht="19.850000000000001" customHeight="1" x14ac:dyDescent="0.4">
      <c r="A5" s="41" t="s">
        <v>66</v>
      </c>
      <c r="B5" s="42" t="s">
        <v>67</v>
      </c>
      <c r="C5" s="41" t="s">
        <v>75</v>
      </c>
    </row>
    <row r="6" spans="1:3" ht="19.850000000000001" customHeight="1" x14ac:dyDescent="0.4">
      <c r="A6" s="41" t="s">
        <v>68</v>
      </c>
      <c r="B6" s="42" t="s">
        <v>69</v>
      </c>
      <c r="C6" s="41" t="s">
        <v>70</v>
      </c>
    </row>
    <row r="7" spans="1:3" ht="19.850000000000001" customHeight="1" x14ac:dyDescent="0.4">
      <c r="A7" s="41" t="s">
        <v>71</v>
      </c>
      <c r="B7" s="42" t="s">
        <v>72</v>
      </c>
      <c r="C7" s="41" t="s">
        <v>73</v>
      </c>
    </row>
    <row r="8" spans="1:3" ht="19.850000000000001" customHeight="1" x14ac:dyDescent="0.4">
      <c r="A8" s="41" t="s">
        <v>76</v>
      </c>
      <c r="B8" s="42" t="s">
        <v>77</v>
      </c>
      <c r="C8" s="41" t="s">
        <v>78</v>
      </c>
    </row>
    <row r="9" spans="1:3" ht="19.850000000000001" customHeight="1" x14ac:dyDescent="0.4">
      <c r="A9" s="41" t="s">
        <v>79</v>
      </c>
      <c r="B9" s="42" t="s">
        <v>80</v>
      </c>
      <c r="C9" s="41" t="s">
        <v>81</v>
      </c>
    </row>
    <row r="10" spans="1:3" ht="19.850000000000001" customHeight="1" x14ac:dyDescent="0.4">
      <c r="A10" s="41" t="s">
        <v>82</v>
      </c>
      <c r="B10" s="42" t="s">
        <v>83</v>
      </c>
      <c r="C10" s="41" t="s">
        <v>84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0149-F63F-44C6-9E7A-74199675F837}">
  <dimension ref="A2:D10"/>
  <sheetViews>
    <sheetView topLeftCell="A4" workbookViewId="0">
      <selection activeCell="B10" sqref="B10"/>
    </sheetView>
  </sheetViews>
  <sheetFormatPr defaultRowHeight="19.850000000000001" customHeight="1" x14ac:dyDescent="0.4"/>
  <cols>
    <col min="1" max="1" width="43.15234375" style="38" bestFit="1" customWidth="1"/>
    <col min="2" max="2" width="16.61328125" style="38" customWidth="1"/>
    <col min="3" max="3" width="15.84375" style="38" customWidth="1"/>
    <col min="4" max="4" width="16" style="38" customWidth="1"/>
    <col min="5" max="16384" width="9.23046875" style="38"/>
  </cols>
  <sheetData>
    <row r="2" spans="1:4" ht="19.850000000000001" customHeight="1" x14ac:dyDescent="0.4">
      <c r="A2" s="42" t="s">
        <v>29</v>
      </c>
      <c r="B2" s="42">
        <v>1</v>
      </c>
      <c r="C2" s="42">
        <v>2</v>
      </c>
      <c r="D2" s="42">
        <v>3</v>
      </c>
    </row>
    <row r="3" spans="1:4" ht="19.850000000000001" customHeight="1" x14ac:dyDescent="0.4">
      <c r="A3" s="41" t="s">
        <v>85</v>
      </c>
      <c r="B3" s="51">
        <f>'doanh thu'!B8</f>
        <v>675000000</v>
      </c>
      <c r="C3" s="51">
        <f>'doanh thu'!C8</f>
        <v>742500000.00000012</v>
      </c>
      <c r="D3" s="51">
        <f>'doanh thu'!D8</f>
        <v>816750000.00000024</v>
      </c>
    </row>
    <row r="4" spans="1:4" ht="19.850000000000001" customHeight="1" x14ac:dyDescent="0.4">
      <c r="A4" s="41" t="s">
        <v>86</v>
      </c>
      <c r="B4" s="51">
        <f>'chi phí hoạt động'!B14</f>
        <v>622500000</v>
      </c>
      <c r="C4" s="51">
        <f>'chi phí hoạt động'!C14</f>
        <v>663750000</v>
      </c>
      <c r="D4" s="51">
        <f>'chi phí hoạt động'!D14</f>
        <v>708075000</v>
      </c>
    </row>
    <row r="5" spans="1:4" ht="19.850000000000001" customHeight="1" x14ac:dyDescent="0.4">
      <c r="A5" s="41" t="s">
        <v>87</v>
      </c>
      <c r="B5" s="51">
        <f>'thoi gian khấu hao'!B8</f>
        <v>40000000</v>
      </c>
      <c r="C5" s="51">
        <f>'thoi gian khấu hao'!C8</f>
        <v>40000000</v>
      </c>
      <c r="D5" s="51">
        <f>'thoi gian khấu hao'!D8</f>
        <v>40000000</v>
      </c>
    </row>
    <row r="6" spans="1:4" ht="19.850000000000001" customHeight="1" x14ac:dyDescent="0.4">
      <c r="A6" s="41" t="s">
        <v>88</v>
      </c>
      <c r="B6" s="51">
        <f>B3-B4-B5</f>
        <v>12500000</v>
      </c>
      <c r="C6" s="51">
        <f t="shared" ref="C6:D6" si="0">C3-C4-C5</f>
        <v>38750000.000000119</v>
      </c>
      <c r="D6" s="51">
        <f t="shared" si="0"/>
        <v>68675000.000000238</v>
      </c>
    </row>
    <row r="7" spans="1:4" ht="19.850000000000001" customHeight="1" x14ac:dyDescent="0.4">
      <c r="A7" s="41" t="s">
        <v>89</v>
      </c>
      <c r="B7" s="51">
        <f>'tra nợ vay'!B16</f>
        <v>9000000</v>
      </c>
      <c r="C7" s="51">
        <f>'tra nợ vay'!C16</f>
        <v>6280966.7673716005</v>
      </c>
      <c r="D7" s="51">
        <f>'tra nợ vay'!D16</f>
        <v>3290030.2114803605</v>
      </c>
    </row>
    <row r="8" spans="1:4" s="74" customFormat="1" ht="19.850000000000001" customHeight="1" x14ac:dyDescent="0.4">
      <c r="A8" s="72" t="s">
        <v>90</v>
      </c>
      <c r="B8" s="73">
        <f>B6-B7</f>
        <v>3500000</v>
      </c>
      <c r="C8" s="73">
        <f t="shared" ref="C8:D8" si="1">C6-C7</f>
        <v>32469033.232628517</v>
      </c>
      <c r="D8" s="73">
        <f t="shared" si="1"/>
        <v>65384969.788519874</v>
      </c>
    </row>
    <row r="9" spans="1:4" ht="19.850000000000001" customHeight="1" x14ac:dyDescent="0.4">
      <c r="A9" s="41" t="s">
        <v>91</v>
      </c>
      <c r="B9" s="51">
        <f>20%*B8</f>
        <v>700000</v>
      </c>
      <c r="C9" s="51">
        <f>20%*C8</f>
        <v>6493806.6465257034</v>
      </c>
      <c r="D9" s="51">
        <f t="shared" ref="B9:D9" si="2">20%*D8</f>
        <v>13076993.957703976</v>
      </c>
    </row>
    <row r="10" spans="1:4" ht="19.850000000000001" customHeight="1" x14ac:dyDescent="0.4">
      <c r="A10" s="41" t="s">
        <v>92</v>
      </c>
      <c r="B10" s="51">
        <f>B8-B9</f>
        <v>2800000</v>
      </c>
      <c r="C10" s="51">
        <f t="shared" ref="C10:D10" si="3">C8-C9</f>
        <v>25975226.586102813</v>
      </c>
      <c r="D10" s="51">
        <f t="shared" si="3"/>
        <v>52307975.830815896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68DB-F556-4AB9-8F65-0397AAF3CFDC}">
  <dimension ref="A1:R23"/>
  <sheetViews>
    <sheetView tabSelected="1" topLeftCell="A13" workbookViewId="0">
      <selection activeCell="B16" sqref="B16"/>
    </sheetView>
  </sheetViews>
  <sheetFormatPr defaultRowHeight="24.55" customHeight="1" x14ac:dyDescent="0.4"/>
  <cols>
    <col min="1" max="1" width="53.921875" style="1" bestFit="1" customWidth="1"/>
    <col min="2" max="2" width="15.765625" style="20" bestFit="1" customWidth="1"/>
    <col min="3" max="4" width="15.765625" style="20" customWidth="1"/>
    <col min="5" max="5" width="16.07421875" style="20" customWidth="1"/>
    <col min="6" max="18" width="9.23046875" style="20"/>
    <col min="19" max="16384" width="9.23046875" style="3"/>
  </cols>
  <sheetData>
    <row r="1" spans="1:18" ht="24.55" customHeight="1" x14ac:dyDescent="0.4">
      <c r="B1" s="21"/>
    </row>
    <row r="2" spans="1:18" s="38" customFormat="1" ht="24.55" customHeight="1" x14ac:dyDescent="0.4">
      <c r="A2" s="14" t="s">
        <v>29</v>
      </c>
      <c r="B2" s="52">
        <v>0</v>
      </c>
      <c r="C2" s="52">
        <v>1</v>
      </c>
      <c r="D2" s="52">
        <v>2</v>
      </c>
      <c r="E2" s="52">
        <v>3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s="9" customFormat="1" ht="24.55" customHeight="1" x14ac:dyDescent="0.4">
      <c r="A3" s="7" t="s">
        <v>95</v>
      </c>
      <c r="B3" s="24"/>
      <c r="C3" s="24">
        <f>SUM(C4:C7)</f>
        <v>675000000</v>
      </c>
      <c r="D3" s="24">
        <f t="shared" ref="D3:E3" si="0">SUM(D4:D7)</f>
        <v>742500000.00000012</v>
      </c>
      <c r="E3" s="24">
        <f t="shared" si="0"/>
        <v>851750000.00000024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4.55" customHeight="1" x14ac:dyDescent="0.4">
      <c r="A4" s="1" t="s">
        <v>27</v>
      </c>
      <c r="C4" s="20">
        <f>'doanh thu'!B8</f>
        <v>675000000</v>
      </c>
      <c r="D4" s="20">
        <f>'doanh thu'!C8</f>
        <v>742500000.00000012</v>
      </c>
      <c r="E4" s="20">
        <f>'doanh thu'!D8</f>
        <v>816750000.00000024</v>
      </c>
    </row>
    <row r="5" spans="1:18" ht="24.55" customHeight="1" x14ac:dyDescent="0.4">
      <c r="A5" s="1" t="s">
        <v>97</v>
      </c>
      <c r="E5" s="20">
        <v>5000000</v>
      </c>
    </row>
    <row r="6" spans="1:18" ht="24.55" customHeight="1" x14ac:dyDescent="0.4">
      <c r="A6" s="1" t="s">
        <v>96</v>
      </c>
      <c r="E6" s="20">
        <f>'đầu tư ban đầu'!B4</f>
        <v>20000000</v>
      </c>
    </row>
    <row r="7" spans="1:18" ht="24.55" customHeight="1" x14ac:dyDescent="0.4">
      <c r="A7" s="1" t="s">
        <v>98</v>
      </c>
      <c r="E7" s="20">
        <f>'đầu tư ban đầu'!B7</f>
        <v>10000000</v>
      </c>
    </row>
    <row r="8" spans="1:18" s="9" customFormat="1" ht="24.55" customHeight="1" x14ac:dyDescent="0.4">
      <c r="A8" s="7" t="s">
        <v>99</v>
      </c>
      <c r="B8" s="24">
        <f>SUM(B9:B11)</f>
        <v>150000000</v>
      </c>
      <c r="C8" s="24">
        <f t="shared" ref="C8:E8" si="1">SUM(C9:C11)</f>
        <v>623200000</v>
      </c>
      <c r="D8" s="24">
        <f t="shared" si="1"/>
        <v>670243806.64652574</v>
      </c>
      <c r="E8" s="24">
        <f t="shared" si="1"/>
        <v>721151993.95770395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24.55" customHeight="1" x14ac:dyDescent="0.4">
      <c r="A9" s="1" t="s">
        <v>100</v>
      </c>
      <c r="B9" s="20">
        <f>'đầu tư ban đầu'!B2</f>
        <v>150000000</v>
      </c>
    </row>
    <row r="10" spans="1:18" ht="24.55" customHeight="1" x14ac:dyDescent="0.4">
      <c r="A10" s="1" t="s">
        <v>64</v>
      </c>
      <c r="C10" s="20">
        <f>'chi phí hoạt động'!B14</f>
        <v>622500000</v>
      </c>
      <c r="D10" s="20">
        <f>'chi phí hoạt động'!C14</f>
        <v>663750000</v>
      </c>
      <c r="E10" s="20">
        <f>'chi phí hoạt động'!D14</f>
        <v>708075000</v>
      </c>
    </row>
    <row r="11" spans="1:18" ht="24.55" customHeight="1" x14ac:dyDescent="0.4">
      <c r="A11" s="1" t="s">
        <v>101</v>
      </c>
      <c r="C11" s="20">
        <f>'thu nhập'!B9</f>
        <v>700000</v>
      </c>
      <c r="D11" s="20">
        <f>'thu nhập'!C9</f>
        <v>6493806.6465257034</v>
      </c>
      <c r="E11" s="20">
        <f>'thu nhập'!D9</f>
        <v>13076993.957703976</v>
      </c>
    </row>
    <row r="12" spans="1:18" s="9" customFormat="1" ht="24.55" customHeight="1" x14ac:dyDescent="0.4">
      <c r="A12" s="7" t="s">
        <v>122</v>
      </c>
      <c r="B12" s="24">
        <f>B3-B8</f>
        <v>-150000000</v>
      </c>
      <c r="C12" s="24">
        <f t="shared" ref="C12:E12" si="2">C3-C8</f>
        <v>51800000</v>
      </c>
      <c r="D12" s="24">
        <f t="shared" si="2"/>
        <v>72256193.353474379</v>
      </c>
      <c r="E12" s="24">
        <f t="shared" si="2"/>
        <v>130598006.04229629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24.55" customHeight="1" x14ac:dyDescent="0.4">
      <c r="A13" s="1" t="s">
        <v>104</v>
      </c>
      <c r="B13" s="20">
        <f>B12</f>
        <v>-150000000</v>
      </c>
      <c r="C13" s="20">
        <f>C12/(1+$B$23)^C2</f>
        <v>46085409.252669036</v>
      </c>
      <c r="D13" s="20">
        <f t="shared" ref="D13:E13" si="3">D12/(1+$B$23)^D2</f>
        <v>57192944.423096813</v>
      </c>
      <c r="E13" s="59">
        <f t="shared" si="3"/>
        <v>91968184.321043894</v>
      </c>
    </row>
    <row r="14" spans="1:18" ht="24.55" customHeight="1" x14ac:dyDescent="0.4">
      <c r="A14" s="1" t="s">
        <v>113</v>
      </c>
      <c r="B14" s="20">
        <f>B13</f>
        <v>-150000000</v>
      </c>
      <c r="C14" s="20">
        <f>B14+C13</f>
        <v>-103914590.74733096</v>
      </c>
      <c r="D14" s="59">
        <f t="shared" ref="D14:E14" si="4">C14+D13</f>
        <v>-46721646.32423415</v>
      </c>
      <c r="E14" s="20">
        <f t="shared" si="4"/>
        <v>45246537.996809743</v>
      </c>
    </row>
    <row r="15" spans="1:18" ht="24.55" customHeight="1" x14ac:dyDescent="0.4">
      <c r="A15" s="1" t="s">
        <v>102</v>
      </c>
      <c r="B15" s="20">
        <f>SUM(B13:E13)</f>
        <v>45246537.996809743</v>
      </c>
    </row>
    <row r="16" spans="1:18" ht="24.55" customHeight="1" x14ac:dyDescent="0.4">
      <c r="B16" s="59">
        <f>NPV(B23,C12:E12)+B12</f>
        <v>45246537.996809751</v>
      </c>
    </row>
    <row r="17" spans="1:18" ht="24.55" customHeight="1" x14ac:dyDescent="0.4">
      <c r="A17" s="1" t="s">
        <v>111</v>
      </c>
      <c r="B17" s="53">
        <f>IRR(B12:E12)</f>
        <v>0.26741496434592493</v>
      </c>
    </row>
    <row r="18" spans="1:18" ht="24.55" customHeight="1" x14ac:dyDescent="0.4">
      <c r="A18" s="1" t="s">
        <v>112</v>
      </c>
      <c r="B18" s="58">
        <f>-D14/((E13/12))</f>
        <v>6.0962359975885843</v>
      </c>
      <c r="C18" s="20" t="s">
        <v>114</v>
      </c>
    </row>
    <row r="19" spans="1:18" ht="24.55" customHeight="1" x14ac:dyDescent="0.4">
      <c r="A19" s="54" t="s">
        <v>105</v>
      </c>
      <c r="B19" s="21">
        <v>0.6</v>
      </c>
    </row>
    <row r="20" spans="1:18" ht="24.55" customHeight="1" x14ac:dyDescent="0.4">
      <c r="A20" s="54" t="s">
        <v>106</v>
      </c>
      <c r="B20" s="21">
        <v>0.4</v>
      </c>
    </row>
    <row r="21" spans="1:18" ht="24.55" customHeight="1" x14ac:dyDescent="0.4">
      <c r="A21" s="54" t="s">
        <v>107</v>
      </c>
      <c r="B21" s="21">
        <v>0.1</v>
      </c>
    </row>
    <row r="22" spans="1:18" ht="24.55" customHeight="1" x14ac:dyDescent="0.4">
      <c r="A22" s="54" t="s">
        <v>108</v>
      </c>
      <c r="B22" s="21">
        <v>0.16</v>
      </c>
    </row>
    <row r="23" spans="1:18" s="34" customFormat="1" ht="24.55" customHeight="1" x14ac:dyDescent="0.4">
      <c r="A23" s="55" t="s">
        <v>103</v>
      </c>
      <c r="B23" s="56">
        <f>B19*B21+B20*B22</f>
        <v>0.124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C6CD-0FC2-4B0B-BFE0-46F4AB04514A}">
  <dimension ref="A2:D7"/>
  <sheetViews>
    <sheetView workbookViewId="0">
      <selection activeCell="E9" sqref="E9"/>
    </sheetView>
  </sheetViews>
  <sheetFormatPr defaultRowHeight="19.850000000000001" customHeight="1" x14ac:dyDescent="0.4"/>
  <cols>
    <col min="1" max="1" width="22.4609375" style="3" bestFit="1" customWidth="1"/>
    <col min="2" max="2" width="14.921875" style="3" bestFit="1" customWidth="1"/>
    <col min="3" max="3" width="13" style="3" bestFit="1" customWidth="1"/>
    <col min="4" max="4" width="20.4609375" style="3" bestFit="1" customWidth="1"/>
    <col min="5" max="16384" width="9.23046875" style="3"/>
  </cols>
  <sheetData>
    <row r="2" spans="1:4" ht="19.850000000000001" customHeight="1" x14ac:dyDescent="0.45">
      <c r="A2" s="3" t="s">
        <v>25</v>
      </c>
      <c r="B2" s="20">
        <v>125</v>
      </c>
      <c r="C2" s="17" t="s">
        <v>30</v>
      </c>
    </row>
    <row r="3" spans="1:4" ht="19.850000000000001" customHeight="1" x14ac:dyDescent="0.45">
      <c r="A3" s="3" t="s">
        <v>26</v>
      </c>
      <c r="B3" s="20">
        <v>15000</v>
      </c>
      <c r="C3" s="17" t="s">
        <v>120</v>
      </c>
    </row>
    <row r="4" spans="1:4" ht="19.850000000000001" customHeight="1" x14ac:dyDescent="0.4">
      <c r="A4" s="3" t="s">
        <v>115</v>
      </c>
      <c r="B4" s="20">
        <f>B2*360</f>
        <v>45000</v>
      </c>
      <c r="C4" s="3" t="s">
        <v>116</v>
      </c>
    </row>
    <row r="5" spans="1:4" ht="19.850000000000001" customHeight="1" x14ac:dyDescent="0.45">
      <c r="A5" s="3" t="s">
        <v>27</v>
      </c>
      <c r="B5" s="20">
        <f>B2*B3*360</f>
        <v>675000000</v>
      </c>
      <c r="C5" s="17" t="s">
        <v>31</v>
      </c>
    </row>
    <row r="6" spans="1:4" ht="19.850000000000001" customHeight="1" x14ac:dyDescent="0.4">
      <c r="A6" s="3" t="s">
        <v>117</v>
      </c>
      <c r="B6" s="20">
        <f>(B5*30%)/B4</f>
        <v>4500</v>
      </c>
      <c r="C6" s="29" t="s">
        <v>120</v>
      </c>
      <c r="D6" s="3" t="s">
        <v>121</v>
      </c>
    </row>
    <row r="7" spans="1:4" ht="19.850000000000001" customHeight="1" x14ac:dyDescent="0.4">
      <c r="A7" s="3" t="s">
        <v>118</v>
      </c>
      <c r="B7" s="20">
        <f>'chi phí hoạt động'!B11/(B3-B6)</f>
        <v>9.5238095238095241E-5</v>
      </c>
      <c r="C7" s="29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591-1D43-4BD7-AEB4-037CB79B7F69}">
  <dimension ref="A1:I13"/>
  <sheetViews>
    <sheetView zoomScale="120" zoomScaleNormal="120" workbookViewId="0">
      <selection sqref="A1:B2"/>
    </sheetView>
  </sheetViews>
  <sheetFormatPr defaultRowHeight="19.3" customHeight="1" x14ac:dyDescent="0.4"/>
  <cols>
    <col min="1" max="1" width="10.69140625" style="60" customWidth="1"/>
    <col min="2" max="2" width="9.3046875" style="64" bestFit="1" customWidth="1"/>
    <col min="3" max="3" width="15.765625" style="60" bestFit="1" customWidth="1"/>
    <col min="4" max="4" width="15.07421875" style="60" customWidth="1"/>
    <col min="5" max="5" width="15.15234375" style="60" customWidth="1"/>
    <col min="6" max="6" width="13.765625" style="60" customWidth="1"/>
    <col min="7" max="16384" width="9.23046875" style="60"/>
  </cols>
  <sheetData>
    <row r="1" spans="1:9" ht="22.3" customHeight="1" x14ac:dyDescent="0.35">
      <c r="A1" s="68" t="s">
        <v>124</v>
      </c>
      <c r="B1" s="68"/>
      <c r="C1" s="69" t="s">
        <v>26</v>
      </c>
      <c r="D1" s="69"/>
      <c r="E1" s="69"/>
      <c r="F1" s="69"/>
    </row>
    <row r="2" spans="1:9" s="62" customFormat="1" ht="22.3" customHeight="1" x14ac:dyDescent="0.4">
      <c r="A2" s="68"/>
      <c r="B2" s="68"/>
      <c r="C2" s="65">
        <v>11000</v>
      </c>
      <c r="D2" s="65">
        <v>13000</v>
      </c>
      <c r="E2" s="65">
        <v>15000</v>
      </c>
      <c r="F2" s="65">
        <v>17000</v>
      </c>
      <c r="G2" s="63"/>
      <c r="H2" s="63"/>
      <c r="I2" s="63"/>
    </row>
    <row r="3" spans="1:9" ht="19.3" customHeight="1" x14ac:dyDescent="0.4">
      <c r="A3" s="68" t="s">
        <v>123</v>
      </c>
      <c r="B3" s="66">
        <v>0.15</v>
      </c>
      <c r="C3" s="67">
        <v>-75366018.36949572</v>
      </c>
      <c r="D3" s="67">
        <v>96973139.27720201</v>
      </c>
      <c r="E3" s="75">
        <v>256855361.41659698</v>
      </c>
      <c r="F3" s="75">
        <v>416737583.55599177</v>
      </c>
      <c r="G3" s="61"/>
      <c r="H3" s="61"/>
      <c r="I3" s="61"/>
    </row>
    <row r="4" spans="1:9" ht="19.3" customHeight="1" x14ac:dyDescent="0.4">
      <c r="A4" s="68"/>
      <c r="B4" s="66">
        <v>0.2</v>
      </c>
      <c r="C4" s="67">
        <v>-139634494.99665159</v>
      </c>
      <c r="D4" s="67">
        <v>35663765.457314081</v>
      </c>
      <c r="E4" s="75">
        <v>186319086.94333455</v>
      </c>
      <c r="F4" s="75">
        <v>336796472.48629439</v>
      </c>
      <c r="G4" s="61"/>
      <c r="H4" s="61"/>
      <c r="I4" s="61"/>
    </row>
    <row r="5" spans="1:9" ht="19.3" customHeight="1" x14ac:dyDescent="0.4">
      <c r="A5" s="68"/>
      <c r="B5" s="66">
        <v>0.25</v>
      </c>
      <c r="C5" s="67">
        <v>-204292746.59714213</v>
      </c>
      <c r="D5" s="67">
        <v>-31409366.225216761</v>
      </c>
      <c r="E5" s="75">
        <v>115782812.47007217</v>
      </c>
      <c r="F5" s="75">
        <v>256855361.41659698</v>
      </c>
      <c r="G5" s="61"/>
      <c r="H5" s="61"/>
      <c r="I5" s="61"/>
    </row>
    <row r="6" spans="1:9" ht="19.3" customHeight="1" x14ac:dyDescent="0.4">
      <c r="A6" s="68"/>
      <c r="B6" s="66">
        <v>0.3</v>
      </c>
      <c r="C6" s="67">
        <v>-268950998.19763267</v>
      </c>
      <c r="D6" s="67">
        <v>-104366357.76002038</v>
      </c>
      <c r="E6" s="76">
        <v>45246537.996809743</v>
      </c>
      <c r="F6" s="75">
        <v>176914250.34689957</v>
      </c>
      <c r="G6" s="61"/>
      <c r="H6" s="61"/>
      <c r="I6" s="61"/>
    </row>
    <row r="7" spans="1:9" ht="19.3" customHeight="1" x14ac:dyDescent="0.4">
      <c r="A7" s="68"/>
      <c r="B7" s="66">
        <v>0.35</v>
      </c>
      <c r="C7" s="67">
        <v>-333609249.79812318</v>
      </c>
      <c r="D7" s="67">
        <v>-180780655.10605466</v>
      </c>
      <c r="E7" s="67">
        <v>-31409366.225216508</v>
      </c>
      <c r="F7" s="75">
        <v>96973139.277202174</v>
      </c>
      <c r="G7" s="61"/>
      <c r="H7" s="61"/>
      <c r="I7" s="61"/>
    </row>
    <row r="8" spans="1:9" ht="19.3" customHeight="1" x14ac:dyDescent="0.4">
      <c r="A8" s="68"/>
      <c r="B8" s="66">
        <v>0.4</v>
      </c>
      <c r="C8" s="67">
        <v>-398267501.39861375</v>
      </c>
      <c r="D8" s="67">
        <v>-257194952.45208895</v>
      </c>
      <c r="E8" s="67">
        <v>-116122403.50556394</v>
      </c>
      <c r="F8" s="75">
        <v>15252668.77689971</v>
      </c>
      <c r="G8" s="61"/>
      <c r="H8" s="61"/>
      <c r="I8" s="61"/>
    </row>
    <row r="9" spans="1:9" ht="19.3" customHeight="1" x14ac:dyDescent="0.4">
      <c r="C9" s="61"/>
      <c r="D9" s="61"/>
      <c r="E9" s="61"/>
      <c r="F9" s="61"/>
      <c r="G9" s="61"/>
      <c r="H9" s="61"/>
      <c r="I9" s="61"/>
    </row>
    <row r="10" spans="1:9" ht="19.3" customHeight="1" x14ac:dyDescent="0.4">
      <c r="C10" s="61"/>
      <c r="D10" s="61"/>
      <c r="E10" s="61"/>
      <c r="F10" s="61"/>
      <c r="G10" s="61"/>
      <c r="H10" s="61"/>
      <c r="I10" s="61"/>
    </row>
    <row r="11" spans="1:9" ht="19.3" customHeight="1" x14ac:dyDescent="0.4">
      <c r="C11" s="61"/>
      <c r="D11" s="61"/>
      <c r="E11" s="61"/>
      <c r="F11" s="61"/>
      <c r="G11" s="61"/>
      <c r="H11" s="61"/>
      <c r="I11" s="61"/>
    </row>
    <row r="12" spans="1:9" ht="19.3" customHeight="1" x14ac:dyDescent="0.4">
      <c r="C12" s="61"/>
      <c r="D12" s="61"/>
      <c r="E12" s="61"/>
      <c r="F12" s="61"/>
      <c r="G12" s="61"/>
      <c r="H12" s="61"/>
      <c r="I12" s="61"/>
    </row>
    <row r="13" spans="1:9" ht="19.3" customHeight="1" x14ac:dyDescent="0.4">
      <c r="C13" s="61"/>
      <c r="D13" s="61"/>
      <c r="E13" s="61"/>
      <c r="F13" s="61"/>
      <c r="G13" s="61"/>
      <c r="H13" s="61"/>
      <c r="I13" s="61"/>
    </row>
  </sheetData>
  <mergeCells count="3">
    <mergeCell ref="A3:A8"/>
    <mergeCell ref="C1:F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đầu tư ban đầu</vt:lpstr>
      <vt:lpstr>nguồn vốn</vt:lpstr>
      <vt:lpstr>thoi gian khấu hao</vt:lpstr>
      <vt:lpstr>doanh thu</vt:lpstr>
      <vt:lpstr>chi phí hoạt động</vt:lpstr>
      <vt:lpstr>thu hồi</vt:lpstr>
      <vt:lpstr>thuế</vt:lpstr>
      <vt:lpstr>tra nợ vay</vt:lpstr>
      <vt:lpstr>công thức</vt:lpstr>
      <vt:lpstr>thu nhập</vt:lpstr>
      <vt:lpstr>Dòng tiền</vt:lpstr>
      <vt:lpstr>điểm hòa vốn</vt:lpstr>
      <vt:lpstr>phân tích rủi 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2021-07-02T09:24:53Z</dcterms:created>
  <dcterms:modified xsi:type="dcterms:W3CDTF">2021-07-05T07:42:48Z</dcterms:modified>
</cp:coreProperties>
</file>