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6F42851F-F34F-45CB-84D8-E66A113031C8}" xr6:coauthVersionLast="47" xr6:coauthVersionMax="47" xr10:uidLastSave="{00000000-0000-0000-0000-000000000000}"/>
  <bookViews>
    <workbookView xWindow="-120" yWindow="-120" windowWidth="29040" windowHeight="15990" xr2:uid="{B22D4CCD-F5E8-43AE-AB42-4438CF64F56A}"/>
  </bookViews>
  <sheets>
    <sheet name="Data_thamchieu" sheetId="1" r:id="rId1"/>
    <sheet name="DS_Nguồn" sheetId="2" r:id="rId2"/>
    <sheet name="ToanTieuHoc" sheetId="3" r:id="rId3"/>
    <sheet name="ToanTHCS" sheetId="4" r:id="rId4"/>
    <sheet name="ToanTHPT" sheetId="5" r:id="rId5"/>
    <sheet name="AnhVanTieuHoc" sheetId="6" r:id="rId6"/>
    <sheet name="AnhVanTHPT" sheetId="7" r:id="rId7"/>
    <sheet name="TongHop" sheetId="9" r:id="rId8"/>
  </sheets>
  <definedNames>
    <definedName name="ExternalData_1" localSheetId="7" hidden="1">TongHop!$A$1:$W$73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7" l="1"/>
  <c r="C17" i="7"/>
  <c r="D17" i="7"/>
  <c r="E17" i="7"/>
  <c r="G17" i="7"/>
  <c r="H17" i="7"/>
  <c r="I17" i="7"/>
  <c r="J17" i="7"/>
  <c r="K17" i="7"/>
  <c r="L17" i="7"/>
  <c r="T17" i="7"/>
  <c r="G3" i="6"/>
  <c r="G4" i="6"/>
  <c r="G5" i="6"/>
  <c r="G6" i="6"/>
  <c r="G7" i="6"/>
  <c r="G8" i="6"/>
  <c r="G9" i="6"/>
  <c r="G10" i="6"/>
  <c r="G11" i="6"/>
  <c r="G12" i="6"/>
  <c r="E2" i="6"/>
  <c r="E4" i="5"/>
  <c r="E3" i="5"/>
  <c r="E6" i="5"/>
  <c r="T16" i="7"/>
  <c r="L16" i="7"/>
  <c r="K16" i="7"/>
  <c r="J16" i="7"/>
  <c r="I16" i="7"/>
  <c r="H16" i="7"/>
  <c r="E16" i="7"/>
  <c r="D16" i="7"/>
  <c r="C16" i="7"/>
  <c r="A16" i="7"/>
  <c r="T15" i="7"/>
  <c r="L15" i="7"/>
  <c r="K15" i="7"/>
  <c r="J15" i="7"/>
  <c r="I15" i="7"/>
  <c r="H15" i="7"/>
  <c r="E15" i="7"/>
  <c r="D15" i="7"/>
  <c r="C15" i="7"/>
  <c r="A15" i="7"/>
  <c r="T14" i="7"/>
  <c r="L14" i="7"/>
  <c r="K14" i="7"/>
  <c r="J14" i="7"/>
  <c r="I14" i="7"/>
  <c r="H14" i="7"/>
  <c r="E14" i="7"/>
  <c r="D14" i="7"/>
  <c r="C14" i="7"/>
  <c r="A14" i="7"/>
  <c r="T13" i="7"/>
  <c r="L13" i="7"/>
  <c r="K13" i="7"/>
  <c r="J13" i="7"/>
  <c r="I13" i="7"/>
  <c r="H13" i="7"/>
  <c r="E13" i="7"/>
  <c r="D13" i="7"/>
  <c r="C13" i="7"/>
  <c r="A13" i="7"/>
  <c r="T12" i="7"/>
  <c r="L12" i="7"/>
  <c r="K12" i="7"/>
  <c r="J12" i="7"/>
  <c r="I12" i="7"/>
  <c r="H12" i="7"/>
  <c r="E12" i="7"/>
  <c r="D12" i="7"/>
  <c r="C12" i="7"/>
  <c r="A12" i="7"/>
  <c r="T11" i="7"/>
  <c r="L11" i="7"/>
  <c r="K11" i="7"/>
  <c r="J11" i="7"/>
  <c r="I11" i="7"/>
  <c r="H11" i="7"/>
  <c r="E11" i="7"/>
  <c r="D11" i="7"/>
  <c r="C11" i="7"/>
  <c r="A11" i="7"/>
  <c r="T10" i="7"/>
  <c r="L10" i="7"/>
  <c r="K10" i="7"/>
  <c r="J10" i="7"/>
  <c r="I10" i="7"/>
  <c r="H10" i="7"/>
  <c r="E10" i="7"/>
  <c r="D10" i="7"/>
  <c r="C10" i="7"/>
  <c r="A10" i="7"/>
  <c r="T9" i="7"/>
  <c r="L9" i="7"/>
  <c r="K9" i="7"/>
  <c r="J9" i="7"/>
  <c r="I9" i="7"/>
  <c r="H9" i="7"/>
  <c r="E9" i="7"/>
  <c r="D9" i="7"/>
  <c r="C9" i="7"/>
  <c r="A9" i="7"/>
  <c r="T8" i="7"/>
  <c r="L8" i="7"/>
  <c r="K8" i="7"/>
  <c r="J8" i="7"/>
  <c r="I8" i="7"/>
  <c r="H8" i="7"/>
  <c r="E8" i="7"/>
  <c r="D8" i="7"/>
  <c r="C8" i="7"/>
  <c r="A8" i="7"/>
  <c r="T7" i="7"/>
  <c r="L7" i="7"/>
  <c r="K7" i="7"/>
  <c r="J7" i="7"/>
  <c r="I7" i="7"/>
  <c r="H7" i="7"/>
  <c r="E7" i="7"/>
  <c r="D7" i="7"/>
  <c r="C7" i="7"/>
  <c r="A7" i="7"/>
  <c r="T6" i="7"/>
  <c r="L6" i="7"/>
  <c r="K6" i="7"/>
  <c r="J6" i="7"/>
  <c r="I6" i="7"/>
  <c r="H6" i="7"/>
  <c r="E6" i="7"/>
  <c r="D6" i="7"/>
  <c r="C6" i="7"/>
  <c r="A6" i="7"/>
  <c r="T5" i="7"/>
  <c r="L5" i="7"/>
  <c r="K5" i="7"/>
  <c r="J5" i="7"/>
  <c r="I5" i="7"/>
  <c r="H5" i="7"/>
  <c r="E5" i="7"/>
  <c r="D5" i="7"/>
  <c r="C5" i="7"/>
  <c r="A5" i="7"/>
  <c r="T4" i="7"/>
  <c r="L4" i="7"/>
  <c r="K4" i="7"/>
  <c r="J4" i="7"/>
  <c r="I4" i="7"/>
  <c r="H4" i="7"/>
  <c r="E4" i="7"/>
  <c r="D4" i="7"/>
  <c r="C4" i="7"/>
  <c r="A4" i="7"/>
  <c r="T3" i="7"/>
  <c r="L3" i="7"/>
  <c r="K3" i="7"/>
  <c r="J3" i="7"/>
  <c r="I3" i="7"/>
  <c r="H3" i="7"/>
  <c r="E3" i="7"/>
  <c r="D3" i="7"/>
  <c r="C3" i="7"/>
  <c r="A3" i="7"/>
  <c r="T2" i="7"/>
  <c r="L2" i="7"/>
  <c r="K2" i="7"/>
  <c r="J2" i="7"/>
  <c r="I2" i="7"/>
  <c r="H2" i="7"/>
  <c r="E2" i="7"/>
  <c r="D2" i="7"/>
  <c r="C2" i="7"/>
  <c r="A2" i="7"/>
  <c r="T12" i="6"/>
  <c r="L12" i="6"/>
  <c r="K12" i="6"/>
  <c r="J12" i="6"/>
  <c r="I12" i="6"/>
  <c r="H12" i="6"/>
  <c r="E12" i="6"/>
  <c r="D12" i="6"/>
  <c r="C12" i="6"/>
  <c r="A12" i="6"/>
  <c r="T11" i="6"/>
  <c r="L11" i="6"/>
  <c r="K11" i="6"/>
  <c r="J11" i="6"/>
  <c r="I11" i="6"/>
  <c r="H11" i="6"/>
  <c r="E11" i="6"/>
  <c r="D11" i="6"/>
  <c r="C11" i="6"/>
  <c r="A11" i="6"/>
  <c r="T10" i="6"/>
  <c r="L10" i="6"/>
  <c r="K10" i="6"/>
  <c r="J10" i="6"/>
  <c r="I10" i="6"/>
  <c r="H10" i="6"/>
  <c r="E10" i="6"/>
  <c r="D10" i="6"/>
  <c r="C10" i="6"/>
  <c r="A10" i="6"/>
  <c r="T9" i="6"/>
  <c r="L9" i="6"/>
  <c r="K9" i="6"/>
  <c r="J9" i="6"/>
  <c r="I9" i="6"/>
  <c r="H9" i="6"/>
  <c r="E9" i="6"/>
  <c r="D9" i="6"/>
  <c r="C9" i="6"/>
  <c r="A9" i="6"/>
  <c r="T8" i="6"/>
  <c r="L8" i="6"/>
  <c r="K8" i="6"/>
  <c r="J8" i="6"/>
  <c r="I8" i="6"/>
  <c r="H8" i="6"/>
  <c r="E8" i="6"/>
  <c r="D8" i="6"/>
  <c r="C8" i="6"/>
  <c r="A8" i="6"/>
  <c r="T7" i="6"/>
  <c r="L7" i="6"/>
  <c r="K7" i="6"/>
  <c r="J7" i="6"/>
  <c r="I7" i="6"/>
  <c r="H7" i="6"/>
  <c r="E7" i="6"/>
  <c r="D7" i="6"/>
  <c r="C7" i="6"/>
  <c r="A7" i="6"/>
  <c r="T6" i="6"/>
  <c r="L6" i="6"/>
  <c r="K6" i="6"/>
  <c r="J6" i="6"/>
  <c r="I6" i="6"/>
  <c r="H6" i="6"/>
  <c r="E6" i="6"/>
  <c r="D6" i="6"/>
  <c r="C6" i="6"/>
  <c r="A6" i="6"/>
  <c r="T5" i="6"/>
  <c r="L5" i="6"/>
  <c r="K5" i="6"/>
  <c r="J5" i="6"/>
  <c r="I5" i="6"/>
  <c r="H5" i="6"/>
  <c r="E5" i="6"/>
  <c r="D5" i="6"/>
  <c r="C5" i="6"/>
  <c r="A5" i="6"/>
  <c r="T4" i="6"/>
  <c r="L4" i="6"/>
  <c r="K4" i="6"/>
  <c r="J4" i="6"/>
  <c r="I4" i="6"/>
  <c r="H4" i="6"/>
  <c r="E4" i="6"/>
  <c r="D4" i="6"/>
  <c r="C4" i="6"/>
  <c r="A4" i="6"/>
  <c r="T3" i="6"/>
  <c r="L3" i="6"/>
  <c r="K3" i="6"/>
  <c r="J3" i="6"/>
  <c r="I3" i="6"/>
  <c r="H3" i="6"/>
  <c r="E3" i="6"/>
  <c r="D3" i="6"/>
  <c r="C3" i="6"/>
  <c r="A3" i="6"/>
  <c r="T2" i="6"/>
  <c r="L2" i="6"/>
  <c r="K2" i="6"/>
  <c r="J2" i="6"/>
  <c r="I2" i="6"/>
  <c r="H2" i="6"/>
  <c r="D2" i="6"/>
  <c r="C2" i="6"/>
  <c r="A2" i="6"/>
  <c r="T10" i="5"/>
  <c r="L10" i="5"/>
  <c r="K10" i="5"/>
  <c r="J10" i="5"/>
  <c r="I10" i="5"/>
  <c r="H10" i="5"/>
  <c r="D10" i="5"/>
  <c r="C10" i="5"/>
  <c r="A10" i="5"/>
  <c r="T9" i="5"/>
  <c r="L9" i="5"/>
  <c r="K9" i="5"/>
  <c r="J9" i="5"/>
  <c r="I9" i="5"/>
  <c r="H9" i="5"/>
  <c r="D9" i="5"/>
  <c r="C9" i="5"/>
  <c r="A9" i="5"/>
  <c r="T8" i="5"/>
  <c r="L8" i="5"/>
  <c r="K8" i="5"/>
  <c r="J8" i="5"/>
  <c r="I8" i="5"/>
  <c r="H8" i="5"/>
  <c r="D8" i="5"/>
  <c r="C8" i="5"/>
  <c r="A8" i="5"/>
  <c r="T7" i="5"/>
  <c r="L7" i="5"/>
  <c r="K7" i="5"/>
  <c r="J7" i="5"/>
  <c r="I7" i="5"/>
  <c r="H7" i="5"/>
  <c r="E10" i="5"/>
  <c r="D7" i="5"/>
  <c r="C7" i="5"/>
  <c r="A7" i="5"/>
  <c r="T6" i="5"/>
  <c r="L6" i="5"/>
  <c r="K6" i="5"/>
  <c r="J6" i="5"/>
  <c r="I6" i="5"/>
  <c r="H6" i="5"/>
  <c r="E9" i="5"/>
  <c r="D6" i="5"/>
  <c r="C6" i="5"/>
  <c r="A6" i="5"/>
  <c r="T5" i="5"/>
  <c r="L5" i="5"/>
  <c r="K5" i="5"/>
  <c r="J5" i="5"/>
  <c r="I5" i="5"/>
  <c r="H5" i="5"/>
  <c r="E8" i="5"/>
  <c r="D5" i="5"/>
  <c r="C5" i="5"/>
  <c r="A5" i="5"/>
  <c r="T4" i="5"/>
  <c r="L4" i="5"/>
  <c r="K4" i="5"/>
  <c r="J4" i="5"/>
  <c r="I4" i="5"/>
  <c r="H4" i="5"/>
  <c r="E7" i="5"/>
  <c r="D4" i="5"/>
  <c r="C4" i="5"/>
  <c r="A4" i="5"/>
  <c r="T3" i="5"/>
  <c r="L3" i="5"/>
  <c r="K3" i="5"/>
  <c r="J3" i="5"/>
  <c r="I3" i="5"/>
  <c r="H3" i="5"/>
  <c r="E5" i="5"/>
  <c r="D3" i="5"/>
  <c r="C3" i="5"/>
  <c r="A3" i="5"/>
  <c r="T2" i="5"/>
  <c r="L2" i="5"/>
  <c r="K2" i="5"/>
  <c r="J2" i="5"/>
  <c r="I2" i="5"/>
  <c r="H2" i="5"/>
  <c r="E2" i="5"/>
  <c r="D2" i="5"/>
  <c r="C2" i="5"/>
  <c r="A2" i="5"/>
  <c r="I14" i="4"/>
  <c r="I15" i="4"/>
  <c r="I16" i="4"/>
  <c r="I17" i="4"/>
  <c r="I18" i="4"/>
  <c r="J11" i="4"/>
  <c r="J12" i="4"/>
  <c r="J13" i="4"/>
  <c r="J14" i="4"/>
  <c r="J15" i="4"/>
  <c r="J16" i="4"/>
  <c r="J17" i="4"/>
  <c r="J18" i="4"/>
  <c r="J9" i="4"/>
  <c r="J10" i="4"/>
  <c r="I10" i="4"/>
  <c r="I11" i="4"/>
  <c r="I12" i="4"/>
  <c r="I13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J2" i="4"/>
  <c r="J3" i="4"/>
  <c r="J4" i="4"/>
  <c r="J5" i="4"/>
  <c r="J6" i="4"/>
  <c r="J7" i="4"/>
  <c r="J8" i="4"/>
  <c r="T18" i="4"/>
  <c r="L18" i="4"/>
  <c r="K18" i="4"/>
  <c r="H18" i="4"/>
  <c r="G18" i="4"/>
  <c r="D18" i="4"/>
  <c r="C18" i="4"/>
  <c r="A18" i="4"/>
  <c r="T17" i="4"/>
  <c r="L17" i="4"/>
  <c r="K17" i="4"/>
  <c r="H17" i="4"/>
  <c r="D17" i="4"/>
  <c r="C17" i="4"/>
  <c r="A17" i="4"/>
  <c r="T16" i="4"/>
  <c r="L16" i="4"/>
  <c r="K16" i="4"/>
  <c r="H16" i="4"/>
  <c r="D16" i="4"/>
  <c r="C16" i="4"/>
  <c r="A16" i="4"/>
  <c r="T15" i="4"/>
  <c r="L15" i="4"/>
  <c r="K15" i="4"/>
  <c r="H15" i="4"/>
  <c r="D15" i="4"/>
  <c r="C15" i="4"/>
  <c r="A15" i="4"/>
  <c r="T14" i="4"/>
  <c r="L14" i="4"/>
  <c r="K14" i="4"/>
  <c r="H14" i="4"/>
  <c r="D14" i="4"/>
  <c r="C14" i="4"/>
  <c r="A14" i="4"/>
  <c r="T13" i="4"/>
  <c r="L13" i="4"/>
  <c r="K13" i="4"/>
  <c r="H13" i="4"/>
  <c r="D13" i="4"/>
  <c r="C13" i="4"/>
  <c r="A13" i="4"/>
  <c r="T12" i="4"/>
  <c r="L12" i="4"/>
  <c r="K12" i="4"/>
  <c r="H12" i="4"/>
  <c r="D12" i="4"/>
  <c r="C12" i="4"/>
  <c r="A12" i="4"/>
  <c r="T11" i="4"/>
  <c r="L11" i="4"/>
  <c r="K11" i="4"/>
  <c r="H11" i="4"/>
  <c r="D11" i="4"/>
  <c r="C11" i="4"/>
  <c r="A11" i="4"/>
  <c r="T10" i="4"/>
  <c r="L10" i="4"/>
  <c r="K10" i="4"/>
  <c r="H10" i="4"/>
  <c r="D10" i="4"/>
  <c r="C10" i="4"/>
  <c r="A10" i="4"/>
  <c r="T9" i="4"/>
  <c r="L9" i="4"/>
  <c r="K9" i="4"/>
  <c r="I9" i="4"/>
  <c r="H9" i="4"/>
  <c r="D9" i="4"/>
  <c r="C9" i="4"/>
  <c r="A9" i="4"/>
  <c r="T8" i="4"/>
  <c r="L8" i="4"/>
  <c r="K8" i="4"/>
  <c r="I8" i="4"/>
  <c r="H8" i="4"/>
  <c r="D8" i="4"/>
  <c r="C8" i="4"/>
  <c r="A8" i="4"/>
  <c r="T7" i="4"/>
  <c r="L7" i="4"/>
  <c r="K7" i="4"/>
  <c r="I7" i="4"/>
  <c r="H7" i="4"/>
  <c r="D7" i="4"/>
  <c r="C7" i="4"/>
  <c r="A7" i="4"/>
  <c r="T6" i="4"/>
  <c r="L6" i="4"/>
  <c r="K6" i="4"/>
  <c r="I6" i="4"/>
  <c r="H6" i="4"/>
  <c r="D6" i="4"/>
  <c r="C6" i="4"/>
  <c r="A6" i="4"/>
  <c r="T5" i="4"/>
  <c r="L5" i="4"/>
  <c r="K5" i="4"/>
  <c r="I5" i="4"/>
  <c r="H5" i="4"/>
  <c r="D5" i="4"/>
  <c r="C5" i="4"/>
  <c r="A5" i="4"/>
  <c r="T4" i="4"/>
  <c r="L4" i="4"/>
  <c r="K4" i="4"/>
  <c r="I4" i="4"/>
  <c r="H4" i="4"/>
  <c r="D4" i="4"/>
  <c r="C4" i="4"/>
  <c r="A4" i="4"/>
  <c r="T3" i="4"/>
  <c r="L3" i="4"/>
  <c r="K3" i="4"/>
  <c r="I3" i="4"/>
  <c r="H3" i="4"/>
  <c r="D3" i="4"/>
  <c r="C3" i="4"/>
  <c r="A3" i="4"/>
  <c r="T2" i="4"/>
  <c r="L2" i="4"/>
  <c r="K2" i="4"/>
  <c r="I2" i="4"/>
  <c r="H2" i="4"/>
  <c r="D2" i="4"/>
  <c r="C2" i="4"/>
  <c r="A2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R14" i="1"/>
  <c r="A50" i="2"/>
  <c r="A49" i="2"/>
  <c r="G49" i="2" s="1"/>
  <c r="A48" i="2"/>
  <c r="G48" i="2" s="1"/>
  <c r="A47" i="2"/>
  <c r="G47" i="2" s="1"/>
  <c r="A46" i="2"/>
  <c r="A45" i="2"/>
  <c r="G45" i="2" s="1"/>
  <c r="A44" i="2"/>
  <c r="G44" i="2" s="1"/>
  <c r="A43" i="2"/>
  <c r="G43" i="2" s="1"/>
  <c r="A42" i="2"/>
  <c r="G42" i="2" s="1"/>
  <c r="G16" i="3" s="1"/>
  <c r="A41" i="2"/>
  <c r="G41" i="2" s="1"/>
  <c r="A40" i="2"/>
  <c r="G40" i="2" s="1"/>
  <c r="G16" i="4" s="1"/>
  <c r="A39" i="2"/>
  <c r="G39" i="2" s="1"/>
  <c r="G8" i="5" s="1"/>
  <c r="A38" i="2"/>
  <c r="G38" i="2" s="1"/>
  <c r="G7" i="5" s="1"/>
  <c r="A37" i="2"/>
  <c r="G37" i="2" s="1"/>
  <c r="A36" i="2"/>
  <c r="G36" i="2" s="1"/>
  <c r="G15" i="4" s="1"/>
  <c r="A35" i="2"/>
  <c r="G35" i="2" s="1"/>
  <c r="A34" i="2"/>
  <c r="G34" i="2" s="1"/>
  <c r="A33" i="2"/>
  <c r="G33" i="2" s="1"/>
  <c r="A32" i="2"/>
  <c r="G32" i="2" s="1"/>
  <c r="A31" i="2"/>
  <c r="G31" i="2" s="1"/>
  <c r="A30" i="2"/>
  <c r="A29" i="2"/>
  <c r="G29" i="2" s="1"/>
  <c r="G12" i="4" s="1"/>
  <c r="A28" i="2"/>
  <c r="G28" i="2" s="1"/>
  <c r="A27" i="2"/>
  <c r="G27" i="2" s="1"/>
  <c r="A26" i="2"/>
  <c r="G26" i="2" s="1"/>
  <c r="A25" i="2"/>
  <c r="G25" i="2" s="1"/>
  <c r="A24" i="2"/>
  <c r="A23" i="2"/>
  <c r="G23" i="2" s="1"/>
  <c r="G10" i="5" s="1"/>
  <c r="A22" i="2"/>
  <c r="A21" i="2"/>
  <c r="G21" i="2" s="1"/>
  <c r="G9" i="5" s="1"/>
  <c r="A20" i="2"/>
  <c r="G20" i="2" s="1"/>
  <c r="A19" i="2"/>
  <c r="G19" i="2" s="1"/>
  <c r="A18" i="2"/>
  <c r="G18" i="2" s="1"/>
  <c r="A17" i="2"/>
  <c r="G17" i="2" s="1"/>
  <c r="A16" i="2"/>
  <c r="G16" i="2" s="1"/>
  <c r="A15" i="2"/>
  <c r="G15" i="2" s="1"/>
  <c r="A14" i="2"/>
  <c r="G14" i="2" s="1"/>
  <c r="A13" i="2"/>
  <c r="G13" i="2" s="1"/>
  <c r="G6" i="4" s="1"/>
  <c r="A12" i="2"/>
  <c r="G12" i="2" s="1"/>
  <c r="A11" i="2"/>
  <c r="G11" i="2" s="1"/>
  <c r="A10" i="2"/>
  <c r="G10" i="2" s="1"/>
  <c r="A9" i="2"/>
  <c r="G9" i="2" s="1"/>
  <c r="G4" i="4" s="1"/>
  <c r="A8" i="2"/>
  <c r="A7" i="2"/>
  <c r="G7" i="2" s="1"/>
  <c r="A6" i="2"/>
  <c r="G6" i="2" s="1"/>
  <c r="A5" i="2"/>
  <c r="G5" i="2" s="1"/>
  <c r="A4" i="2"/>
  <c r="G4" i="2" s="1"/>
  <c r="G2" i="4" s="1"/>
  <c r="A3" i="2"/>
  <c r="G3" i="2" s="1"/>
  <c r="G8" i="2"/>
  <c r="A2" i="2"/>
  <c r="G2" i="2" s="1"/>
  <c r="G2" i="3" s="1"/>
  <c r="G50" i="2"/>
  <c r="I9" i="3"/>
  <c r="I10" i="3"/>
  <c r="I11" i="3"/>
  <c r="I12" i="3"/>
  <c r="I13" i="3"/>
  <c r="I14" i="3"/>
  <c r="I15" i="3"/>
  <c r="I16" i="3"/>
  <c r="I17" i="3"/>
  <c r="I18" i="3"/>
  <c r="I19" i="3"/>
  <c r="I20" i="3"/>
  <c r="I2" i="3"/>
  <c r="I3" i="3"/>
  <c r="I4" i="3"/>
  <c r="I5" i="3"/>
  <c r="I6" i="3"/>
  <c r="I7" i="3"/>
  <c r="I8" i="3"/>
  <c r="A100" i="2"/>
  <c r="G100" i="2" s="1"/>
  <c r="A73" i="2"/>
  <c r="G73" i="2" s="1"/>
  <c r="G22" i="2"/>
  <c r="G10" i="4" s="1"/>
  <c r="G24" i="2"/>
  <c r="G30" i="2"/>
  <c r="G46" i="2"/>
  <c r="A51" i="2"/>
  <c r="G51" i="2" s="1"/>
  <c r="A52" i="2"/>
  <c r="G52" i="2" s="1"/>
  <c r="A53" i="2"/>
  <c r="G53" i="2" s="1"/>
  <c r="A54" i="2"/>
  <c r="G54" i="2" s="1"/>
  <c r="A55" i="2"/>
  <c r="G55" i="2" s="1"/>
  <c r="A56" i="2"/>
  <c r="G56" i="2" s="1"/>
  <c r="A57" i="2"/>
  <c r="G57" i="2" s="1"/>
  <c r="A58" i="2"/>
  <c r="G58" i="2" s="1"/>
  <c r="A59" i="2"/>
  <c r="G59" i="2" s="1"/>
  <c r="A60" i="2"/>
  <c r="G60" i="2" s="1"/>
  <c r="A61" i="2"/>
  <c r="G61" i="2" s="1"/>
  <c r="A62" i="2"/>
  <c r="G62" i="2" s="1"/>
  <c r="A63" i="2"/>
  <c r="G63" i="2" s="1"/>
  <c r="A64" i="2"/>
  <c r="G64" i="2" s="1"/>
  <c r="A65" i="2"/>
  <c r="G65" i="2" s="1"/>
  <c r="A66" i="2"/>
  <c r="G66" i="2" s="1"/>
  <c r="A67" i="2"/>
  <c r="G67" i="2" s="1"/>
  <c r="A68" i="2"/>
  <c r="G68" i="2" s="1"/>
  <c r="A69" i="2"/>
  <c r="G69" i="2" s="1"/>
  <c r="A70" i="2"/>
  <c r="G70" i="2" s="1"/>
  <c r="A71" i="2"/>
  <c r="G71" i="2" s="1"/>
  <c r="A72" i="2"/>
  <c r="G72" i="2" s="1"/>
  <c r="A74" i="2"/>
  <c r="G74" i="2" s="1"/>
  <c r="A75" i="2"/>
  <c r="G75" i="2" s="1"/>
  <c r="A76" i="2"/>
  <c r="G76" i="2" s="1"/>
  <c r="A77" i="2"/>
  <c r="G77" i="2" s="1"/>
  <c r="A78" i="2"/>
  <c r="G78" i="2" s="1"/>
  <c r="A79" i="2"/>
  <c r="G79" i="2" s="1"/>
  <c r="A80" i="2"/>
  <c r="G80" i="2" s="1"/>
  <c r="A81" i="2"/>
  <c r="G81" i="2" s="1"/>
  <c r="A82" i="2"/>
  <c r="G82" i="2" s="1"/>
  <c r="A83" i="2"/>
  <c r="G83" i="2" s="1"/>
  <c r="A84" i="2"/>
  <c r="G84" i="2" s="1"/>
  <c r="A85" i="2"/>
  <c r="G85" i="2" s="1"/>
  <c r="A86" i="2"/>
  <c r="G86" i="2" s="1"/>
  <c r="A87" i="2"/>
  <c r="G87" i="2" s="1"/>
  <c r="A88" i="2"/>
  <c r="G88" i="2" s="1"/>
  <c r="A89" i="2"/>
  <c r="G89" i="2" s="1"/>
  <c r="A90" i="2"/>
  <c r="G90" i="2" s="1"/>
  <c r="A91" i="2"/>
  <c r="G91" i="2" s="1"/>
  <c r="A92" i="2"/>
  <c r="G92" i="2" s="1"/>
  <c r="A93" i="2"/>
  <c r="G93" i="2" s="1"/>
  <c r="A94" i="2"/>
  <c r="G94" i="2" s="1"/>
  <c r="A95" i="2"/>
  <c r="G95" i="2" s="1"/>
  <c r="A96" i="2"/>
  <c r="G96" i="2" s="1"/>
  <c r="A97" i="2"/>
  <c r="G97" i="2" s="1"/>
  <c r="A98" i="2"/>
  <c r="G98" i="2" s="1"/>
  <c r="A99" i="2"/>
  <c r="G99" i="2" s="1"/>
  <c r="G4" i="5" l="1"/>
  <c r="G3" i="5"/>
  <c r="G2" i="5"/>
  <c r="G5" i="5"/>
  <c r="G6" i="5"/>
  <c r="G13" i="7"/>
  <c r="G8" i="7"/>
  <c r="G11" i="7"/>
  <c r="G7" i="7"/>
  <c r="G8" i="4"/>
  <c r="G13" i="4"/>
  <c r="G12" i="7"/>
  <c r="G4" i="7"/>
  <c r="G14" i="7"/>
  <c r="G2" i="7"/>
  <c r="G2" i="6"/>
  <c r="G3" i="7"/>
  <c r="G11" i="4"/>
  <c r="G14" i="4"/>
  <c r="G17" i="4"/>
  <c r="G6" i="7"/>
  <c r="G16" i="7"/>
  <c r="G10" i="7"/>
  <c r="G5" i="7"/>
  <c r="G9" i="7"/>
  <c r="G15" i="7"/>
  <c r="G3" i="4"/>
  <c r="G5" i="4"/>
  <c r="G7" i="4"/>
  <c r="G9" i="4"/>
  <c r="G12" i="3"/>
  <c r="G11" i="3"/>
  <c r="G8" i="3"/>
  <c r="G5" i="3"/>
  <c r="G4" i="3"/>
  <c r="G17" i="3"/>
  <c r="G10" i="3"/>
  <c r="G15" i="3"/>
  <c r="G9" i="3"/>
  <c r="G3" i="3"/>
  <c r="G20" i="3"/>
  <c r="G14" i="3"/>
  <c r="G19" i="3"/>
  <c r="G13" i="3"/>
  <c r="G7" i="3"/>
  <c r="G18" i="3"/>
  <c r="G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BC7777-051A-49A4-8FE1-961616F0CCDE}" keepAlive="1" name="Query - Egosmart" description="Connection to the 'Egosmart' query in the workbook." type="5" refreshedVersion="8" background="1" saveData="1">
    <dbPr connection="Provider=Microsoft.Mashup.OleDb.1;Data Source=$Workbook$;Location=Egosmart;Extended Properties=&quot;&quot;" command="SELECT * FROM [Egosmart]"/>
  </connection>
</connections>
</file>

<file path=xl/sharedStrings.xml><?xml version="1.0" encoding="utf-8"?>
<sst xmlns="http://schemas.openxmlformats.org/spreadsheetml/2006/main" count="1954" uniqueCount="298">
  <si>
    <t>Kí hiệu</t>
  </si>
  <si>
    <t>Phụ trách</t>
  </si>
  <si>
    <t>Tên giáo viên</t>
  </si>
  <si>
    <t>Cách thu</t>
  </si>
  <si>
    <t>TT</t>
  </si>
  <si>
    <t>Mô tả</t>
  </si>
  <si>
    <t>Lê Thành Chuẩn</t>
  </si>
  <si>
    <t>E01</t>
  </si>
  <si>
    <t>GS</t>
  </si>
  <si>
    <t>Theo quý 03 tháng</t>
  </si>
  <si>
    <t>Trương Thái Hoàng Long</t>
  </si>
  <si>
    <t>E02</t>
  </si>
  <si>
    <t>HL</t>
  </si>
  <si>
    <t>T</t>
  </si>
  <si>
    <t>Q</t>
  </si>
  <si>
    <t>Đặng Công Danh</t>
  </si>
  <si>
    <t>E03</t>
  </si>
  <si>
    <t>CD</t>
  </si>
  <si>
    <t>Đỗ Nguyễn Nguyên Khôi</t>
  </si>
  <si>
    <t>Tên học sinh</t>
  </si>
  <si>
    <t>Hồng Trúc Vi</t>
  </si>
  <si>
    <t>TV</t>
  </si>
  <si>
    <t>Đỗ Hoàng Thục Khuê</t>
  </si>
  <si>
    <t>Trần Thùy Mỵ</t>
  </si>
  <si>
    <t>TM</t>
  </si>
  <si>
    <t>Lê Quang Vinh</t>
  </si>
  <si>
    <t>Phan Thúy Bảo</t>
  </si>
  <si>
    <t>Hà Lê Như Trúc</t>
  </si>
  <si>
    <t>Đào Nguyễn Anh Đào</t>
  </si>
  <si>
    <t>AD</t>
  </si>
  <si>
    <t>Lâm Nhã Uyên</t>
  </si>
  <si>
    <t>QK</t>
  </si>
  <si>
    <t>Hồng Minh Phát</t>
  </si>
  <si>
    <t>Đinh Việt Thiên Trang</t>
  </si>
  <si>
    <t>Nguyễn Lý Thiên Phúc</t>
  </si>
  <si>
    <t>Bùi Phan Thiên Phú</t>
  </si>
  <si>
    <t>Nguyễn Hữu Vinh</t>
  </si>
  <si>
    <t>Hoàng Hà Chi</t>
  </si>
  <si>
    <t>Toán tiểu học</t>
  </si>
  <si>
    <t>Toán - Trung học phổ thông</t>
  </si>
  <si>
    <t>Toán - Trung học cơ sở</t>
  </si>
  <si>
    <t>Anh văn thiếu nhi</t>
  </si>
  <si>
    <t>Anh văn - Tiểu học</t>
  </si>
  <si>
    <t>Anh văn - Trung học phổ thông</t>
  </si>
  <si>
    <t>Anh văn - Trung học cơ sở</t>
  </si>
  <si>
    <t>Phụ đạo trung học cơ sở</t>
  </si>
  <si>
    <t>Phụ đạo trung học phổ thông</t>
  </si>
  <si>
    <t>Môn tự chọn trung học cơ sở</t>
  </si>
  <si>
    <t>Môn tự chọn trung học phổ thông</t>
  </si>
  <si>
    <t>TC</t>
  </si>
  <si>
    <t>Toán tiểu học &amp; soroban</t>
  </si>
  <si>
    <t>MT</t>
  </si>
  <si>
    <t>MS</t>
  </si>
  <si>
    <t>MP</t>
  </si>
  <si>
    <t>MC</t>
  </si>
  <si>
    <t>AT</t>
  </si>
  <si>
    <t>AP</t>
  </si>
  <si>
    <t>AC</t>
  </si>
  <si>
    <t>PC</t>
  </si>
  <si>
    <t>PP</t>
  </si>
  <si>
    <t>TP</t>
  </si>
  <si>
    <t>AK</t>
  </si>
  <si>
    <t>Môn học</t>
  </si>
  <si>
    <t>Mã số</t>
  </si>
  <si>
    <t>Nguyễn Quốc Khang</t>
  </si>
  <si>
    <t>Võ Thành Nguyên</t>
  </si>
  <si>
    <t>T01</t>
  </si>
  <si>
    <t>T02</t>
  </si>
  <si>
    <t>T03</t>
  </si>
  <si>
    <t>T04</t>
  </si>
  <si>
    <t>T08</t>
  </si>
  <si>
    <t>T09</t>
  </si>
  <si>
    <t>TB</t>
  </si>
  <si>
    <t>TN</t>
  </si>
  <si>
    <t>Môn</t>
  </si>
  <si>
    <t>Mã lớp</t>
  </si>
  <si>
    <t>Lịch học</t>
  </si>
  <si>
    <t xml:space="preserve">Ca </t>
  </si>
  <si>
    <t>Hệ số buổi</t>
  </si>
  <si>
    <t>Theo tháng</t>
  </si>
  <si>
    <t>D</t>
  </si>
  <si>
    <t>Theo ngày học</t>
  </si>
  <si>
    <t>Hình thức học</t>
  </si>
  <si>
    <t>G</t>
  </si>
  <si>
    <t>Tập trung theo lớp</t>
  </si>
  <si>
    <t>P</t>
  </si>
  <si>
    <t>O</t>
  </si>
  <si>
    <t xml:space="preserve">Online </t>
  </si>
  <si>
    <t>Kèm riêng</t>
  </si>
  <si>
    <t>Lịch nghỉ</t>
  </si>
  <si>
    <t>Ghi chú</t>
  </si>
  <si>
    <t>Nguyễn Cao Quỳnh Chi</t>
  </si>
  <si>
    <t>Phạm Dĩ Đắc Kiếm</t>
  </si>
  <si>
    <t>Trần Huỳnh Trung Nhân</t>
  </si>
  <si>
    <t>Trần Huỳnh Trung Nghĩa</t>
  </si>
  <si>
    <t>Trần Minh Thùy</t>
  </si>
  <si>
    <t>Nguyễn Ngọc Ngân</t>
  </si>
  <si>
    <t>Phạm Lê Hoàng Dương</t>
  </si>
  <si>
    <t>Huỳnh Lê Anh Thư</t>
  </si>
  <si>
    <t>Huỳnh Lê Ngọc Như</t>
  </si>
  <si>
    <t>Đinh Việt Quốc Trang</t>
  </si>
  <si>
    <t>Nguyễn Lý Thiên Kim</t>
  </si>
  <si>
    <t>Nguyễn Mai Xuân Trúc</t>
  </si>
  <si>
    <t>Nguyễn Ngọc Phương Vy</t>
  </si>
  <si>
    <t>Từ Vũ Phương Nghi</t>
  </si>
  <si>
    <t>Lỗ Quốc Thịnh</t>
  </si>
  <si>
    <t>Nguyễn Mạnh Khổng</t>
  </si>
  <si>
    <t>Nguyễn Đặng Thùy Dương</t>
  </si>
  <si>
    <t>Trần Minh Thư</t>
  </si>
  <si>
    <t>Huỳnh Minh Khoa</t>
  </si>
  <si>
    <t>Nguyễn Lý Bảo Hân</t>
  </si>
  <si>
    <t>Nguyễn Song Huy</t>
  </si>
  <si>
    <t>Hồ Đăng Khôi</t>
  </si>
  <si>
    <t>Trần Kiến Văn</t>
  </si>
  <si>
    <t>Nguyễn Kim Ngân</t>
  </si>
  <si>
    <t>Phan Văn Hào</t>
  </si>
  <si>
    <t>Trần Đăng Khoa</t>
  </si>
  <si>
    <t>Lê Thị Xuân Nhi</t>
  </si>
  <si>
    <t>Trịnh Thiên Kỳ</t>
  </si>
  <si>
    <t>Nguyễn Phát Tài</t>
  </si>
  <si>
    <t>Nguyễn Đặng Ánh Dương</t>
  </si>
  <si>
    <t>Lê Bảo Trân</t>
  </si>
  <si>
    <t>Vũ Võ Minh Hoàng</t>
  </si>
  <si>
    <t>Hoàng Hà Phương</t>
  </si>
  <si>
    <t>Võ Phan Khởi My</t>
  </si>
  <si>
    <t>Nguyễn Xuân Tân</t>
  </si>
  <si>
    <t>STT</t>
  </si>
  <si>
    <t>Mã HS</t>
  </si>
  <si>
    <t>Giới tính</t>
  </si>
  <si>
    <t>Gia đình</t>
  </si>
  <si>
    <t>Năm sinh</t>
  </si>
  <si>
    <t>Khối lớp</t>
  </si>
  <si>
    <t>Phụ huynh</t>
  </si>
  <si>
    <t xml:space="preserve">Liên hệ </t>
  </si>
  <si>
    <t>Điện thoại</t>
  </si>
  <si>
    <t>Email</t>
  </si>
  <si>
    <t>Nam</t>
  </si>
  <si>
    <t>Nữ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</si>
  <si>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</si>
  <si>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</si>
  <si>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</si>
  <si>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</si>
  <si>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</si>
  <si>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</si>
  <si>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</si>
  <si>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</si>
  <si>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</si>
  <si>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</si>
  <si>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</si>
  <si>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</si>
  <si>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</si>
  <si>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</si>
  <si>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</si>
  <si>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</si>
  <si>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</si>
  <si>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</si>
  <si>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</si>
  <si>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</si>
  <si>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</si>
  <si>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</si>
  <si>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</si>
  <si>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</si>
  <si>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</si>
  <si>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</si>
  <si>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</si>
  <si>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</si>
  <si>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</si>
  <si>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</si>
  <si>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</si>
  <si>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</si>
  <si>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</si>
  <si>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</si>
  <si>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</si>
  <si>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</si>
  <si>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</si>
  <si>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</si>
  <si>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</si>
  <si>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</si>
  <si>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</si>
  <si>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</si>
  <si>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</si>
  <si>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</si>
  <si>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</si>
  <si>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</si>
  <si>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</si>
  <si>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</si>
  <si>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</si>
  <si>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</si>
  <si>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</si>
  <si>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</si>
  <si>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</si>
  <si>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</si>
  <si>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</si>
  <si>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</si>
  <si>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</si>
  <si>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</si>
  <si>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Học sinh</t>
  </si>
  <si>
    <t>Tối</t>
  </si>
  <si>
    <t>MT001</t>
  </si>
  <si>
    <t>Giờ về</t>
  </si>
  <si>
    <t>Thứ Ba</t>
  </si>
  <si>
    <t>Thứ Tư</t>
  </si>
  <si>
    <t>Thứ Năm</t>
  </si>
  <si>
    <t>Thứ SáU</t>
  </si>
  <si>
    <t>Thứ BảY</t>
  </si>
  <si>
    <t>Chủ NhậT</t>
  </si>
  <si>
    <t>Thứ Hai</t>
  </si>
  <si>
    <t>Giờ đến</t>
  </si>
  <si>
    <t>Ca</t>
  </si>
  <si>
    <t>19h00</t>
  </si>
  <si>
    <t>20h30</t>
  </si>
  <si>
    <t>Các học sinh không xếp được lịch chung</t>
  </si>
  <si>
    <t>Lớp</t>
  </si>
  <si>
    <t>MT002</t>
  </si>
  <si>
    <t>Lịch chuẩn khối 5</t>
  </si>
  <si>
    <t>MT003</t>
  </si>
  <si>
    <t>MT004</t>
  </si>
  <si>
    <t>MT005</t>
  </si>
  <si>
    <t>MT006</t>
  </si>
  <si>
    <t>Lịch chuẩn khối 0;1;2;3;4</t>
  </si>
  <si>
    <t>Lịch chuẩn cho các học sinh Mầm non</t>
  </si>
  <si>
    <t>Validation</t>
  </si>
  <si>
    <t>Hồng Minh Ngọc</t>
  </si>
  <si>
    <t>Huỳnh Ngọc Kim Anh</t>
  </si>
  <si>
    <t>Ngọc Hiếu</t>
  </si>
  <si>
    <t>Mẹ</t>
  </si>
  <si>
    <t>Thứ Tư</t>
  </si>
  <si>
    <t>Thứ Sáu</t>
  </si>
  <si>
    <t>Thứ Ba</t>
  </si>
  <si>
    <t>Thứ Năm</t>
  </si>
  <si>
    <t>Thứ Bảy</t>
  </si>
  <si>
    <t>Chủ Nhật</t>
  </si>
  <si>
    <t>Tên lớp</t>
  </si>
  <si>
    <t>G010</t>
  </si>
  <si>
    <t>Toán THCS - Khối 6</t>
  </si>
  <si>
    <t>Toán THCS - Khối 7</t>
  </si>
  <si>
    <t>Toán THCS - Khối 8</t>
  </si>
  <si>
    <t>Toán THCS - Khối 9</t>
  </si>
  <si>
    <t>MC001</t>
  </si>
  <si>
    <t>MC002</t>
  </si>
  <si>
    <t>MC003</t>
  </si>
  <si>
    <t>MC004</t>
  </si>
  <si>
    <t>Lịch chuẩn khối 6</t>
  </si>
  <si>
    <t>Lịch chuẩn khối 7</t>
  </si>
  <si>
    <t>Lịch chuẩn khối 8</t>
  </si>
  <si>
    <t>Lịch chuẩn khối 9</t>
  </si>
  <si>
    <t>Chiều</t>
  </si>
  <si>
    <t>Toán THPT - Khối 10</t>
  </si>
  <si>
    <t>Toán THPT - Khối 11</t>
  </si>
  <si>
    <t>Toán THPT - Khối 12</t>
  </si>
  <si>
    <t>MP001</t>
  </si>
  <si>
    <t>MP002</t>
  </si>
  <si>
    <t>MP003</t>
  </si>
  <si>
    <t>Lịch chuẩn khối 10</t>
  </si>
  <si>
    <t>Lịch chuẩn khối 11</t>
  </si>
  <si>
    <t>Lịch chuẩn khối 12</t>
  </si>
  <si>
    <t>16h30</t>
  </si>
  <si>
    <t>18h30</t>
  </si>
  <si>
    <t>Phụ đạo anh văn - Cấp 3</t>
  </si>
  <si>
    <t>Vật lí THPT - Khối 11</t>
  </si>
  <si>
    <t>PP001</t>
  </si>
  <si>
    <t>TP001</t>
  </si>
  <si>
    <t>Lớp dành riêng cho Phương Nghi</t>
  </si>
  <si>
    <t>Lớp chuyên Vật Lí - Khối 11</t>
  </si>
  <si>
    <t>Sáng 6</t>
  </si>
  <si>
    <t>AT001</t>
  </si>
  <si>
    <t>AC001</t>
  </si>
  <si>
    <t>Anh văn tiểu học</t>
  </si>
  <si>
    <t>Lớp của cô Thúy Bảo</t>
  </si>
  <si>
    <t>Lớp của cô Thùy Mỵ</t>
  </si>
  <si>
    <t>Lớp của cô Anh Đào</t>
  </si>
  <si>
    <t>AC002</t>
  </si>
  <si>
    <t>Anh văn THCS - Khối 8 9</t>
  </si>
  <si>
    <t>Anh văn THCS - Khối 6 7</t>
  </si>
  <si>
    <t>Lớp 4</t>
  </si>
  <si>
    <t>Lớp 5</t>
  </si>
  <si>
    <t>Lớp 6</t>
  </si>
  <si>
    <t>Lớp 8</t>
  </si>
  <si>
    <t>Lớp 1</t>
  </si>
  <si>
    <t>Lớp 11</t>
  </si>
  <si>
    <t>Lớp 9</t>
  </si>
  <si>
    <t>Lớp 7</t>
  </si>
  <si>
    <t>Mầm non</t>
  </si>
  <si>
    <t>Lớp 2</t>
  </si>
  <si>
    <t>Lớp 10</t>
  </si>
  <si>
    <t>Lớp 12</t>
  </si>
  <si>
    <t>Lớp 3</t>
  </si>
  <si>
    <t>Thứ Hai_Thứ Tư_Thứ Sáu</t>
  </si>
  <si>
    <t>Thứ Ba_Thứ Năm_Thứ Sáu</t>
  </si>
  <si>
    <t>Thứ Sáu_Thứ Bảy_Chủ Nhật</t>
  </si>
  <si>
    <t>Thứ Bảy_Chủ Nhật</t>
  </si>
  <si>
    <t>Thứ Hai_Thứ Ba_Thứ Tư_Thứ Năm_Thứ Sáu</t>
  </si>
  <si>
    <t>Thứ Ba_Thứ Tư_Thứ Năm</t>
  </si>
  <si>
    <t>Thứ Hai_Thứ Tư</t>
  </si>
  <si>
    <t>Thứ Hai_Thứ Ba_Thứ Tư_Thứ Năm_Thứ Sáu_Thứ Bảy</t>
  </si>
  <si>
    <t>Thứ Ba_Thứ Năm</t>
  </si>
  <si>
    <t>Index</t>
  </si>
  <si>
    <t>Index.1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</si>
</sst>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000000000"/>
  </numFmts>
  <fonts count="6" x14ac:knownFonts="1">
    <font>
      <sz val="11"/>
      <color theme="1"/>
      <name val="Calibri"/>
      <family val="2"/>
      <charset val="163"/>
      <scheme val="minor"/>
    </font>
    <font>
      <sz val="11"/>
      <color rgb="FF000000"/>
      <name val="Arial"/>
      <family val="2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4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5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2" borderId="0" xfId="0" applyFont="1" applyFill="1" applyAlignment="1">
      <alignment horizontal="center" vertical="center"/>
    </xf>
    <xf numFmtId="0" fontId="0" fillId="0" borderId="0" xfId="0" quotePrefix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60">
    <dxf>
      <font>
        <b/>
        <i val="0"/>
        <color theme="0"/>
      </font>
      <fill>
        <patternFill>
          <bgColor theme="4" tint="0.39994506668294322"/>
        </patternFill>
      </fill>
      <border>
        <left/>
        <right/>
        <top/>
        <bottom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0.39994506668294322"/>
        </patternFill>
      </fill>
      <border>
        <left/>
        <right/>
        <top/>
        <bottom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0.39994506668294322"/>
        </patternFill>
      </fill>
      <border>
        <left/>
        <right/>
        <top/>
        <bottom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0.39994506668294322"/>
        </patternFill>
      </fill>
      <border>
        <left/>
        <right/>
        <top/>
        <bottom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0.39994506668294322"/>
        </patternFill>
      </fill>
      <border>
        <left/>
        <right/>
        <top/>
        <bottom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>
          <bgColor theme="4" tint="0.39994506668294322"/>
        </patternFill>
      </fill>
      <border>
        <left/>
        <right/>
        <top/>
        <bottom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3"/>
        <scheme val="minor"/>
      </font>
      <alignment horizontal="center" vertical="center" textRotation="0" wrapText="0" indent="0" justifyLastLine="0" shrinkToFit="0" readingOrder="0"/>
    </dxf>
    <dxf>
      <numFmt numFmtId="165" formatCode="000000000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strike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1" defaultTableStyle="TableStyleMedium2" defaultPivotStyle="PivotStyleLight16">
    <tableStyle name="Table Style 1" pivot="0" count="0" xr9:uid="{B3EA6FB7-5691-4770-8174-84C67BC8C757}"/>
  </tableStyles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E4251D-D798-4716-BF8F-211BD33A0F2C}" autoFormatId="16" applyNumberFormats="0" applyBorderFormats="0" applyFontFormats="0" applyPatternFormats="0" applyAlignmentFormats="0" applyWidthHeightFormats="0">
  <queryTableRefresh nextId="26">
    <queryTableFields count="23">
      <queryTableField id="23" name="TT" tableColumnId="23"/>
      <queryTableField id="2" name="Mã lớp" tableColumnId="2"/>
      <queryTableField id="3" name="Tên lớp" tableColumnId="3"/>
      <queryTableField id="4" name="Mô tả" tableColumnId="4"/>
      <queryTableField id="5" name="Học sinh" tableColumnId="5"/>
      <queryTableField id="6" name="Mã HS" tableColumnId="6"/>
      <queryTableField id="7" name="Lớp" tableColumnId="7"/>
      <queryTableField id="8" name="Môn học" tableColumnId="8"/>
      <queryTableField id="9" name="Ca" tableColumnId="9"/>
      <queryTableField id="10" name="Lịch học" tableColumnId="10"/>
      <queryTableField id="11" name="Giờ đến" tableColumnId="11"/>
      <queryTableField id="12" name="Giờ về" tableColumnId="12"/>
      <queryTableField id="13" name="Thứ Hai" tableColumnId="13"/>
      <queryTableField id="14" name="Thứ Ba" tableColumnId="14"/>
      <queryTableField id="15" name="Thứ Tư" tableColumnId="15"/>
      <queryTableField id="16" name="Thứ Năm" tableColumnId="16"/>
      <queryTableField id="17" name="Thứ SáU" tableColumnId="17"/>
      <queryTableField id="18" name="Thứ BảY" tableColumnId="18"/>
      <queryTableField id="19" name="Chủ NhậT" tableColumnId="19"/>
      <queryTableField id="20" name="Phụ trách" tableColumnId="20"/>
      <queryTableField id="21" name="Ghi chú" tableColumnId="21"/>
      <queryTableField id="22" name="Index" tableColumnId="22"/>
      <queryTableField id="24" name="Index.1" tableColumnId="24"/>
    </queryTableFields>
  </queryTableRefresh>
</queryTable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9AA5F-8838-423F-A34B-0FD3B4D676D1}" name="Sản_phẩm" displayName="Sản_phẩm" ref="A1:C13" totalsRowShown="0" headerRowBorderDxfId="159" tableBorderDxfId="158" totalsRowBorderDxfId="157">
  <tableColumns count="3">
    <tableColumn id="1" xr3:uid="{6093931F-30EE-4B5F-8766-5C66041D5B14}" name="TT" dataDxfId="156"/>
    <tableColumn id="2" xr3:uid="{8702C231-26CE-4EE0-83F5-E12B0198CDF1}" name="Môn học" dataDxfId="155"/>
    <tableColumn id="3" xr3:uid="{DAC30E15-9B98-4D1E-8F90-8F018BBFEC2A}" name="Kí hiệu" dataDxfId="1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B4CE8E-1ECF-40F4-B58D-DC7614BBB832}" name="XL_THCS_TOAN" displayName="XL_THCS_TOAN" ref="A1:U18" totalsRowShown="0" headerRowDxfId="124" dataDxfId="123">
  <autoFilter ref="A1:U18" xr:uid="{9EB4CE8E-1ECF-40F4-B58D-DC7614BBB832}"/>
  <tableColumns count="21">
    <tableColumn id="1" xr3:uid="{04B97A80-E2DB-42CF-A482-646871F08B5E}" name="TT" dataDxfId="122">
      <calculatedColumnFormula>IF(XL_THCS_TOAN[[#This Row],[Mã lớp]]="","",ROW()-ROW(XL_THCS_TOAN[[#Headers],[Mã lớp]]))</calculatedColumnFormula>
    </tableColumn>
    <tableColumn id="22" xr3:uid="{ABA606DF-05A9-4B27-92A7-61A29D042058}" name="Mã lớp" dataDxfId="121"/>
    <tableColumn id="4" xr3:uid="{6754ABFB-D9DD-4700-997E-84756509A3E5}" name="Tên lớp" dataDxfId="120">
      <calculatedColumnFormula>IF(XL_THCS_TOAN[[#This Row],[Mã lớp]]="","",INDEX(XepLop[[#All],[Tên lớp]],MATCH(XL_THCS_TOAN[[#This Row],[Mã lớp]],XepLop[[#All],[Mã lớp]],0)))</calculatedColumnFormula>
    </tableColumn>
    <tableColumn id="8" xr3:uid="{2F79D418-58FA-40B5-8807-E63D46F11C31}" name="Mô tả" dataDxfId="119">
      <calculatedColumnFormula>IF(XL_THCS_TOAN[[#This Row],[Mã lớp]]="","",INDEX(XepLop[[#All],[Mô tả]],MATCH(XL_THCS_TOAN[[#This Row],[Mã lớp]],XepLop[[#All],[Mã lớp]],0)))</calculatedColumnFormula>
    </tableColumn>
    <tableColumn id="11" xr3:uid="{4E2D2C7D-3125-469D-9C02-7CC750256242}" name="Học sinh" dataDxfId="118">
      <calculatedColumnFormula>IF(XL_THCS_TOAN[[#This Row],[Mã HS]]="","",INDEX(Ds_Nguồn[[#All],[Tên học sinh]],MATCH(XL_THCS_TOAN[[#This Row],[Mã HS]],Ds_Nguồn[[#All],[Mã HS]],0)))</calculatedColumnFormula>
    </tableColumn>
    <tableColumn id="20" xr3:uid="{26448C1A-3856-4EC8-99C5-298076820085}" name="Mã HS" dataDxfId="117"/>
    <tableColumn id="27" xr3:uid="{65487178-0901-478A-94B4-98DF75A2F1C9}" name="Lớp" dataDxfId="116">
      <calculatedColumnFormula>IF(OR(XL_THCS_TOAN[[#This Row],[Mã HS]]="",XL_THCS_TOAN[[#This Row],[Mã lớp]]=""),"",VLOOKUP(XL_THCS_TOAN[[#This Row],[Mã HS]],Ds_Nguồn[[Mã HS]:[Email]],4,0))</calculatedColumnFormula>
    </tableColumn>
    <tableColumn id="23" xr3:uid="{2BC447DA-A154-42DC-9CC3-047046E79CE2}" name="Môn học" dataDxfId="115">
      <calculatedColumnFormula>IF(XL_THCS_TOAN[[#This Row],[Mã lớp]]="","",INDEX(Sản_phẩm[[#All],[Môn học]],MATCH(LEFT(XL_THCS_TOAN[[#This Row],[Mã lớp]],2),Sản_phẩm[[#All],[Kí hiệu]],0)))</calculatedColumnFormula>
    </tableColumn>
    <tableColumn id="24" xr3:uid="{3D9F64A0-A1DB-48EF-8C4F-D08B3344061C}" name="Ca" dataDxfId="114">
      <calculatedColumnFormula>IF(XL_THCS_TOAN[[#This Row],[Mã lớp]]="","",INDEX(XepLop[[#All],[Ca]],MATCH(B2,XepLop[[#All],[Mã lớp]],0)))</calculatedColumnFormula>
    </tableColumn>
    <tableColumn id="26" xr3:uid="{3C4B800F-A23B-4EB2-A4B1-5BFA2AE51060}" name="Lịch học" dataDxfId="113">
      <calculatedColumnFormula>IF(XL_THCS_TOAN[[#This Row],[Mã lớp]]="","",_xlfn.TEXTJOIN("_",TRUE,INDEX(Data_thamchieu!$AM:$AS,MATCH($B2,Data_thamchieu!$AG:$AG,0),0)))</calculatedColumnFormula>
    </tableColumn>
    <tableColumn id="5" xr3:uid="{40A2100C-C2EC-4F37-B75E-E5F5D5D6F183}" name="Giờ đến" dataDxfId="112">
      <calculatedColumnFormula>IF(XL_THCS_TOAN[[#This Row],[Mã lớp]]="","",INDEX(XepLop[[#All],[Giờ đến]],MATCH(XL_THCS_TOAN[[#This Row],[Mã lớp]],XepLop[[#All],[Mã lớp]],0)))</calculatedColumnFormula>
    </tableColumn>
    <tableColumn id="6" xr3:uid="{CC204C8D-8271-4FF1-BE7E-316C0302157A}" name="Giờ về" dataDxfId="111">
      <calculatedColumnFormula>IF(XL_THCS_TOAN[[#This Row],[Mã lớp]]="","",INDEX(XepLop[[#All],[Giờ về]],MATCH(XL_THCS_TOAN[[#This Row],[Mã lớp]],XepLop[[#All],[Mã lớp]],0)))</calculatedColumnFormula>
    </tableColumn>
    <tableColumn id="12" xr3:uid="{BED82B9F-8F14-4D67-998E-C61D83E5BEB9}" name="Thứ Hai" dataDxfId="110"/>
    <tableColumn id="13" xr3:uid="{06FC8F00-1374-4E8C-9343-B9967E5D33FE}" name="Thứ Ba" dataDxfId="109"/>
    <tableColumn id="14" xr3:uid="{D91B425A-C633-4F43-B009-1255A30FDCFC}" name="Thứ Tư" dataDxfId="108"/>
    <tableColumn id="15" xr3:uid="{CD7FFED3-FB13-4A16-83B3-B1E20C25796B}" name="Thứ Năm" dataDxfId="107"/>
    <tableColumn id="16" xr3:uid="{0B7A508D-9F41-40D5-80FF-4361CD9E4F28}" name="Thứ SáU" dataDxfId="106"/>
    <tableColumn id="17" xr3:uid="{D0BB1943-519C-40CC-A1BA-24B3A39F1CA6}" name="Thứ BảY" dataDxfId="105"/>
    <tableColumn id="18" xr3:uid="{FF50D114-684A-464E-91D5-387FCEEF7387}" name="Chủ NhậT" dataDxfId="104"/>
    <tableColumn id="28" xr3:uid="{00FE5CDD-B87C-4DE3-801C-57DF64AAF1E1}" name="Phụ trách" dataDxfId="103">
      <calculatedColumnFormula>IF(XL_THCS_TOAN[[#This Row],[Mã lớp]]="","",INDEX(XepLop[[#All],[Phụ trách]],MATCH(XL_THCS_TOAN[[#This Row],[Mã lớp]],XepLop[[#All],[Mã lớp]],0)))</calculatedColumnFormula>
    </tableColumn>
    <tableColumn id="2" xr3:uid="{83C2A5D9-339B-4031-8B80-CB3D347131EE}" name="Ghi chú" dataDxfId="102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75C3CE-12C2-4B3A-9F26-A9EC2C0C844B}" name="XL_THPT_TOAN" displayName="XL_THPT_TOAN" ref="A1:U10" totalsRowShown="0" headerRowDxfId="101" dataDxfId="100">
  <autoFilter ref="A1:U10" xr:uid="{3C75C3CE-12C2-4B3A-9F26-A9EC2C0C844B}"/>
  <tableColumns count="21">
    <tableColumn id="1" xr3:uid="{875626F0-5AF8-40BB-964A-F584B43E8160}" name="TT" dataDxfId="99">
      <calculatedColumnFormula>IF(XL_THPT_TOAN[[#This Row],[Mã lớp]]="","",ROW()-ROW(XL_THPT_TOAN[[#Headers],[Mã lớp]]))</calculatedColumnFormula>
    </tableColumn>
    <tableColumn id="22" xr3:uid="{37743967-3876-4485-B113-1FA4354EC602}" name="Mã lớp" dataDxfId="98"/>
    <tableColumn id="4" xr3:uid="{3D401E49-6D83-4521-AA9C-CA308AF7F637}" name="Tên lớp" dataDxfId="97">
      <calculatedColumnFormula>IF(XL_THPT_TOAN[[#This Row],[Mã lớp]]="","",INDEX(XepLop[[#All],[Tên lớp]],MATCH(XL_THPT_TOAN[[#This Row],[Mã lớp]],XepLop[[#All],[Mã lớp]],0)))</calculatedColumnFormula>
    </tableColumn>
    <tableColumn id="8" xr3:uid="{EF711271-0D54-4B9C-A804-559876FB3A21}" name="Mô tả" dataDxfId="96">
      <calculatedColumnFormula>IF(XL_THPT_TOAN[[#This Row],[Mã lớp]]="","",INDEX(XepLop[[#All],[Mô tả]],MATCH(XL_THPT_TOAN[[#This Row],[Mã lớp]],XepLop[[#All],[Mã lớp]],0)))</calculatedColumnFormula>
    </tableColumn>
    <tableColumn id="11" xr3:uid="{23E28AEE-C994-4B51-82BB-3C6CA6A58F32}" name="Học sinh" dataDxfId="95">
      <calculatedColumnFormula>IF(XL_THPT_TOAN[[#This Row],[Mã HS]]="","",INDEX(Ds_Nguồn[[#All],[Tên học sinh]],MATCH(XL_THPT_TOAN[[#This Row],[Mã HS]],Ds_Nguồn[[#All],[Mã HS]],0)))</calculatedColumnFormula>
    </tableColumn>
    <tableColumn id="20" xr3:uid="{253DC6E0-B6AE-4C23-B39B-8371671CB71A}" name="Mã HS" dataDxfId="94"/>
    <tableColumn id="27" xr3:uid="{7E4242CE-BF28-4F8A-B36D-C021AFEA47CC}" name="Lớp" dataDxfId="93">
      <calculatedColumnFormula>IF(OR(XL_THPT_TOAN[[#This Row],[Mã HS]]="",XL_THPT_TOAN[[#This Row],[Mã lớp]]=""),"",VLOOKUP(XL_THPT_TOAN[[#This Row],[Mã HS]],Ds_Nguồn[[Mã HS]:[Email]],4,0))</calculatedColumnFormula>
    </tableColumn>
    <tableColumn id="23" xr3:uid="{0FA11286-4256-422A-90F9-1A777D839851}" name="Môn học" dataDxfId="92">
      <calculatedColumnFormula>IF(XL_THPT_TOAN[[#This Row],[Mã lớp]]="","",INDEX(Sản_phẩm[[#All],[Môn học]],MATCH(LEFT(XL_THPT_TOAN[[#This Row],[Mã lớp]],2),Sản_phẩm[[#All],[Kí hiệu]],0)))</calculatedColumnFormula>
    </tableColumn>
    <tableColumn id="24" xr3:uid="{616D2344-D00B-4C43-82A7-DC54C1254CB9}" name="Ca" dataDxfId="91">
      <calculatedColumnFormula>IF(XL_THPT_TOAN[[#This Row],[Mã lớp]]="","",INDEX(XepLop[[#All],[Ca]],MATCH(B2,XepLop[[#All],[Mã lớp]],0)))</calculatedColumnFormula>
    </tableColumn>
    <tableColumn id="26" xr3:uid="{9C1D8536-FF62-4A18-9ED4-E32429063ACD}" name="Lịch học" dataDxfId="90">
      <calculatedColumnFormula>IF(XL_THPT_TOAN[[#This Row],[Mã lớp]]="","",_xlfn.TEXTJOIN("_",TRUE,INDEX(Data_thamchieu!$AM:$AS,MATCH($B2,Data_thamchieu!$AG:$AG,0),0)))</calculatedColumnFormula>
    </tableColumn>
    <tableColumn id="5" xr3:uid="{9026A8BB-A16C-47E6-A295-37C66E8EC3E6}" name="Giờ đến" dataDxfId="89">
      <calculatedColumnFormula>IF(XL_THPT_TOAN[[#This Row],[Mã lớp]]="","",INDEX(XepLop[[#All],[Giờ đến]],MATCH(XL_THPT_TOAN[[#This Row],[Mã lớp]],XepLop[[#All],[Mã lớp]],0)))</calculatedColumnFormula>
    </tableColumn>
    <tableColumn id="6" xr3:uid="{D851C607-44ED-4117-9397-9E2716CF360F}" name="Giờ về" dataDxfId="88">
      <calculatedColumnFormula>IF(XL_THPT_TOAN[[#This Row],[Mã lớp]]="","",INDEX(XepLop[[#All],[Giờ về]],MATCH(XL_THPT_TOAN[[#This Row],[Mã lớp]],XepLop[[#All],[Mã lớp]],0)))</calculatedColumnFormula>
    </tableColumn>
    <tableColumn id="12" xr3:uid="{EE9D5FB2-AFDD-48F0-A805-783348F950A5}" name="Thứ Hai" dataDxfId="87"/>
    <tableColumn id="13" xr3:uid="{F82007FD-A067-4C18-BFC8-C742180935F5}" name="Thứ Ba" dataDxfId="86"/>
    <tableColumn id="14" xr3:uid="{96701FB8-7567-430B-906A-E3F57947A185}" name="Thứ Tư" dataDxfId="85"/>
    <tableColumn id="15" xr3:uid="{AAA3CF67-2D16-4BE9-B9E5-8B1ADE6317C3}" name="Thứ Năm" dataDxfId="84"/>
    <tableColumn id="16" xr3:uid="{049DCB16-EE47-4AF4-8DA3-92AA1593AF24}" name="Thứ SáU" dataDxfId="83"/>
    <tableColumn id="17" xr3:uid="{6E99A6BD-91F1-464A-9590-5A0780365AE1}" name="Thứ BảY" dataDxfId="82"/>
    <tableColumn id="18" xr3:uid="{ADC6F04C-9A5A-4B21-A9A2-C530E2B515E7}" name="Chủ NhậT" dataDxfId="81"/>
    <tableColumn id="28" xr3:uid="{9BDF8067-F79B-4230-A368-7E928A048F4E}" name="Phụ trách" dataDxfId="80">
      <calculatedColumnFormula>IF(XL_THPT_TOAN[[#This Row],[Mã lớp]]="","",INDEX(XepLop[[#All],[Phụ trách]],MATCH(XL_THPT_TOAN[[#This Row],[Mã lớp]],XepLop[[#All],[Mã lớp]],0)))</calculatedColumnFormula>
    </tableColumn>
    <tableColumn id="2" xr3:uid="{93D12EFA-3E2B-4A5C-947E-CAC44E479242}" name="Ghi chú" dataDxfId="79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1CBF3F8-8EFB-414B-B4FC-71CD8E6A2667}" name="XL_TIEUHOC_AV" displayName="XL_TIEUHOC_AV" ref="A1:U12" totalsRowShown="0" headerRowDxfId="78" dataDxfId="77">
  <autoFilter ref="A1:U12" xr:uid="{F1CBF3F8-8EFB-414B-B4FC-71CD8E6A2667}"/>
  <tableColumns count="21">
    <tableColumn id="1" xr3:uid="{C45EB249-DE9F-49E8-B533-64A49B9CE30A}" name="TT" dataDxfId="76">
      <calculatedColumnFormula>IF(XL_TIEUHOC_AV[[#This Row],[Mã lớp]]="","",ROW()-ROW(XL_TIEUHOC_AV[[#Headers],[Mã lớp]]))</calculatedColumnFormula>
    </tableColumn>
    <tableColumn id="22" xr3:uid="{8FBAEF28-A465-4579-8ABB-26D0FA51729F}" name="Mã lớp" dataDxfId="75"/>
    <tableColumn id="4" xr3:uid="{24E5F29F-4C38-4C22-8EF0-E612A21AEDA6}" name="Tên lớp" dataDxfId="74">
      <calculatedColumnFormula>IF(XL_TIEUHOC_AV[[#This Row],[Mã lớp]]="","",INDEX(XepLop[[#All],[Tên lớp]],MATCH(XL_TIEUHOC_AV[[#This Row],[Mã lớp]],XepLop[[#All],[Mã lớp]],0)))</calculatedColumnFormula>
    </tableColumn>
    <tableColumn id="8" xr3:uid="{7C7B06C2-D249-4D8D-A95D-E31606003AD1}" name="Mô tả" dataDxfId="73">
      <calculatedColumnFormula>IF(XL_TIEUHOC_AV[[#This Row],[Mã lớp]]="","",INDEX(XepLop[[#All],[Mô tả]],MATCH(XL_TIEUHOC_AV[[#This Row],[Mã lớp]],XepLop[[#All],[Mã lớp]],0)))</calculatedColumnFormula>
    </tableColumn>
    <tableColumn id="11" xr3:uid="{FAC755BD-AA89-4B31-960F-09560DA8BF02}" name="Học sinh" dataDxfId="72">
      <calculatedColumnFormula>IF(XL_TIEUHOC_AV[[#This Row],[Mã HS]]="","",INDEX(Ds_Nguồn[[#All],[Tên học sinh]],MATCH(XL_TIEUHOC_AV[[#This Row],[Mã HS]],Ds_Nguồn[[#All],[Mã HS]],0)))</calculatedColumnFormula>
    </tableColumn>
    <tableColumn id="20" xr3:uid="{0ACE20EE-3597-4076-8447-2FF398A107B8}" name="Mã HS" dataDxfId="71"/>
    <tableColumn id="27" xr3:uid="{A91AB535-E002-4F54-9E61-128FE1B55E84}" name="Lớp" dataDxfId="70">
      <calculatedColumnFormula>IF(OR(XL_TIEUHOC_AV[[#This Row],[Mã HS]]="",XL_TIEUHOC_AV[[#This Row],[Mã lớp]]=""),"",VLOOKUP(XL_TIEUHOC_AV[[#This Row],[Mã HS]],Ds_Nguồn[[Mã HS]:[Email]],4,0))</calculatedColumnFormula>
    </tableColumn>
    <tableColumn id="23" xr3:uid="{7D3BBAB4-D7C9-42FB-B120-27F8E96BF0E9}" name="Môn học" dataDxfId="69">
      <calculatedColumnFormula>IF(XL_TIEUHOC_AV[[#This Row],[Mã lớp]]="","",INDEX(Sản_phẩm[[#All],[Môn học]],MATCH(LEFT(XL_TIEUHOC_AV[[#This Row],[Mã lớp]],2),Sản_phẩm[[#All],[Kí hiệu]],0)))</calculatedColumnFormula>
    </tableColumn>
    <tableColumn id="24" xr3:uid="{6528B783-2E4C-422F-A8A8-ADB08F5A648E}" name="Ca" dataDxfId="68">
      <calculatedColumnFormula>IF(XL_TIEUHOC_AV[[#This Row],[Mã lớp]]="","",INDEX(XepLop[[#All],[Ca]],MATCH(B2,XepLop[[#All],[Mã lớp]],0)))</calculatedColumnFormula>
    </tableColumn>
    <tableColumn id="26" xr3:uid="{3A59DFDA-A153-44D2-A840-91A68FB9DE99}" name="Lịch học" dataDxfId="67">
      <calculatedColumnFormula>IF(XL_TIEUHOC_AV[[#This Row],[Mã lớp]]="","",_xlfn.TEXTJOIN("_",TRUE,INDEX(Data_thamchieu!$AM:$AS,MATCH($B2,Data_thamchieu!$AG:$AG,0),0)))</calculatedColumnFormula>
    </tableColumn>
    <tableColumn id="5" xr3:uid="{C10F468D-3917-4CBE-B445-608EE850ACCA}" name="Giờ đến" dataDxfId="66">
      <calculatedColumnFormula>IF(XL_TIEUHOC_AV[[#This Row],[Mã lớp]]="","",INDEX(XepLop[[#All],[Giờ đến]],MATCH(XL_TIEUHOC_AV[[#This Row],[Mã lớp]],XepLop[[#All],[Mã lớp]],0)))</calculatedColumnFormula>
    </tableColumn>
    <tableColumn id="6" xr3:uid="{1F7C086C-793C-4DA5-A64E-2A907CD9E304}" name="Giờ về" dataDxfId="65">
      <calculatedColumnFormula>IF(XL_TIEUHOC_AV[[#This Row],[Mã lớp]]="","",INDEX(XepLop[[#All],[Giờ về]],MATCH(XL_TIEUHOC_AV[[#This Row],[Mã lớp]],XepLop[[#All],[Mã lớp]],0)))</calculatedColumnFormula>
    </tableColumn>
    <tableColumn id="12" xr3:uid="{F820825A-7188-4309-A011-E729107BAA2E}" name="Thứ Hai" dataDxfId="64"/>
    <tableColumn id="13" xr3:uid="{1F37F02F-5135-49CA-800A-81C8CE9E1212}" name="Thứ Ba" dataDxfId="63"/>
    <tableColumn id="14" xr3:uid="{E9ED4A5A-F2FF-4046-A167-CF213D81EB6D}" name="Thứ Tư" dataDxfId="62"/>
    <tableColumn id="15" xr3:uid="{2F52FC6E-8042-4E63-9CB5-09007F11F4B2}" name="Thứ Năm" dataDxfId="61"/>
    <tableColumn id="16" xr3:uid="{2294BDB5-F3A0-441E-B820-BCD5E14A53A0}" name="Thứ SáU" dataDxfId="60"/>
    <tableColumn id="17" xr3:uid="{EA1A2ED6-676B-4D0C-B2CF-0FE31E9D5CD5}" name="Thứ BảY" dataDxfId="59"/>
    <tableColumn id="18" xr3:uid="{1B5D2C74-F5F0-4801-BC5E-7650D30F7090}" name="Chủ NhậT" dataDxfId="58"/>
    <tableColumn id="28" xr3:uid="{0F84D5E7-ABE4-482C-8390-D2BFD7ED69DC}" name="Phụ trách" dataDxfId="57">
      <calculatedColumnFormula>IF(XL_TIEUHOC_AV[[#This Row],[Mã lớp]]="","",INDEX(XepLop[[#All],[Phụ trách]],MATCH(XL_TIEUHOC_AV[[#This Row],[Mã lớp]],XepLop[[#All],[Mã lớp]],0)))</calculatedColumnFormula>
    </tableColumn>
    <tableColumn id="2" xr3:uid="{9C1E96F2-7866-4688-9E5B-DA6EAB0D91DE}" name="Ghi chú" dataDxfId="56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44BC08-2D9F-4FB7-9192-D777CBD709A2}" name="XL_THCS_AV" displayName="XL_THCS_AV" ref="A1:U17" totalsRowShown="0" headerRowDxfId="55" dataDxfId="54">
  <autoFilter ref="A1:U17" xr:uid="{7144BC08-2D9F-4FB7-9192-D777CBD709A2}"/>
  <tableColumns count="21">
    <tableColumn id="1" xr3:uid="{17E30387-D8AF-43F1-B0D2-3EF1B5A4FC33}" name="TT" dataDxfId="53">
      <calculatedColumnFormula>IF(XL_THCS_AV[[#This Row],[Mã lớp]]="","",ROW()-ROW(XL_THCS_AV[[#Headers],[Mã lớp]]))</calculatedColumnFormula>
    </tableColumn>
    <tableColumn id="22" xr3:uid="{5E9D2A20-6720-4984-A682-39C37AAF6DB8}" name="Mã lớp" dataDxfId="52"/>
    <tableColumn id="4" xr3:uid="{47190BD0-E592-40BF-A762-D497D6BB5778}" name="Tên lớp" dataDxfId="51">
      <calculatedColumnFormula>IF(XL_THCS_AV[[#This Row],[Mã lớp]]="","",INDEX(XepLop[[#All],[Tên lớp]],MATCH(XL_THCS_AV[[#This Row],[Mã lớp]],XepLop[[#All],[Mã lớp]],0)))</calculatedColumnFormula>
    </tableColumn>
    <tableColumn id="8" xr3:uid="{199B4EB0-0E68-4299-AE36-E1DC1D733245}" name="Mô tả" dataDxfId="50">
      <calculatedColumnFormula>IF(XL_THCS_AV[[#This Row],[Mã lớp]]="","",INDEX(XepLop[[#All],[Mô tả]],MATCH(XL_THCS_AV[[#This Row],[Mã lớp]],XepLop[[#All],[Mã lớp]],0)))</calculatedColumnFormula>
    </tableColumn>
    <tableColumn id="11" xr3:uid="{16286D4F-E106-4669-BDE6-77E45848A70A}" name="Học sinh" dataDxfId="49">
      <calculatedColumnFormula>IF(XL_THCS_AV[[#This Row],[Mã HS]]="","",INDEX(Ds_Nguồn[[#All],[Tên học sinh]],MATCH(XL_THCS_AV[[#This Row],[Mã HS]],Ds_Nguồn[[#All],[Mã HS]],0)))</calculatedColumnFormula>
    </tableColumn>
    <tableColumn id="20" xr3:uid="{22980E63-951C-4ADC-A35D-5C4D664C29C1}" name="Mã HS" dataDxfId="48"/>
    <tableColumn id="27" xr3:uid="{F1584EDD-4EC9-4B98-BEED-137046477402}" name="Lớp" dataDxfId="47">
      <calculatedColumnFormula>IF(OR(XL_THCS_AV[[#This Row],[Mã HS]]="",XL_THCS_AV[[#This Row],[Mã lớp]]=""),"",VLOOKUP(XL_THCS_AV[[#This Row],[Mã HS]],Ds_Nguồn[[Mã HS]:[Email]],4,0))</calculatedColumnFormula>
    </tableColumn>
    <tableColumn id="23" xr3:uid="{902DD47E-1F75-4B13-82E6-91D455D73188}" name="Môn học" dataDxfId="46">
      <calculatedColumnFormula>IF(XL_THCS_AV[[#This Row],[Mã lớp]]="","",INDEX(Sản_phẩm[[#All],[Môn học]],MATCH(LEFT(XL_THCS_AV[[#This Row],[Mã lớp]],2),Sản_phẩm[[#All],[Kí hiệu]],0)))</calculatedColumnFormula>
    </tableColumn>
    <tableColumn id="24" xr3:uid="{937EBEA5-6CA5-4703-B7D3-6576265A4B17}" name="Ca" dataDxfId="45">
      <calculatedColumnFormula>IF(XL_THCS_AV[[#This Row],[Mã lớp]]="","",INDEX(XepLop[[#All],[Ca]],MATCH(B2,XepLop[[#All],[Mã lớp]],0)))</calculatedColumnFormula>
    </tableColumn>
    <tableColumn id="26" xr3:uid="{4A1ECBB0-ED92-46D5-BAE4-5F2D00CE0DFD}" name="Lịch học" dataDxfId="44">
      <calculatedColumnFormula>IF(XL_THCS_AV[[#This Row],[Mã lớp]]="","",_xlfn.TEXTJOIN("_",TRUE,INDEX(Data_thamchieu!$AM:$AS,MATCH($B2,Data_thamchieu!$AG:$AG,0),0)))</calculatedColumnFormula>
    </tableColumn>
    <tableColumn id="5" xr3:uid="{F4E0BEA4-050B-4733-A681-4529ADE390BE}" name="Giờ đến" dataDxfId="43">
      <calculatedColumnFormula>IF(XL_THCS_AV[[#This Row],[Mã lớp]]="","",INDEX(XepLop[[#All],[Giờ đến]],MATCH(XL_THCS_AV[[#This Row],[Mã lớp]],XepLop[[#All],[Mã lớp]],0)))</calculatedColumnFormula>
    </tableColumn>
    <tableColumn id="6" xr3:uid="{965846EE-5D4B-43BD-AD76-9ADC9411900F}" name="Giờ về" dataDxfId="42">
      <calculatedColumnFormula>IF(XL_THCS_AV[[#This Row],[Mã lớp]]="","",INDEX(XepLop[[#All],[Giờ về]],MATCH(XL_THCS_AV[[#This Row],[Mã lớp]],XepLop[[#All],[Mã lớp]],0)))</calculatedColumnFormula>
    </tableColumn>
    <tableColumn id="12" xr3:uid="{ECDABB77-AFEB-4DC9-BFBF-4AA86C588B97}" name="Thứ Hai" dataDxfId="41"/>
    <tableColumn id="13" xr3:uid="{7D6F9D72-5984-45F0-9CB4-6D436882AC07}" name="Thứ Ba" dataDxfId="40"/>
    <tableColumn id="14" xr3:uid="{64123976-5346-4CE4-B16D-DA8F9595B0B0}" name="Thứ Tư" dataDxfId="39"/>
    <tableColumn id="15" xr3:uid="{4D46701A-3ED9-4A03-B8C6-7ED852ABDAF0}" name="Thứ Năm" dataDxfId="38"/>
    <tableColumn id="16" xr3:uid="{C7375CBC-5D19-4CF4-B865-DEC00A49E898}" name="Thứ SáU" dataDxfId="37"/>
    <tableColumn id="17" xr3:uid="{B0AA281C-F69C-40D9-BC69-22EE43F1AD5E}" name="Thứ BảY" dataDxfId="36"/>
    <tableColumn id="18" xr3:uid="{B3DC0A6D-440C-464E-97F7-B59CE1341C90}" name="Chủ NhậT" dataDxfId="35"/>
    <tableColumn id="28" xr3:uid="{C680A400-122C-4A3A-942D-926DF9002245}" name="Phụ trách" dataDxfId="34">
      <calculatedColumnFormula>IF(XL_THCS_AV[[#This Row],[Mã lớp]]="","",INDEX(XepLop[[#All],[Phụ trách]],MATCH(XL_THCS_AV[[#This Row],[Mã lớp]],XepLop[[#All],[Mã lớp]],0)))</calculatedColumnFormula>
    </tableColumn>
    <tableColumn id="2" xr3:uid="{E6248B77-3A83-489A-9563-F737442566BA}" name="Ghi chú" dataDxfId="33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4370F73-D3F9-4A0F-9665-8AD121CD635D}" name="Egosmart" displayName="Egosmart" ref="A1:W73" tableType="queryTable" totalsRowShown="0" dataDxfId="32">
  <tableColumns count="23">
    <tableColumn id="23" xr3:uid="{8E2B3365-AB43-46EA-B733-6F5517091969}" uniqueName="23" name="TT" queryTableFieldId="23"/>
    <tableColumn id="2" xr3:uid="{F30C3E07-8478-4713-B6D8-42DA0EF7C6B0}" uniqueName="2" name="Mã lớp" queryTableFieldId="2" dataDxfId="31"/>
    <tableColumn id="3" xr3:uid="{48F56FAC-A6D9-4D66-B058-A5BA09ED156C}" uniqueName="3" name="Tên lớp" queryTableFieldId="3" dataDxfId="30"/>
    <tableColumn id="4" xr3:uid="{94C4BE26-8160-4E03-8CFF-31CD7C421473}" uniqueName="4" name="Mô tả" queryTableFieldId="4" dataDxfId="29"/>
    <tableColumn id="5" xr3:uid="{37EB8F7D-7CBD-4522-A764-B6B23C876DBF}" uniqueName="5" name="Học sinh" queryTableFieldId="5" dataDxfId="28"/>
    <tableColumn id="6" xr3:uid="{866FE516-1113-4B80-A221-F68BDDADB7A9}" uniqueName="6" name="Mã HS" queryTableFieldId="6" dataDxfId="27"/>
    <tableColumn id="7" xr3:uid="{1C92551E-7610-4EDA-B227-AF3BC83C88B1}" uniqueName="7" name="Lớp" queryTableFieldId="7" dataDxfId="26"/>
    <tableColumn id="8" xr3:uid="{D98B5C04-83EA-4156-8DF3-E453C8E5051C}" uniqueName="8" name="Môn học" queryTableFieldId="8" dataDxfId="25"/>
    <tableColumn id="9" xr3:uid="{37E4F3BB-1A9A-49C5-B4F1-78100054887F}" uniqueName="9" name="Ca" queryTableFieldId="9" dataDxfId="24"/>
    <tableColumn id="10" xr3:uid="{6FA6B331-6B7B-4040-8EB6-496E7E764D74}" uniqueName="10" name="Lịch học" queryTableFieldId="10" dataDxfId="23"/>
    <tableColumn id="11" xr3:uid="{18BF201E-8E91-487B-8A13-EAA1F9F9CF6F}" uniqueName="11" name="Giờ đến" queryTableFieldId="11" dataDxfId="22"/>
    <tableColumn id="12" xr3:uid="{A01B8705-81F4-4777-8E3E-F1C5DE7F5C7F}" uniqueName="12" name="Giờ về" queryTableFieldId="12" dataDxfId="21"/>
    <tableColumn id="13" xr3:uid="{F631FAAD-5D55-46A2-B80A-484BA3CCEFC4}" uniqueName="13" name="Thứ Hai" queryTableFieldId="13" dataDxfId="20"/>
    <tableColumn id="14" xr3:uid="{8E8E23DD-94DC-491D-8AED-5CA6C0B5D912}" uniqueName="14" name="Thứ Ba" queryTableFieldId="14" dataDxfId="19"/>
    <tableColumn id="15" xr3:uid="{5DED1003-09FD-4FD0-B865-4274C15EE4AD}" uniqueName="15" name="Thứ Tư" queryTableFieldId="15" dataDxfId="18"/>
    <tableColumn id="16" xr3:uid="{5C81AAC5-68B6-4B4D-B6AF-6E322EBAA265}" uniqueName="16" name="Thứ Năm" queryTableFieldId="16" dataDxfId="17"/>
    <tableColumn id="17" xr3:uid="{D6202A78-55F6-4028-B97D-D30F52BCF105}" uniqueName="17" name="Thứ SáU" queryTableFieldId="17" dataDxfId="16"/>
    <tableColumn id="18" xr3:uid="{AD8C0F44-2C6A-470C-B21F-7C9FD0583225}" uniqueName="18" name="Thứ BảY" queryTableFieldId="18" dataDxfId="15"/>
    <tableColumn id="19" xr3:uid="{B07EE4FE-960F-403F-AD28-F7D46B981876}" uniqueName="19" name="Chủ NhậT" queryTableFieldId="19" dataDxfId="14"/>
    <tableColumn id="20" xr3:uid="{2251CF45-EBDD-4713-89EE-65831D6098A6}" uniqueName="20" name="Phụ trách" queryTableFieldId="20" dataDxfId="13"/>
    <tableColumn id="21" xr3:uid="{7826372B-BB3B-4D89-A5D9-4D0E4160A459}" uniqueName="21" name="Ghi chú" queryTableFieldId="21" dataDxfId="12"/>
    <tableColumn id="22" xr3:uid="{609B91DD-2368-4730-9E9B-461507E49B43}" uniqueName="22" name="Index" queryTableFieldId="22"/>
    <tableColumn id="24" xr3:uid="{2B28A19B-8E2D-401A-9B49-BF32C7A08824}" uniqueName="24" name="Index.1" queryTableField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02AF15-DE3A-436E-8E47-3E5193F13236}" name="Giáo_viên" displayName="Giáo_viên" ref="E1:H10" totalsRowShown="0">
  <tableColumns count="4">
    <tableColumn id="1" xr3:uid="{71C7590A-EA15-4371-A5CF-866363BCCCBE}" name="TT"/>
    <tableColumn id="2" xr3:uid="{1E5917D7-F559-4624-8E60-0CFE69CA2764}" name="Tên giáo viên"/>
    <tableColumn id="3" xr3:uid="{C13C49CA-E256-477A-93C1-C3FA3118C8EB}" name="Mã số"/>
    <tableColumn id="4" xr3:uid="{DCA4C24B-933C-4166-910D-735729A2B291}" name="Kí hiệu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444009-4A19-43BC-9132-0A91BCA44285}" name="Chia_lớp" displayName="Chia_lớp" ref="J1:P9" totalsRowShown="0">
  <autoFilter ref="J1:P9" xr:uid="{D3444009-4A19-43BC-9132-0A91BCA44285}"/>
  <tableColumns count="7">
    <tableColumn id="1" xr3:uid="{13A5127D-7418-4923-9808-01B52B212DAD}" name="TT"/>
    <tableColumn id="2" xr3:uid="{1143EC94-151D-44DA-BB5E-D600A8AFC893}" name="Môn"/>
    <tableColumn id="3" xr3:uid="{1E0913B8-53F5-4C1E-A537-B42209E5DC44}" name="Mã lớp"/>
    <tableColumn id="4" xr3:uid="{15BA029E-3E38-4EC3-A130-A5668A894D6D}" name="Ca "/>
    <tableColumn id="5" xr3:uid="{8702713C-F809-4B6A-A1A1-EC4B91C6619C}" name="Lịch học"/>
    <tableColumn id="6" xr3:uid="{03CB24C4-7290-4418-A36E-0D20C2524056}" name="Phụ trách"/>
    <tableColumn id="7" xr3:uid="{8CF51E6B-341D-4A97-B5F9-370A84D6168F}" name="Hệ số buổ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8405EA-30B9-40AE-AE75-25012FB00694}" name="Cách_thu" displayName="Cách_thu" ref="U1:V4" totalsRowShown="0">
  <autoFilter ref="U1:V4" xr:uid="{D58405EA-30B9-40AE-AE75-25012FB00694}"/>
  <tableColumns count="2">
    <tableColumn id="1" xr3:uid="{5A057A7D-C0D2-4530-A9EE-913D2FA9F301}" name="Kí hiệu"/>
    <tableColumn id="2" xr3:uid="{DA03B9F0-573F-4568-8FB4-93ECF6C16E65}" name="Cách thu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56DF09-D256-480C-ACA0-1051FAA31BD4}" name="Cách_dạy" displayName="Cách_dạy" ref="X1:Y4" totalsRowShown="0">
  <autoFilter ref="X1:Y4" xr:uid="{8C56DF09-D256-480C-ACA0-1051FAA31BD4}"/>
  <tableColumns count="2">
    <tableColumn id="1" xr3:uid="{D778424B-31A0-4D66-8577-C9E8A2EF35C8}" name="Kí hiệu"/>
    <tableColumn id="2" xr3:uid="{7C90D4F7-4B05-427A-9A84-ACD04E1E2E7F}" name="Hình thức học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9FEC75-B645-4551-A683-5054E28E6778}" name="Lich_thuong_nien" displayName="Lich_thuong_nien" ref="AA1:AC2" insertRow="1" totalsRowShown="0">
  <autoFilter ref="AA1:AC2" xr:uid="{DA9FEC75-B645-4551-A683-5054E28E6778}"/>
  <tableColumns count="3">
    <tableColumn id="1" xr3:uid="{3B47D4C1-9C3D-4F46-840A-CE72EEEEA4D5}" name="TT"/>
    <tableColumn id="2" xr3:uid="{51D731FB-CC3F-440C-B98A-7DCF57133D81}" name="Lịch nghỉ"/>
    <tableColumn id="3" xr3:uid="{DA891973-C551-43F5-A473-DC5FECF5A054}" name="Ghi chú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E3655F9-3D08-4DFE-B0CE-D5F7DE85DC07}" name="XepLop" displayName="XepLop" ref="AE1:AS19" totalsRowShown="0">
  <autoFilter ref="AE1:AS19" xr:uid="{3E3655F9-3D08-4DFE-B0CE-D5F7DE85DC07}"/>
  <tableColumns count="15">
    <tableColumn id="1" xr3:uid="{548FE8D1-293F-4AE1-923F-C2A7F5F2E387}" name="TT"/>
    <tableColumn id="15" xr3:uid="{61F50B6F-B61B-4D9A-B0EC-5069F173BC83}" name="Tên lớp"/>
    <tableColumn id="2" xr3:uid="{D8F4E808-8BC0-4521-95B6-E83E3ED7888D}" name="Mã lớp"/>
    <tableColumn id="16" xr3:uid="{47985E0E-E834-4AA0-8146-74495718149D}" name="Mô tả"/>
    <tableColumn id="17" xr3:uid="{E9D0B95C-45BF-4452-A9A3-5540A5C8D19C}" name="Phụ trách"/>
    <tableColumn id="7" xr3:uid="{36738F77-D54F-4325-B063-3B947F03F6E6}" name="Ca"/>
    <tableColumn id="19" xr3:uid="{FF840ADB-AD1F-4D6A-8C87-74093C71716D}" name="Giờ đến"/>
    <tableColumn id="18" xr3:uid="{E8AA92A8-6995-4F40-B661-BBD7ED00DB51}" name="Giờ về"/>
    <tableColumn id="14" xr3:uid="{EF4F44C9-7E95-4EB1-9DFF-D5911059D071}" name="Thứ Hai"/>
    <tableColumn id="12" xr3:uid="{33375FB9-97A8-4DEC-865F-8945113F5052}" name="Thứ Ba"/>
    <tableColumn id="13" xr3:uid="{7CE76C52-B106-4A2E-833E-4BAEE53DA419}" name="Thứ Tư"/>
    <tableColumn id="10" xr3:uid="{814CC4DC-B768-48B0-9238-E6D3EDD8024B}" name="Thứ Năm"/>
    <tableColumn id="11" xr3:uid="{94CD3030-535C-4937-8377-BE8FBB2DA649}" name="Thứ SáU"/>
    <tableColumn id="9" xr3:uid="{DE2E9FBA-EDEE-41AF-B4AB-D45391ADA558}" name="Thứ BảY"/>
    <tableColumn id="3" xr3:uid="{9A62D178-9FC2-482A-853E-77FEF0761268}" name="Chủ Nhậ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AE251D9-AD70-4D54-9B9D-AC2E8A7E7CB2}" name="Ds_Nguồn" displayName="Ds_Nguồn" ref="A1:K50" totalsRowShown="0">
  <autoFilter ref="A1:K50" xr:uid="{BAE251D9-AD70-4D54-9B9D-AC2E8A7E7CB2}"/>
  <tableColumns count="11">
    <tableColumn id="1" xr3:uid="{B8D48D84-66FA-46DF-B59B-0E816DDFC3DA}" name="STT" dataDxfId="153">
      <calculatedColumnFormula>IF(B2="","",ROW()-ROW(B$1))</calculatedColumnFormula>
    </tableColumn>
    <tableColumn id="2" xr3:uid="{99748AFD-4731-4E13-BD73-20C304B9DF29}" name="Tên học sinh"/>
    <tableColumn id="3" xr3:uid="{A3BEF695-036C-430E-87B4-45F907E3B520}" name="Giới tính"/>
    <tableColumn id="4" xr3:uid="{15DB31DE-ED40-4747-A9C6-C08BB06DDA90}" name="Mã HS"/>
    <tableColumn id="5" xr3:uid="{3BB4CEB8-E46D-4E61-A042-AB73514391B6}" name="Gia đình"/>
    <tableColumn id="8" xr3:uid="{14429A0B-E6BB-457E-AA04-BB7A9064DD46}" name="Năm sinh" dataDxfId="152"/>
    <tableColumn id="9" xr3:uid="{E8B3BFFF-27A0-44B2-B321-6622DA952A8D}" name="Khối lớp" dataDxfId="151">
      <calculatedColumnFormula>IF(A2="","",IFERROR(
    IF(
        2025-VALUE(TEXT(F2,"YYYY"))-IF(MONTH(F2)*100+DAY(F2)&gt;701,1,0)&lt;6,"Mầm non",
        IF(
            2025-VALUE(TEXT(F2,"YYYY"))-IF(MONTH(F2)*100+DAY(F2)&gt;701,1,0)&gt;17,"Đã tốt nghiệp",
            "Lớp "&amp;(2025-VALUE(TEXT(F2,"YYYY"))-IF(MONTH(F2)*100+DAY(F2)&gt;701,1,0)-5)
        )
    ),"Lỗi định dạng ngày"
))</calculatedColumnFormula>
    </tableColumn>
    <tableColumn id="10" xr3:uid="{8105C703-7F45-42A3-AD3B-70AB4F442AE3}" name="Phụ huynh" dataDxfId="150"/>
    <tableColumn id="11" xr3:uid="{E239D5AD-600A-4793-8B15-3EB058684E7C}" name="Liên hệ " dataDxfId="149"/>
    <tableColumn id="12" xr3:uid="{5DF576D3-DC82-4EF2-82CA-1E8C6C243CD2}" name="Điện thoại" dataDxfId="148"/>
    <tableColumn id="13" xr3:uid="{99879E9A-343A-42D4-BB2B-3938D34F10C9}" name="Emai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AF46B15-CB59-4785-9143-3A506FB13ABA}" name="XL_TH_TOAN" displayName="XL_TH_TOAN" ref="A1:U20" totalsRowShown="0" headerRowDxfId="147" dataDxfId="146">
  <tableColumns count="21">
    <tableColumn id="1" xr3:uid="{62D360BB-A7C3-4225-9DD5-345DFE88E113}" name="TT" dataDxfId="145">
      <calculatedColumnFormula>IF(XL_TH_TOAN[[#This Row],[Mã lớp]]="","",ROW()-ROW(XL_TH_TOAN[[#Headers],[Mã lớp]]))</calculatedColumnFormula>
    </tableColumn>
    <tableColumn id="22" xr3:uid="{8C14F664-7649-4D35-9A09-2A94188A0EAC}" name="Mã lớp" dataDxfId="144"/>
    <tableColumn id="4" xr3:uid="{C8CE9B33-CFB6-4A07-A45E-96C70DACB360}" name="Tên lớp" dataDxfId="143">
      <calculatedColumnFormula>IF(XL_TH_TOAN[[#This Row],[Mã lớp]]="","",INDEX(XepLop[[#All],[Tên lớp]],MATCH(XL_TH_TOAN[[#This Row],[Mã lớp]],XepLop[[#All],[Mã lớp]],0)))</calculatedColumnFormula>
    </tableColumn>
    <tableColumn id="8" xr3:uid="{9B01F770-B1FA-4F6C-90EF-A33217040485}" name="Mô tả" dataDxfId="142">
      <calculatedColumnFormula>IF(XL_TH_TOAN[[#This Row],[Mã lớp]]="","",INDEX(XepLop[[#All],[Mô tả]],MATCH(XL_TH_TOAN[[#This Row],[Mã lớp]],XepLop[[#All],[Mã lớp]],0)))</calculatedColumnFormula>
    </tableColumn>
    <tableColumn id="11" xr3:uid="{AE7680A5-B2C0-4743-BD91-9D86EBDF9227}" name="Học sinh" dataDxfId="141">
      <calculatedColumnFormula>IF(XL_TH_TOAN[[#This Row],[Mã HS]]="","",INDEX(Ds_Nguồn[[#All],[Tên học sinh]],MATCH(XL_TH_TOAN[[#This Row],[Mã HS]],Ds_Nguồn[[#All],[Mã HS]],0)))</calculatedColumnFormula>
    </tableColumn>
    <tableColumn id="20" xr3:uid="{A931878A-0FF4-41E0-B161-C17662100FAB}" name="Mã HS" dataDxfId="140"/>
    <tableColumn id="27" xr3:uid="{8275FAE9-E19E-4813-99F9-FF72DE625F8E}" name="Lớp" dataDxfId="139">
      <calculatedColumnFormula>IF(OR(XL_TH_TOAN[[#This Row],[Mã HS]]="",XL_TH_TOAN[[#This Row],[Mã lớp]]=""),"",VLOOKUP(XL_TH_TOAN[[#This Row],[Mã HS]],Ds_Nguồn[[Mã HS]:[Email]],4,0))</calculatedColumnFormula>
    </tableColumn>
    <tableColumn id="23" xr3:uid="{DE8B4B6C-4EFC-430A-A93B-8DD34B0264B1}" name="Môn học" dataDxfId="138">
      <calculatedColumnFormula>IF(XL_TH_TOAN[[#This Row],[Mã lớp]]="","",INDEX(Sản_phẩm[[#All],[Môn học]],MATCH(LEFT(XL_TH_TOAN[[#This Row],[Mã lớp]],2),Sản_phẩm[[#All],[Kí hiệu]],0)))</calculatedColumnFormula>
    </tableColumn>
    <tableColumn id="24" xr3:uid="{44F11645-9F38-4E60-AD35-B003303EEBD1}" name="Ca" dataDxfId="137">
      <calculatedColumnFormula>IF(XL_TH_TOAN[[#This Row],[Mã lớp]]="","",INDEX(XepLop[[#All],[Ca]],MATCH(B2,XepLop[[#All],[Mã lớp]],0)))</calculatedColumnFormula>
    </tableColumn>
    <tableColumn id="26" xr3:uid="{A6AE65B3-EABD-43DC-AB30-008B0195C3CA}" name="Lịch học" dataDxfId="136">
      <calculatedColumnFormula>_xlfn.TEXTJOIN("_",TRUE,INDEX(Data_thamchieu!$AM:$AS,MATCH($B2,Data_thamchieu!$AG:$AG,0),0))</calculatedColumnFormula>
    </tableColumn>
    <tableColumn id="5" xr3:uid="{C8BF581D-B087-4C59-B817-D29C9771E528}" name="Giờ đến" dataDxfId="135">
      <calculatedColumnFormula>IF(XL_TH_TOAN[[#This Row],[Mã lớp]]="","",INDEX(XepLop[[#All],[Giờ đến]],MATCH(XL_TH_TOAN[[#This Row],[Mã lớp]],XepLop[[#All],[Mã lớp]],0)))</calculatedColumnFormula>
    </tableColumn>
    <tableColumn id="6" xr3:uid="{71E8C838-FD0E-472C-A98D-54CCFFD6FDC3}" name="Giờ về" dataDxfId="134">
      <calculatedColumnFormula>IF(XL_TH_TOAN[[#This Row],[Mã lớp]]="","",INDEX(XepLop[[#All],[Giờ về]],MATCH(XL_TH_TOAN[[#This Row],[Mã lớp]],XepLop[[#All],[Mã lớp]],0)))</calculatedColumnFormula>
    </tableColumn>
    <tableColumn id="12" xr3:uid="{E0795338-D1FA-46FB-9E1B-611EA121D2A8}" name="Thứ Hai" dataDxfId="133"/>
    <tableColumn id="13" xr3:uid="{0BD1C71F-73FC-46D1-ABCE-4679BDABAE25}" name="Thứ Ba" dataDxfId="132"/>
    <tableColumn id="14" xr3:uid="{11814917-CAFD-4FA3-9C69-D3738C6C876E}" name="Thứ Tư" dataDxfId="131"/>
    <tableColumn id="15" xr3:uid="{1479B573-85F7-4A07-9E35-B9121CB67C48}" name="Thứ Năm" dataDxfId="130"/>
    <tableColumn id="16" xr3:uid="{4FA4FDCA-9EC0-41F6-9D93-0E59DE3D96C3}" name="Thứ SáU" dataDxfId="129"/>
    <tableColumn id="17" xr3:uid="{51F4FA1C-26C3-4A3D-918C-E2D3DED198C9}" name="Thứ BảY" dataDxfId="128"/>
    <tableColumn id="18" xr3:uid="{D3CB48C8-69F7-4F87-8585-E8A8938B3A8A}" name="Chủ NhậT" dataDxfId="127"/>
    <tableColumn id="28" xr3:uid="{50FEDA7E-1F42-4319-BBF1-C96C85196526}" name="Phụ trách" dataDxfId="126">
      <calculatedColumnFormula>IF(XL_TH_TOAN[[#This Row],[Mã lớp]]="","",INDEX(XepLop[[#All],[Phụ trách]],MATCH(XL_TH_TOAN[[#This Row],[Mã lớp]],XepLop[[#All],[Mã lớp]],0)))</calculatedColumnFormula>
    </tableColumn>
    <tableColumn id="2" xr3:uid="{4503F938-C798-4D79-93F6-F751EDA58E97}" name="Ghi chú" dataDxfId="12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8550-4D69-4A29-ACDC-83CA7FF98C8E}">
  <sheetPr>
    <tabColor theme="5" tint="-0.499984740745262"/>
  </sheetPr>
  <dimension ref="A1:AS19"/>
  <sheetViews>
    <sheetView tabSelected="1" workbookViewId="0">
      <selection activeCell="A12" sqref="A12"/>
    </sheetView>
  </sheetViews>
  <sheetFormatPr defaultRowHeight="15" x14ac:dyDescent="0.25"/>
  <cols>
    <col min="1" max="1" width="3" bestFit="1" customWidth="1"/>
    <col min="2" max="2" width="31" bestFit="1" customWidth="1"/>
    <col min="3" max="3" width="7.140625" bestFit="1" customWidth="1"/>
    <col min="4" max="4" width="7" bestFit="1" customWidth="1"/>
    <col min="5" max="5" width="3" bestFit="1" customWidth="1"/>
    <col min="6" max="6" width="22.5703125" bestFit="1" customWidth="1"/>
    <col min="7" max="7" width="6.28515625" bestFit="1" customWidth="1"/>
    <col min="8" max="8" width="7.140625" bestFit="1" customWidth="1"/>
    <col min="9" max="9" width="12.5703125" customWidth="1"/>
    <col min="10" max="10" width="5.28515625" bestFit="1" customWidth="1"/>
    <col min="11" max="11" width="11.7109375" bestFit="1" customWidth="1"/>
    <col min="12" max="12" width="7.5703125" bestFit="1" customWidth="1"/>
    <col min="13" max="13" width="7.5703125" customWidth="1"/>
    <col min="14" max="14" width="7.28515625" customWidth="1"/>
    <col min="15" max="15" width="9.5703125" customWidth="1"/>
    <col min="16" max="16" width="7.140625" customWidth="1"/>
    <col min="17" max="17" width="10.140625" customWidth="1"/>
    <col min="18" max="18" width="22.5703125" bestFit="1" customWidth="1"/>
    <col min="19" max="19" width="7" bestFit="1" customWidth="1"/>
    <col min="21" max="21" width="9.42578125" bestFit="1" customWidth="1"/>
    <col min="22" max="22" width="17.28515625" bestFit="1" customWidth="1"/>
    <col min="23" max="23" width="8" bestFit="1" customWidth="1"/>
    <col min="24" max="24" width="9.42578125" bestFit="1" customWidth="1"/>
    <col min="25" max="25" width="17.28515625" bestFit="1" customWidth="1"/>
    <col min="26" max="26" width="7" bestFit="1" customWidth="1"/>
    <col min="27" max="27" width="17.42578125" bestFit="1" customWidth="1"/>
    <col min="28" max="28" width="14" bestFit="1" customWidth="1"/>
    <col min="29" max="29" width="20.140625" bestFit="1" customWidth="1"/>
    <col min="31" max="31" width="5.140625" customWidth="1"/>
    <col min="32" max="32" width="22.140625" bestFit="1" customWidth="1"/>
    <col min="33" max="33" width="9.7109375" bestFit="1" customWidth="1"/>
    <col min="34" max="34" width="36.42578125" bestFit="1" customWidth="1"/>
    <col min="35" max="35" width="22.5703125" bestFit="1" customWidth="1"/>
    <col min="36" max="36" width="6.85546875" customWidth="1"/>
    <col min="37" max="37" width="10.7109375" bestFit="1" customWidth="1"/>
    <col min="38" max="38" width="9.28515625" bestFit="1" customWidth="1"/>
    <col min="39" max="39" width="10.140625" bestFit="1" customWidth="1"/>
    <col min="40" max="40" width="9.42578125" bestFit="1" customWidth="1"/>
    <col min="41" max="41" width="9.7109375" bestFit="1" customWidth="1"/>
    <col min="42" max="42" width="11.42578125" bestFit="1" customWidth="1"/>
    <col min="43" max="43" width="10.7109375" bestFit="1" customWidth="1"/>
    <col min="44" max="44" width="10.5703125" bestFit="1" customWidth="1"/>
    <col min="45" max="45" width="11.7109375" bestFit="1" customWidth="1"/>
    <col min="46" max="46" width="7" bestFit="1" customWidth="1"/>
    <col min="47" max="47" width="23.42578125" bestFit="1" customWidth="1"/>
    <col min="49" max="49" width="3" bestFit="1" customWidth="1"/>
    <col min="50" max="50" width="6" bestFit="1" customWidth="1"/>
    <col min="51" max="51" width="22.85546875" bestFit="1" customWidth="1"/>
    <col min="53" max="53" width="22.85546875" bestFit="1" customWidth="1"/>
    <col min="54" max="54" width="17.5703125" bestFit="1" customWidth="1"/>
    <col min="55" max="55" width="7.140625" bestFit="1" customWidth="1"/>
    <col min="56" max="56" width="9" bestFit="1" customWidth="1"/>
    <col min="57" max="58" width="8" bestFit="1" customWidth="1"/>
    <col min="61" max="61" width="12" bestFit="1" customWidth="1"/>
    <col min="62" max="62" width="17.5703125" bestFit="1" customWidth="1"/>
    <col min="63" max="63" width="7.140625" bestFit="1" customWidth="1"/>
    <col min="64" max="64" width="9" bestFit="1" customWidth="1"/>
    <col min="65" max="66" width="8" bestFit="1" customWidth="1"/>
  </cols>
  <sheetData>
    <row r="1" spans="1:45" x14ac:dyDescent="0.25">
      <c r="A1" t="s">
        <v>4</v>
      </c>
      <c r="B1" t="s">
        <v>62</v>
      </c>
      <c r="C1" t="s">
        <v>0</v>
      </c>
      <c r="E1" t="s">
        <v>4</v>
      </c>
      <c r="F1" t="s">
        <v>2</v>
      </c>
      <c r="G1" t="s">
        <v>63</v>
      </c>
      <c r="H1" t="s">
        <v>0</v>
      </c>
      <c r="J1" t="s">
        <v>4</v>
      </c>
      <c r="K1" t="s">
        <v>74</v>
      </c>
      <c r="L1" t="s">
        <v>75</v>
      </c>
      <c r="M1" t="s">
        <v>77</v>
      </c>
      <c r="N1" t="s">
        <v>76</v>
      </c>
      <c r="O1" t="s">
        <v>1</v>
      </c>
      <c r="P1" t="s">
        <v>78</v>
      </c>
      <c r="U1" t="s">
        <v>0</v>
      </c>
      <c r="V1" t="s">
        <v>3</v>
      </c>
      <c r="X1" t="s">
        <v>0</v>
      </c>
      <c r="Y1" t="s">
        <v>82</v>
      </c>
      <c r="AA1" t="s">
        <v>4</v>
      </c>
      <c r="AB1" t="s">
        <v>89</v>
      </c>
      <c r="AC1" t="s">
        <v>90</v>
      </c>
      <c r="AE1" t="s">
        <v>4</v>
      </c>
      <c r="AF1" t="s">
        <v>232</v>
      </c>
      <c r="AG1" t="s">
        <v>75</v>
      </c>
      <c r="AH1" t="s">
        <v>5</v>
      </c>
      <c r="AI1" t="s">
        <v>1</v>
      </c>
      <c r="AJ1" t="s">
        <v>208</v>
      </c>
      <c r="AK1" t="s">
        <v>207</v>
      </c>
      <c r="AL1" t="s">
        <v>199</v>
      </c>
      <c r="AM1" t="s">
        <v>206</v>
      </c>
      <c r="AN1" t="s">
        <v>200</v>
      </c>
      <c r="AO1" t="s">
        <v>201</v>
      </c>
      <c r="AP1" t="s">
        <v>202</v>
      </c>
      <c r="AQ1" t="s">
        <v>203</v>
      </c>
      <c r="AR1" t="s">
        <v>204</v>
      </c>
      <c r="AS1" t="s">
        <v>205</v>
      </c>
    </row>
    <row r="2" spans="1:45" x14ac:dyDescent="0.25">
      <c r="A2">
        <v>1</v>
      </c>
      <c r="B2" t="s">
        <v>38</v>
      </c>
      <c r="C2" t="s">
        <v>51</v>
      </c>
      <c r="E2">
        <v>1</v>
      </c>
      <c r="F2" t="s">
        <v>6</v>
      </c>
      <c r="G2" t="s">
        <v>66</v>
      </c>
      <c r="H2" t="s">
        <v>8</v>
      </c>
      <c r="J2">
        <v>1</v>
      </c>
      <c r="U2" t="s">
        <v>14</v>
      </c>
      <c r="V2" t="s">
        <v>9</v>
      </c>
      <c r="X2" t="s">
        <v>83</v>
      </c>
      <c r="Y2" t="s">
        <v>84</v>
      </c>
      <c r="AE2">
        <v>1</v>
      </c>
      <c r="AF2" t="s">
        <v>38</v>
      </c>
      <c r="AG2" t="s">
        <v>198</v>
      </c>
      <c r="AH2" t="s">
        <v>211</v>
      </c>
      <c r="AI2" t="s">
        <v>64</v>
      </c>
      <c r="AJ2" t="s">
        <v>197</v>
      </c>
      <c r="AK2" t="s">
        <v>209</v>
      </c>
      <c r="AL2" t="s">
        <v>210</v>
      </c>
      <c r="AM2" t="s">
        <v>206</v>
      </c>
      <c r="AO2" t="s">
        <v>226</v>
      </c>
      <c r="AQ2" t="s">
        <v>227</v>
      </c>
    </row>
    <row r="3" spans="1:45" x14ac:dyDescent="0.25">
      <c r="A3">
        <v>2</v>
      </c>
      <c r="B3" t="s">
        <v>50</v>
      </c>
      <c r="C3" t="s">
        <v>52</v>
      </c>
      <c r="E3">
        <v>2</v>
      </c>
      <c r="F3" t="s">
        <v>10</v>
      </c>
      <c r="G3" t="s">
        <v>67</v>
      </c>
      <c r="H3" t="s">
        <v>12</v>
      </c>
      <c r="J3">
        <v>2</v>
      </c>
      <c r="U3" t="s">
        <v>13</v>
      </c>
      <c r="V3" t="s">
        <v>79</v>
      </c>
      <c r="X3" t="s">
        <v>85</v>
      </c>
      <c r="Y3" t="s">
        <v>88</v>
      </c>
      <c r="AE3">
        <v>2</v>
      </c>
      <c r="AF3" t="s">
        <v>38</v>
      </c>
      <c r="AG3" t="s">
        <v>213</v>
      </c>
      <c r="AH3" t="s">
        <v>214</v>
      </c>
      <c r="AI3" t="s">
        <v>10</v>
      </c>
      <c r="AJ3" t="s">
        <v>197</v>
      </c>
      <c r="AK3" t="s">
        <v>209</v>
      </c>
      <c r="AL3" t="s">
        <v>210</v>
      </c>
      <c r="AN3" t="s">
        <v>228</v>
      </c>
      <c r="AP3" t="s">
        <v>229</v>
      </c>
      <c r="AQ3" t="s">
        <v>227</v>
      </c>
    </row>
    <row r="4" spans="1:45" x14ac:dyDescent="0.25">
      <c r="A4">
        <v>3</v>
      </c>
      <c r="B4" t="s">
        <v>39</v>
      </c>
      <c r="C4" t="s">
        <v>53</v>
      </c>
      <c r="E4">
        <v>3</v>
      </c>
      <c r="F4" t="s">
        <v>15</v>
      </c>
      <c r="G4" t="s">
        <v>68</v>
      </c>
      <c r="H4" t="s">
        <v>17</v>
      </c>
      <c r="J4">
        <v>3</v>
      </c>
      <c r="U4" t="s">
        <v>80</v>
      </c>
      <c r="V4" t="s">
        <v>81</v>
      </c>
      <c r="X4" t="s">
        <v>86</v>
      </c>
      <c r="Y4" t="s">
        <v>87</v>
      </c>
      <c r="AE4">
        <v>3</v>
      </c>
      <c r="AF4" t="s">
        <v>38</v>
      </c>
      <c r="AG4" t="s">
        <v>215</v>
      </c>
      <c r="AH4" t="s">
        <v>219</v>
      </c>
      <c r="AI4" t="s">
        <v>20</v>
      </c>
      <c r="AJ4" t="s">
        <v>197</v>
      </c>
      <c r="AK4" t="s">
        <v>209</v>
      </c>
      <c r="AL4" t="s">
        <v>210</v>
      </c>
      <c r="AN4" t="s">
        <v>228</v>
      </c>
      <c r="AP4" t="s">
        <v>229</v>
      </c>
      <c r="AQ4" t="s">
        <v>227</v>
      </c>
    </row>
    <row r="5" spans="1:45" x14ac:dyDescent="0.25">
      <c r="A5">
        <v>4</v>
      </c>
      <c r="B5" t="s">
        <v>40</v>
      </c>
      <c r="C5" t="s">
        <v>54</v>
      </c>
      <c r="E5">
        <v>4</v>
      </c>
      <c r="F5" t="s">
        <v>20</v>
      </c>
      <c r="G5" t="s">
        <v>69</v>
      </c>
      <c r="H5" t="s">
        <v>21</v>
      </c>
      <c r="J5">
        <v>4</v>
      </c>
      <c r="AE5">
        <v>4</v>
      </c>
      <c r="AF5" t="s">
        <v>38</v>
      </c>
      <c r="AG5" t="s">
        <v>216</v>
      </c>
      <c r="AH5" t="s">
        <v>220</v>
      </c>
      <c r="AI5" t="s">
        <v>64</v>
      </c>
      <c r="AJ5" t="s">
        <v>197</v>
      </c>
      <c r="AK5" t="s">
        <v>209</v>
      </c>
      <c r="AL5" t="s">
        <v>210</v>
      </c>
      <c r="AM5" t="s">
        <v>206</v>
      </c>
      <c r="AN5" t="s">
        <v>228</v>
      </c>
      <c r="AO5" t="s">
        <v>226</v>
      </c>
      <c r="AP5" t="s">
        <v>229</v>
      </c>
      <c r="AQ5" t="s">
        <v>227</v>
      </c>
    </row>
    <row r="6" spans="1:45" x14ac:dyDescent="0.25">
      <c r="A6">
        <v>5</v>
      </c>
      <c r="B6" t="s">
        <v>41</v>
      </c>
      <c r="C6" t="s">
        <v>61</v>
      </c>
      <c r="E6">
        <v>5</v>
      </c>
      <c r="F6" t="s">
        <v>23</v>
      </c>
      <c r="G6" t="s">
        <v>7</v>
      </c>
      <c r="H6" t="s">
        <v>24</v>
      </c>
      <c r="J6">
        <v>5</v>
      </c>
      <c r="AE6">
        <v>5</v>
      </c>
      <c r="AF6" t="s">
        <v>38</v>
      </c>
      <c r="AG6" t="s">
        <v>217</v>
      </c>
      <c r="AH6" t="s">
        <v>211</v>
      </c>
      <c r="AI6" t="s">
        <v>15</v>
      </c>
      <c r="AJ6" t="s">
        <v>197</v>
      </c>
      <c r="AK6" t="s">
        <v>209</v>
      </c>
      <c r="AL6" t="s">
        <v>210</v>
      </c>
      <c r="AQ6" t="s">
        <v>227</v>
      </c>
      <c r="AR6" t="s">
        <v>230</v>
      </c>
      <c r="AS6" t="s">
        <v>231</v>
      </c>
    </row>
    <row r="7" spans="1:45" x14ac:dyDescent="0.25">
      <c r="A7">
        <v>6</v>
      </c>
      <c r="B7" t="s">
        <v>42</v>
      </c>
      <c r="C7" t="s">
        <v>55</v>
      </c>
      <c r="E7">
        <v>6</v>
      </c>
      <c r="F7" t="s">
        <v>26</v>
      </c>
      <c r="G7" t="s">
        <v>11</v>
      </c>
      <c r="H7" t="s">
        <v>72</v>
      </c>
      <c r="J7">
        <v>6</v>
      </c>
      <c r="AE7">
        <v>6</v>
      </c>
      <c r="AF7" t="s">
        <v>38</v>
      </c>
      <c r="AG7" t="s">
        <v>218</v>
      </c>
      <c r="AH7" t="s">
        <v>211</v>
      </c>
      <c r="AI7" t="s">
        <v>15</v>
      </c>
      <c r="AJ7" t="s">
        <v>197</v>
      </c>
      <c r="AK7" t="s">
        <v>209</v>
      </c>
      <c r="AL7" t="s">
        <v>210</v>
      </c>
      <c r="AR7" t="s">
        <v>230</v>
      </c>
      <c r="AS7" t="s">
        <v>231</v>
      </c>
    </row>
    <row r="8" spans="1:45" x14ac:dyDescent="0.25">
      <c r="A8">
        <v>7</v>
      </c>
      <c r="B8" t="s">
        <v>43</v>
      </c>
      <c r="C8" t="s">
        <v>56</v>
      </c>
      <c r="E8">
        <v>7</v>
      </c>
      <c r="F8" t="s">
        <v>28</v>
      </c>
      <c r="G8" t="s">
        <v>16</v>
      </c>
      <c r="H8" t="s">
        <v>29</v>
      </c>
      <c r="J8">
        <v>7</v>
      </c>
      <c r="AE8">
        <v>7</v>
      </c>
      <c r="AF8" t="s">
        <v>234</v>
      </c>
      <c r="AG8" t="s">
        <v>238</v>
      </c>
      <c r="AH8" t="s">
        <v>242</v>
      </c>
      <c r="AI8" t="s">
        <v>65</v>
      </c>
      <c r="AJ8" t="s">
        <v>197</v>
      </c>
      <c r="AK8" t="s">
        <v>209</v>
      </c>
      <c r="AL8" t="s">
        <v>210</v>
      </c>
      <c r="AM8" t="s">
        <v>206</v>
      </c>
      <c r="AO8" t="s">
        <v>226</v>
      </c>
      <c r="AQ8" t="s">
        <v>227</v>
      </c>
    </row>
    <row r="9" spans="1:45" x14ac:dyDescent="0.25">
      <c r="A9">
        <v>8</v>
      </c>
      <c r="B9" t="s">
        <v>44</v>
      </c>
      <c r="C9" t="s">
        <v>57</v>
      </c>
      <c r="E9">
        <v>8</v>
      </c>
      <c r="F9" t="s">
        <v>64</v>
      </c>
      <c r="G9" t="s">
        <v>70</v>
      </c>
      <c r="H9" t="s">
        <v>31</v>
      </c>
      <c r="J9">
        <v>8</v>
      </c>
      <c r="AE9">
        <v>8</v>
      </c>
      <c r="AF9" t="s">
        <v>235</v>
      </c>
      <c r="AG9" t="s">
        <v>239</v>
      </c>
      <c r="AH9" t="s">
        <v>243</v>
      </c>
      <c r="AI9" t="s">
        <v>65</v>
      </c>
      <c r="AJ9" t="s">
        <v>197</v>
      </c>
      <c r="AK9" t="s">
        <v>209</v>
      </c>
      <c r="AL9" t="s">
        <v>210</v>
      </c>
      <c r="AM9" t="s">
        <v>206</v>
      </c>
      <c r="AO9" t="s">
        <v>226</v>
      </c>
      <c r="AQ9" t="s">
        <v>227</v>
      </c>
    </row>
    <row r="10" spans="1:45" x14ac:dyDescent="0.25">
      <c r="A10">
        <v>9</v>
      </c>
      <c r="B10" t="s">
        <v>45</v>
      </c>
      <c r="C10" t="s">
        <v>58</v>
      </c>
      <c r="E10">
        <v>9</v>
      </c>
      <c r="F10" t="s">
        <v>65</v>
      </c>
      <c r="G10" t="s">
        <v>71</v>
      </c>
      <c r="H10" t="s">
        <v>73</v>
      </c>
      <c r="AE10">
        <v>9</v>
      </c>
      <c r="AF10" t="s">
        <v>236</v>
      </c>
      <c r="AG10" t="s">
        <v>240</v>
      </c>
      <c r="AH10" t="s">
        <v>244</v>
      </c>
      <c r="AI10" t="s">
        <v>15</v>
      </c>
      <c r="AJ10" t="s">
        <v>197</v>
      </c>
      <c r="AK10" t="s">
        <v>209</v>
      </c>
      <c r="AL10" t="s">
        <v>210</v>
      </c>
      <c r="AM10" t="s">
        <v>206</v>
      </c>
      <c r="AO10" t="s">
        <v>226</v>
      </c>
      <c r="AQ10" t="s">
        <v>227</v>
      </c>
    </row>
    <row r="11" spans="1:45" x14ac:dyDescent="0.25">
      <c r="A11">
        <v>10</v>
      </c>
      <c r="B11" t="s">
        <v>46</v>
      </c>
      <c r="C11" t="s">
        <v>59</v>
      </c>
      <c r="AE11">
        <v>10</v>
      </c>
      <c r="AF11" t="s">
        <v>237</v>
      </c>
      <c r="AG11" t="s">
        <v>241</v>
      </c>
      <c r="AH11" t="s">
        <v>245</v>
      </c>
      <c r="AI11" t="s">
        <v>15</v>
      </c>
      <c r="AJ11" t="s">
        <v>246</v>
      </c>
      <c r="AK11" t="s">
        <v>209</v>
      </c>
      <c r="AL11" t="s">
        <v>210</v>
      </c>
      <c r="AN11" t="s">
        <v>228</v>
      </c>
      <c r="AO11" t="s">
        <v>226</v>
      </c>
      <c r="AP11" t="s">
        <v>229</v>
      </c>
    </row>
    <row r="12" spans="1:45" x14ac:dyDescent="0.25">
      <c r="A12">
        <v>11</v>
      </c>
      <c r="B12" t="s">
        <v>47</v>
      </c>
      <c r="C12" t="s">
        <v>49</v>
      </c>
      <c r="AE12">
        <v>11</v>
      </c>
      <c r="AF12" t="s">
        <v>247</v>
      </c>
      <c r="AG12" t="s">
        <v>250</v>
      </c>
      <c r="AH12" t="s">
        <v>253</v>
      </c>
      <c r="AI12" t="s">
        <v>15</v>
      </c>
      <c r="AJ12" t="s">
        <v>197</v>
      </c>
      <c r="AK12" t="s">
        <v>209</v>
      </c>
      <c r="AL12" t="s">
        <v>210</v>
      </c>
      <c r="AM12" t="s">
        <v>206</v>
      </c>
      <c r="AO12" t="s">
        <v>226</v>
      </c>
      <c r="AQ12" t="s">
        <v>227</v>
      </c>
    </row>
    <row r="13" spans="1:45" x14ac:dyDescent="0.25">
      <c r="A13">
        <v>12</v>
      </c>
      <c r="B13" t="s">
        <v>48</v>
      </c>
      <c r="C13" t="s">
        <v>60</v>
      </c>
      <c r="J13" s="1"/>
      <c r="R13" t="s">
        <v>221</v>
      </c>
      <c r="AE13">
        <v>12</v>
      </c>
      <c r="AF13" t="s">
        <v>248</v>
      </c>
      <c r="AG13" t="s">
        <v>251</v>
      </c>
      <c r="AH13" t="s">
        <v>254</v>
      </c>
      <c r="AI13" t="s">
        <v>15</v>
      </c>
      <c r="AJ13" t="s">
        <v>246</v>
      </c>
      <c r="AK13" t="s">
        <v>256</v>
      </c>
      <c r="AL13" t="s">
        <v>257</v>
      </c>
      <c r="AQ13" t="s">
        <v>227</v>
      </c>
      <c r="AR13" t="s">
        <v>230</v>
      </c>
      <c r="AS13" t="s">
        <v>231</v>
      </c>
    </row>
    <row r="14" spans="1:45" x14ac:dyDescent="0.25">
      <c r="R14" t="e">
        <f ca="1">OFFSET(Data_thamchieu!$H$2,0,0,COUNTA(Data_thamchieu!$H:$H)-1,1)</f>
        <v>#VALUE!</v>
      </c>
      <c r="AE14">
        <v>13</v>
      </c>
      <c r="AF14" t="s">
        <v>249</v>
      </c>
      <c r="AG14" t="s">
        <v>252</v>
      </c>
      <c r="AH14" t="s">
        <v>255</v>
      </c>
      <c r="AI14" t="s">
        <v>15</v>
      </c>
      <c r="AJ14" t="s">
        <v>197</v>
      </c>
      <c r="AK14" t="s">
        <v>209</v>
      </c>
      <c r="AL14" t="s">
        <v>210</v>
      </c>
      <c r="AM14" t="s">
        <v>206</v>
      </c>
      <c r="AN14" t="s">
        <v>228</v>
      </c>
      <c r="AO14" t="s">
        <v>226</v>
      </c>
      <c r="AP14" t="s">
        <v>229</v>
      </c>
      <c r="AQ14" t="s">
        <v>227</v>
      </c>
      <c r="AR14" t="s">
        <v>230</v>
      </c>
    </row>
    <row r="15" spans="1:45" x14ac:dyDescent="0.25">
      <c r="AE15">
        <v>14</v>
      </c>
      <c r="AF15" s="14" t="s">
        <v>258</v>
      </c>
      <c r="AG15" t="s">
        <v>260</v>
      </c>
      <c r="AH15" t="s">
        <v>262</v>
      </c>
      <c r="AI15" t="s">
        <v>6</v>
      </c>
      <c r="AJ15" t="s">
        <v>246</v>
      </c>
      <c r="AK15" t="s">
        <v>256</v>
      </c>
      <c r="AL15" t="s">
        <v>210</v>
      </c>
      <c r="AR15" t="s">
        <v>230</v>
      </c>
      <c r="AS15" t="s">
        <v>231</v>
      </c>
    </row>
    <row r="16" spans="1:45" x14ac:dyDescent="0.25">
      <c r="AE16">
        <v>15</v>
      </c>
      <c r="AF16" t="s">
        <v>259</v>
      </c>
      <c r="AG16" t="s">
        <v>261</v>
      </c>
      <c r="AH16" t="s">
        <v>263</v>
      </c>
      <c r="AI16" t="s">
        <v>15</v>
      </c>
      <c r="AJ16" t="s">
        <v>246</v>
      </c>
      <c r="AK16" t="s">
        <v>256</v>
      </c>
      <c r="AL16" t="s">
        <v>210</v>
      </c>
      <c r="AM16" t="s">
        <v>206</v>
      </c>
      <c r="AO16" t="s">
        <v>226</v>
      </c>
    </row>
    <row r="17" spans="31:42" x14ac:dyDescent="0.25">
      <c r="AE17">
        <v>16</v>
      </c>
      <c r="AF17" t="s">
        <v>267</v>
      </c>
      <c r="AG17" t="s">
        <v>265</v>
      </c>
      <c r="AH17" t="s">
        <v>268</v>
      </c>
      <c r="AI17" t="s">
        <v>26</v>
      </c>
      <c r="AJ17" t="s">
        <v>197</v>
      </c>
      <c r="AK17" t="s">
        <v>209</v>
      </c>
      <c r="AL17" t="s">
        <v>210</v>
      </c>
      <c r="AM17" t="s">
        <v>206</v>
      </c>
      <c r="AO17" t="s">
        <v>226</v>
      </c>
    </row>
    <row r="18" spans="31:42" x14ac:dyDescent="0.25">
      <c r="AE18">
        <v>17</v>
      </c>
      <c r="AF18" t="s">
        <v>273</v>
      </c>
      <c r="AG18" t="s">
        <v>266</v>
      </c>
      <c r="AH18" t="s">
        <v>269</v>
      </c>
      <c r="AI18" t="s">
        <v>23</v>
      </c>
      <c r="AJ18" t="s">
        <v>197</v>
      </c>
      <c r="AK18" t="s">
        <v>209</v>
      </c>
      <c r="AL18" t="s">
        <v>210</v>
      </c>
      <c r="AN18" t="s">
        <v>228</v>
      </c>
      <c r="AP18" t="s">
        <v>229</v>
      </c>
    </row>
    <row r="19" spans="31:42" x14ac:dyDescent="0.25">
      <c r="AE19">
        <v>18</v>
      </c>
      <c r="AF19" t="s">
        <v>272</v>
      </c>
      <c r="AG19" t="s">
        <v>271</v>
      </c>
      <c r="AH19" t="s">
        <v>270</v>
      </c>
      <c r="AI19" t="s">
        <v>28</v>
      </c>
      <c r="AJ19" t="s">
        <v>197</v>
      </c>
      <c r="AK19" t="s">
        <v>209</v>
      </c>
      <c r="AL19" t="s">
        <v>210</v>
      </c>
      <c r="AN19" t="s">
        <v>228</v>
      </c>
      <c r="AP19" t="s">
        <v>229</v>
      </c>
    </row>
  </sheetData>
  <phoneticPr fontId="2" type="noConversion"/>
  <dataValidations count="3">
    <dataValidation type="list" allowBlank="1" showInputMessage="1" showErrorMessage="1" sqref="AJ2:AJ19" xr:uid="{C4C81EE9-8AE0-4F91-BB1B-15C0335EC5EB}">
      <formula1>"Sáng,Chiều,Tối"</formula1>
    </dataValidation>
    <dataValidation type="list" allowBlank="1" showInputMessage="1" showErrorMessage="1" sqref="AI2:AI19" xr:uid="{217EE406-D9B8-410C-94AE-E42D70F4AA59}">
      <formula1>$F$2:$F$10</formula1>
    </dataValidation>
    <dataValidation type="list" allowBlank="1" showInputMessage="1" showErrorMessage="1" sqref="AM2:AS19" xr:uid="{607D2479-00E0-470B-919B-2C34788FA114}">
      <formula1>"Thứ Hai,Thứ Ba,Thứ Tư,Thứ Năm,Thứ Sáu,Thứ Bảy,Chủ Nhật"</formula1>
    </dataValidation>
  </dataValidation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C5B1-8693-4429-BA4D-A3EF7054675B}">
  <sheetPr>
    <tabColor theme="5" tint="-0.249977111117893"/>
  </sheetPr>
  <dimension ref="A1:O100"/>
  <sheetViews>
    <sheetView workbookViewId="0">
      <selection activeCell="H17" sqref="H17"/>
    </sheetView>
  </sheetViews>
  <sheetFormatPr defaultRowHeight="15" x14ac:dyDescent="0.25"/>
  <cols>
    <col min="1" max="1" width="6.28515625" style="3" bestFit="1" customWidth="1"/>
    <col min="2" max="2" width="24.28515625" bestFit="1" customWidth="1"/>
    <col min="3" max="3" width="11.140625" customWidth="1"/>
    <col min="5" max="5" width="8.5703125" bestFit="1" customWidth="1"/>
    <col min="6" max="6" width="11.42578125" style="2" customWidth="1"/>
    <col min="7" max="7" width="9.28515625" bestFit="1" customWidth="1"/>
    <col min="8" max="8" width="12.5703125" customWidth="1"/>
    <col min="9" max="9" width="10" customWidth="1"/>
    <col min="10" max="10" width="12.42578125" customWidth="1"/>
    <col min="13" max="13" width="10.7109375" bestFit="1" customWidth="1"/>
    <col min="14" max="15" width="8.5703125" bestFit="1" customWidth="1"/>
  </cols>
  <sheetData>
    <row r="1" spans="1:15" x14ac:dyDescent="0.25">
      <c r="A1" s="3" t="s">
        <v>126</v>
      </c>
      <c r="B1" t="s">
        <v>19</v>
      </c>
      <c r="C1" t="s">
        <v>128</v>
      </c>
      <c r="D1" t="s">
        <v>127</v>
      </c>
      <c r="E1" t="s">
        <v>129</v>
      </c>
      <c r="F1" s="2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O1" t="s">
        <v>187</v>
      </c>
    </row>
    <row r="2" spans="1:15" x14ac:dyDescent="0.25">
      <c r="A2" s="4">
        <f t="shared" ref="A2:A50" si="0">IF(B2="","",ROW()-ROW(B$1))</f>
        <v>1</v>
      </c>
      <c r="B2" t="s">
        <v>18</v>
      </c>
      <c r="C2" t="s">
        <v>136</v>
      </c>
      <c r="D2" t="s">
        <v>138</v>
      </c>
      <c r="F2" s="2">
        <v>42535</v>
      </c>
      <c r="G2" t="str">
        <f>IF(A2="","",IFERROR(
    IF(
        2025-VALUE(TEXT(F2,"YYYY"))-IF(MONTH(F2)*100+DAY(F2)&gt;701,1,0)&lt;6,"Mầm non",
        IF(
            2025-VALUE(TEXT(F2,"YYYY"))-IF(MONTH(F2)*100+DAY(F2)&gt;701,1,0)&gt;17,"Đã tốt nghiệp",
            "Lớp "&amp;(2025-VALUE(TEXT(F2,"YYYY"))-IF(MONTH(F2)*100+DAY(F2)&gt;701,1,0)-5)
        )
    ),"Lỗi định dạng ngày"
))</f>
        <v>Lớp 4</v>
      </c>
      <c r="H2" s="1"/>
      <c r="I2" s="1"/>
      <c r="J2" s="5"/>
      <c r="M2" s="1"/>
      <c r="O2" t="s">
        <v>188</v>
      </c>
    </row>
    <row r="3" spans="1:15" x14ac:dyDescent="0.25">
      <c r="A3" s="4">
        <f t="shared" si="0"/>
        <v>2</v>
      </c>
      <c r="B3" t="s">
        <v>91</v>
      </c>
      <c r="C3" t="s">
        <v>137</v>
      </c>
      <c r="D3" t="s">
        <v>139</v>
      </c>
      <c r="F3" s="2">
        <v>42176</v>
      </c>
      <c r="G3" t="str">
        <f t="shared" ref="G3:G33" si="1">IF(A3="","",IFERROR(
    IF(
        2025-VALUE(TEXT(F3,"YYYY"))-IF(MONTH(F3)*100+DAY(F3)&gt;701,1,0)&lt;6,"Mầm non",
        IF(
            2025-VALUE(TEXT(F3,"YYYY"))-IF(MONTH(F3)*100+DAY(F3)&gt;701,1,0)&gt;17,"Đã tốt nghiệp",
            "Lớp "&amp;(2025-VALUE(TEXT(F3,"YYYY"))-IF(MONTH(F3)*100+DAY(F3)&gt;701,1,0)-5)
        )
    ),"Lỗi định dạng ngày"
))</f>
        <v>Lớp 5</v>
      </c>
      <c r="J3" s="6"/>
      <c r="M3" s="1"/>
      <c r="O3" t="s">
        <v>189</v>
      </c>
    </row>
    <row r="4" spans="1:15" x14ac:dyDescent="0.25">
      <c r="A4" s="4">
        <f t="shared" si="0"/>
        <v>3</v>
      </c>
      <c r="B4" t="s">
        <v>32</v>
      </c>
      <c r="C4" t="s">
        <v>136</v>
      </c>
      <c r="D4" t="s">
        <v>140</v>
      </c>
      <c r="E4" t="s">
        <v>233</v>
      </c>
      <c r="F4" s="2">
        <v>41764</v>
      </c>
      <c r="G4" t="str">
        <f t="shared" si="1"/>
        <v>Lớp 6</v>
      </c>
      <c r="J4" s="6"/>
      <c r="M4" s="2"/>
      <c r="O4" t="s">
        <v>190</v>
      </c>
    </row>
    <row r="5" spans="1:15" x14ac:dyDescent="0.25">
      <c r="A5" s="4">
        <f t="shared" si="0"/>
        <v>4</v>
      </c>
      <c r="B5" t="s">
        <v>92</v>
      </c>
      <c r="C5" t="s">
        <v>136</v>
      </c>
      <c r="D5" t="s">
        <v>141</v>
      </c>
      <c r="F5" s="2">
        <v>42201</v>
      </c>
      <c r="G5" t="str">
        <f t="shared" si="1"/>
        <v>Lớp 4</v>
      </c>
      <c r="J5" s="6"/>
      <c r="O5" t="s">
        <v>191</v>
      </c>
    </row>
    <row r="6" spans="1:15" x14ac:dyDescent="0.25">
      <c r="A6" s="4">
        <f t="shared" si="0"/>
        <v>5</v>
      </c>
      <c r="B6" t="s">
        <v>93</v>
      </c>
      <c r="C6" t="s">
        <v>136</v>
      </c>
      <c r="D6" t="s">
        <v>142</v>
      </c>
      <c r="E6" t="s">
        <v>187</v>
      </c>
      <c r="F6" s="2">
        <v>42536</v>
      </c>
      <c r="G6" t="str">
        <f t="shared" si="1"/>
        <v>Lớp 4</v>
      </c>
      <c r="J6" s="6"/>
      <c r="O6" t="s">
        <v>192</v>
      </c>
    </row>
    <row r="7" spans="1:15" x14ac:dyDescent="0.25">
      <c r="A7" s="4">
        <f t="shared" si="0"/>
        <v>6</v>
      </c>
      <c r="B7" t="s">
        <v>94</v>
      </c>
      <c r="C7" t="s">
        <v>136</v>
      </c>
      <c r="D7" t="s">
        <v>143</v>
      </c>
      <c r="E7" t="s">
        <v>187</v>
      </c>
      <c r="F7" s="2">
        <v>40743</v>
      </c>
      <c r="G7" t="str">
        <f t="shared" si="1"/>
        <v>Lớp 8</v>
      </c>
      <c r="J7" s="6"/>
      <c r="O7" t="s">
        <v>193</v>
      </c>
    </row>
    <row r="8" spans="1:15" x14ac:dyDescent="0.25">
      <c r="A8" s="4">
        <f t="shared" si="0"/>
        <v>7</v>
      </c>
      <c r="B8" t="s">
        <v>95</v>
      </c>
      <c r="C8" t="s">
        <v>137</v>
      </c>
      <c r="D8" t="s">
        <v>144</v>
      </c>
      <c r="E8" t="s">
        <v>188</v>
      </c>
      <c r="F8" s="2">
        <v>43330</v>
      </c>
      <c r="G8" t="str">
        <f t="shared" si="1"/>
        <v>Lớp 1</v>
      </c>
      <c r="J8" s="6"/>
      <c r="O8" t="s">
        <v>194</v>
      </c>
    </row>
    <row r="9" spans="1:15" x14ac:dyDescent="0.25">
      <c r="A9" s="4">
        <f t="shared" si="0"/>
        <v>8</v>
      </c>
      <c r="B9" t="s">
        <v>96</v>
      </c>
      <c r="C9" t="s">
        <v>137</v>
      </c>
      <c r="D9" t="s">
        <v>145</v>
      </c>
      <c r="E9" t="s">
        <v>189</v>
      </c>
      <c r="F9" s="2">
        <v>40987</v>
      </c>
      <c r="G9" t="str">
        <f t="shared" si="1"/>
        <v>Lớp 8</v>
      </c>
      <c r="J9" s="6"/>
      <c r="O9" t="s">
        <v>195</v>
      </c>
    </row>
    <row r="10" spans="1:15" x14ac:dyDescent="0.25">
      <c r="A10" s="4">
        <f t="shared" si="0"/>
        <v>9</v>
      </c>
      <c r="B10" t="s">
        <v>97</v>
      </c>
      <c r="C10" t="s">
        <v>136</v>
      </c>
      <c r="D10" t="s">
        <v>146</v>
      </c>
      <c r="F10" s="2">
        <v>42298</v>
      </c>
      <c r="G10" t="str">
        <f t="shared" si="1"/>
        <v>Lớp 4</v>
      </c>
      <c r="J10" s="6"/>
    </row>
    <row r="11" spans="1:15" x14ac:dyDescent="0.25">
      <c r="A11" s="4">
        <f t="shared" si="0"/>
        <v>10</v>
      </c>
      <c r="B11" t="s">
        <v>98</v>
      </c>
      <c r="C11" t="s">
        <v>137</v>
      </c>
      <c r="D11" t="s">
        <v>147</v>
      </c>
      <c r="E11" t="s">
        <v>190</v>
      </c>
      <c r="F11" s="2">
        <v>42422</v>
      </c>
      <c r="G11" t="str">
        <f t="shared" si="1"/>
        <v>Lớp 4</v>
      </c>
      <c r="J11" s="6"/>
    </row>
    <row r="12" spans="1:15" x14ac:dyDescent="0.25">
      <c r="A12" s="4">
        <f t="shared" si="0"/>
        <v>11</v>
      </c>
      <c r="B12" t="s">
        <v>99</v>
      </c>
      <c r="C12" t="s">
        <v>137</v>
      </c>
      <c r="D12" t="s">
        <v>148</v>
      </c>
      <c r="E12" t="s">
        <v>190</v>
      </c>
      <c r="F12" s="2">
        <v>40852</v>
      </c>
      <c r="G12" t="str">
        <f t="shared" si="1"/>
        <v>Lớp 8</v>
      </c>
      <c r="J12" s="6"/>
    </row>
    <row r="13" spans="1:15" x14ac:dyDescent="0.25">
      <c r="A13" s="4">
        <f t="shared" si="0"/>
        <v>12</v>
      </c>
      <c r="B13" t="s">
        <v>100</v>
      </c>
      <c r="C13" t="s">
        <v>137</v>
      </c>
      <c r="D13" t="s">
        <v>149</v>
      </c>
      <c r="E13" t="s">
        <v>191</v>
      </c>
      <c r="F13" s="2">
        <v>40952</v>
      </c>
      <c r="G13" t="str">
        <f t="shared" si="1"/>
        <v>Lớp 8</v>
      </c>
      <c r="J13" s="6"/>
    </row>
    <row r="14" spans="1:15" x14ac:dyDescent="0.25">
      <c r="A14" s="4">
        <f t="shared" si="0"/>
        <v>13</v>
      </c>
      <c r="B14" t="s">
        <v>33</v>
      </c>
      <c r="C14" t="s">
        <v>137</v>
      </c>
      <c r="D14" t="s">
        <v>150</v>
      </c>
      <c r="E14" t="s">
        <v>191</v>
      </c>
      <c r="F14" s="2">
        <v>42054</v>
      </c>
      <c r="G14" t="str">
        <f t="shared" si="1"/>
        <v>Lớp 5</v>
      </c>
      <c r="J14" s="6"/>
    </row>
    <row r="15" spans="1:15" x14ac:dyDescent="0.25">
      <c r="A15" s="4">
        <f t="shared" si="0"/>
        <v>14</v>
      </c>
      <c r="B15" t="s">
        <v>101</v>
      </c>
      <c r="C15" t="s">
        <v>137</v>
      </c>
      <c r="D15" t="s">
        <v>151</v>
      </c>
      <c r="E15" t="s">
        <v>192</v>
      </c>
      <c r="F15" s="2">
        <v>40727</v>
      </c>
      <c r="G15" t="str">
        <f t="shared" si="1"/>
        <v>Lớp 8</v>
      </c>
      <c r="J15" s="6"/>
    </row>
    <row r="16" spans="1:15" x14ac:dyDescent="0.25">
      <c r="A16" s="4">
        <f t="shared" si="0"/>
        <v>15</v>
      </c>
      <c r="B16" t="s">
        <v>34</v>
      </c>
      <c r="C16" t="s">
        <v>136</v>
      </c>
      <c r="D16" t="s">
        <v>152</v>
      </c>
      <c r="E16" t="s">
        <v>192</v>
      </c>
      <c r="F16" s="2">
        <v>41686</v>
      </c>
      <c r="G16" t="str">
        <f t="shared" si="1"/>
        <v>Lớp 6</v>
      </c>
      <c r="J16" s="6"/>
    </row>
    <row r="17" spans="1:10" x14ac:dyDescent="0.25">
      <c r="A17" s="4">
        <f t="shared" si="0"/>
        <v>16</v>
      </c>
      <c r="B17" t="s">
        <v>102</v>
      </c>
      <c r="C17" t="s">
        <v>137</v>
      </c>
      <c r="D17" t="s">
        <v>153</v>
      </c>
      <c r="E17" t="s">
        <v>193</v>
      </c>
      <c r="F17" s="2">
        <v>42332</v>
      </c>
      <c r="G17" t="str">
        <f t="shared" si="1"/>
        <v>Lớp 4</v>
      </c>
      <c r="J17" s="6"/>
    </row>
    <row r="18" spans="1:10" x14ac:dyDescent="0.25">
      <c r="A18" s="4">
        <f t="shared" si="0"/>
        <v>17</v>
      </c>
      <c r="B18" t="s">
        <v>35</v>
      </c>
      <c r="C18" t="s">
        <v>136</v>
      </c>
      <c r="D18" t="s">
        <v>154</v>
      </c>
      <c r="F18" s="2">
        <v>41539</v>
      </c>
      <c r="G18" t="str">
        <f t="shared" si="1"/>
        <v>Lớp 6</v>
      </c>
      <c r="J18" s="6"/>
    </row>
    <row r="19" spans="1:10" x14ac:dyDescent="0.25">
      <c r="A19" s="4">
        <f t="shared" si="0"/>
        <v>18</v>
      </c>
      <c r="B19" t="s">
        <v>103</v>
      </c>
      <c r="C19" t="s">
        <v>137</v>
      </c>
      <c r="D19" t="s">
        <v>155</v>
      </c>
      <c r="F19" s="2">
        <v>42241</v>
      </c>
      <c r="G19" t="str">
        <f t="shared" si="1"/>
        <v>Lớp 4</v>
      </c>
      <c r="J19" s="6"/>
    </row>
    <row r="20" spans="1:10" x14ac:dyDescent="0.25">
      <c r="A20" s="4">
        <f t="shared" si="0"/>
        <v>19</v>
      </c>
      <c r="B20" t="s">
        <v>104</v>
      </c>
      <c r="C20" t="s">
        <v>137</v>
      </c>
      <c r="D20" t="s">
        <v>156</v>
      </c>
      <c r="F20" s="2">
        <v>39986</v>
      </c>
      <c r="G20" t="str">
        <f t="shared" si="1"/>
        <v>Lớp 11</v>
      </c>
      <c r="J20" s="6"/>
    </row>
    <row r="21" spans="1:10" x14ac:dyDescent="0.25">
      <c r="A21" s="4">
        <f t="shared" si="0"/>
        <v>20</v>
      </c>
      <c r="B21" t="s">
        <v>105</v>
      </c>
      <c r="C21" t="s">
        <v>136</v>
      </c>
      <c r="D21" t="s">
        <v>157</v>
      </c>
      <c r="F21" s="2">
        <v>40457</v>
      </c>
      <c r="G21" t="str">
        <f t="shared" si="1"/>
        <v>Lớp 9</v>
      </c>
      <c r="J21" s="6"/>
    </row>
    <row r="22" spans="1:10" x14ac:dyDescent="0.25">
      <c r="A22" s="4">
        <f t="shared" si="0"/>
        <v>21</v>
      </c>
      <c r="B22" t="s">
        <v>36</v>
      </c>
      <c r="C22" t="s">
        <v>136</v>
      </c>
      <c r="D22" t="s">
        <v>158</v>
      </c>
      <c r="F22" s="2">
        <v>41611</v>
      </c>
      <c r="G22" t="str">
        <f t="shared" si="1"/>
        <v>Lớp 6</v>
      </c>
      <c r="J22" s="6"/>
    </row>
    <row r="23" spans="1:10" x14ac:dyDescent="0.25">
      <c r="A23" s="4">
        <f t="shared" si="0"/>
        <v>22</v>
      </c>
      <c r="B23" t="s">
        <v>106</v>
      </c>
      <c r="C23" t="s">
        <v>136</v>
      </c>
      <c r="D23" t="s">
        <v>159</v>
      </c>
      <c r="F23" s="2">
        <v>40534</v>
      </c>
      <c r="G23" t="str">
        <f t="shared" si="1"/>
        <v>Lớp 9</v>
      </c>
      <c r="J23" s="6"/>
    </row>
    <row r="24" spans="1:10" x14ac:dyDescent="0.25">
      <c r="A24" s="4">
        <f t="shared" si="0"/>
        <v>23</v>
      </c>
      <c r="B24" t="s">
        <v>107</v>
      </c>
      <c r="C24" t="s">
        <v>137</v>
      </c>
      <c r="D24" t="s">
        <v>160</v>
      </c>
      <c r="E24" t="s">
        <v>194</v>
      </c>
      <c r="F24" s="2">
        <v>40875</v>
      </c>
      <c r="G24" t="str">
        <f t="shared" si="1"/>
        <v>Lớp 8</v>
      </c>
      <c r="J24" s="6"/>
    </row>
    <row r="25" spans="1:10" x14ac:dyDescent="0.25">
      <c r="A25" s="4">
        <f t="shared" si="0"/>
        <v>24</v>
      </c>
      <c r="B25" t="s">
        <v>108</v>
      </c>
      <c r="C25" t="s">
        <v>137</v>
      </c>
      <c r="D25" t="s">
        <v>161</v>
      </c>
      <c r="E25" t="s">
        <v>188</v>
      </c>
      <c r="F25" s="2">
        <v>41253</v>
      </c>
      <c r="G25" t="str">
        <f t="shared" si="1"/>
        <v>Lớp 7</v>
      </c>
      <c r="J25" s="6"/>
    </row>
    <row r="26" spans="1:10" x14ac:dyDescent="0.25">
      <c r="A26" s="4">
        <f t="shared" si="0"/>
        <v>25</v>
      </c>
      <c r="B26" t="s">
        <v>109</v>
      </c>
      <c r="C26" t="s">
        <v>136</v>
      </c>
      <c r="D26" t="s">
        <v>162</v>
      </c>
      <c r="F26" s="2">
        <v>42167</v>
      </c>
      <c r="G26" t="str">
        <f t="shared" si="1"/>
        <v>Lớp 5</v>
      </c>
      <c r="J26" s="6"/>
    </row>
    <row r="27" spans="1:10" x14ac:dyDescent="0.25">
      <c r="A27" s="4">
        <f t="shared" si="0"/>
        <v>26</v>
      </c>
      <c r="B27" t="s">
        <v>110</v>
      </c>
      <c r="C27" t="s">
        <v>137</v>
      </c>
      <c r="D27" t="s">
        <v>163</v>
      </c>
      <c r="F27" s="2">
        <v>42354</v>
      </c>
      <c r="G27" t="str">
        <f t="shared" si="1"/>
        <v>Lớp 4</v>
      </c>
      <c r="J27" s="6"/>
    </row>
    <row r="28" spans="1:10" x14ac:dyDescent="0.25">
      <c r="A28" s="4">
        <f t="shared" si="0"/>
        <v>27</v>
      </c>
      <c r="B28" t="s">
        <v>111</v>
      </c>
      <c r="C28" t="s">
        <v>136</v>
      </c>
      <c r="D28" t="s">
        <v>164</v>
      </c>
      <c r="F28" s="2">
        <v>43307</v>
      </c>
      <c r="G28" t="str">
        <f t="shared" si="1"/>
        <v>Lớp 1</v>
      </c>
      <c r="J28" s="6"/>
    </row>
    <row r="29" spans="1:10" x14ac:dyDescent="0.25">
      <c r="A29" s="4">
        <f t="shared" si="0"/>
        <v>28</v>
      </c>
      <c r="B29" t="s">
        <v>112</v>
      </c>
      <c r="C29" t="s">
        <v>136</v>
      </c>
      <c r="D29" t="s">
        <v>165</v>
      </c>
      <c r="F29" s="2">
        <v>40905</v>
      </c>
      <c r="G29" t="str">
        <f t="shared" si="1"/>
        <v>Lớp 8</v>
      </c>
      <c r="J29" s="6"/>
    </row>
    <row r="30" spans="1:10" x14ac:dyDescent="0.25">
      <c r="A30" s="4">
        <f t="shared" si="0"/>
        <v>29</v>
      </c>
      <c r="B30" t="s">
        <v>113</v>
      </c>
      <c r="C30" t="s">
        <v>136</v>
      </c>
      <c r="D30" t="s">
        <v>166</v>
      </c>
      <c r="F30" s="2">
        <v>42551</v>
      </c>
      <c r="G30" t="str">
        <f t="shared" si="1"/>
        <v>Lớp 4</v>
      </c>
      <c r="J30" s="6"/>
    </row>
    <row r="31" spans="1:10" x14ac:dyDescent="0.25">
      <c r="A31" s="4">
        <f t="shared" si="0"/>
        <v>30</v>
      </c>
      <c r="B31" t="s">
        <v>223</v>
      </c>
      <c r="C31" t="s">
        <v>137</v>
      </c>
      <c r="D31" t="s">
        <v>167</v>
      </c>
      <c r="F31" s="2">
        <v>41372</v>
      </c>
      <c r="G31" t="str">
        <f t="shared" si="1"/>
        <v>Lớp 7</v>
      </c>
      <c r="H31" t="s">
        <v>224</v>
      </c>
      <c r="I31" t="s">
        <v>225</v>
      </c>
      <c r="J31" s="7">
        <v>706857383</v>
      </c>
    </row>
    <row r="32" spans="1:10" x14ac:dyDescent="0.25">
      <c r="A32" s="4">
        <f t="shared" si="0"/>
        <v>31</v>
      </c>
      <c r="B32" t="s">
        <v>108</v>
      </c>
      <c r="C32" t="s">
        <v>137</v>
      </c>
      <c r="D32" t="s">
        <v>168</v>
      </c>
      <c r="F32" s="2">
        <v>39966</v>
      </c>
      <c r="G32" t="str">
        <f t="shared" si="1"/>
        <v>Lớp 11</v>
      </c>
      <c r="J32" s="6"/>
    </row>
    <row r="33" spans="1:10" x14ac:dyDescent="0.25">
      <c r="A33" s="4">
        <f t="shared" si="0"/>
        <v>32</v>
      </c>
      <c r="B33" t="s">
        <v>22</v>
      </c>
      <c r="C33" t="s">
        <v>137</v>
      </c>
      <c r="D33" t="s">
        <v>169</v>
      </c>
      <c r="F33" s="2">
        <v>41505</v>
      </c>
      <c r="G33" t="str">
        <f t="shared" si="1"/>
        <v>Lớp 6</v>
      </c>
      <c r="J33" s="6"/>
    </row>
    <row r="34" spans="1:10" x14ac:dyDescent="0.25">
      <c r="A34" s="4">
        <f t="shared" si="0"/>
        <v>33</v>
      </c>
      <c r="B34" t="s">
        <v>114</v>
      </c>
      <c r="C34" t="s">
        <v>137</v>
      </c>
      <c r="D34" t="s">
        <v>170</v>
      </c>
      <c r="E34" t="s">
        <v>189</v>
      </c>
      <c r="F34" s="2">
        <v>44076</v>
      </c>
      <c r="G34" t="str">
        <f t="shared" ref="G34:G65" si="2">IF(A34="","",IFERROR(
    IF(
        2025-VALUE(TEXT(F34,"YYYY"))-IF(MONTH(F34)*100+DAY(F34)&gt;701,1,0)&lt;6,"Mầm non",
        IF(
            2025-VALUE(TEXT(F34,"YYYY"))-IF(MONTH(F34)*100+DAY(F34)&gt;701,1,0)&gt;17,"Đã tốt nghiệp",
            "Lớp "&amp;(2025-VALUE(TEXT(F34,"YYYY"))-IF(MONTH(F34)*100+DAY(F34)&gt;701,1,0)-5)
        )
    ),"Lỗi định dạng ngày"
))</f>
        <v>Mầm non</v>
      </c>
      <c r="J34" s="6"/>
    </row>
    <row r="35" spans="1:10" x14ac:dyDescent="0.25">
      <c r="A35" s="4">
        <f t="shared" si="0"/>
        <v>34</v>
      </c>
      <c r="B35" t="s">
        <v>115</v>
      </c>
      <c r="C35" t="s">
        <v>136</v>
      </c>
      <c r="D35" t="s">
        <v>171</v>
      </c>
      <c r="F35" s="2">
        <v>43112</v>
      </c>
      <c r="G35" t="str">
        <f t="shared" si="2"/>
        <v>Lớp 2</v>
      </c>
      <c r="J35" s="6"/>
    </row>
    <row r="36" spans="1:10" x14ac:dyDescent="0.25">
      <c r="A36" s="4">
        <f t="shared" si="0"/>
        <v>35</v>
      </c>
      <c r="B36" t="s">
        <v>116</v>
      </c>
      <c r="C36" t="s">
        <v>136</v>
      </c>
      <c r="D36" t="s">
        <v>172</v>
      </c>
      <c r="F36" s="2">
        <v>40756</v>
      </c>
      <c r="G36" t="str">
        <f t="shared" si="2"/>
        <v>Lớp 8</v>
      </c>
      <c r="J36" s="6"/>
    </row>
    <row r="37" spans="1:10" x14ac:dyDescent="0.25">
      <c r="A37" s="4">
        <f t="shared" si="0"/>
        <v>36</v>
      </c>
      <c r="B37" t="s">
        <v>117</v>
      </c>
      <c r="C37" t="s">
        <v>137</v>
      </c>
      <c r="D37" t="s">
        <v>173</v>
      </c>
      <c r="F37" s="2">
        <v>41497</v>
      </c>
      <c r="G37" t="str">
        <f t="shared" si="2"/>
        <v>Lớp 6</v>
      </c>
      <c r="J37" s="6"/>
    </row>
    <row r="38" spans="1:10" x14ac:dyDescent="0.25">
      <c r="A38" s="4">
        <f t="shared" si="0"/>
        <v>37</v>
      </c>
      <c r="B38" t="s">
        <v>222</v>
      </c>
      <c r="C38" t="s">
        <v>137</v>
      </c>
      <c r="D38" t="s">
        <v>174</v>
      </c>
      <c r="E38" t="s">
        <v>233</v>
      </c>
      <c r="F38" s="2">
        <v>40120</v>
      </c>
      <c r="G38" t="str">
        <f t="shared" si="2"/>
        <v>Lớp 10</v>
      </c>
      <c r="J38" s="6"/>
    </row>
    <row r="39" spans="1:10" x14ac:dyDescent="0.25">
      <c r="A39" s="4">
        <f t="shared" si="0"/>
        <v>38</v>
      </c>
      <c r="B39" t="s">
        <v>118</v>
      </c>
      <c r="C39" t="s">
        <v>136</v>
      </c>
      <c r="D39" t="s">
        <v>175</v>
      </c>
      <c r="F39" s="2">
        <v>39623</v>
      </c>
      <c r="G39" t="str">
        <f t="shared" si="2"/>
        <v>Lớp 12</v>
      </c>
      <c r="J39" s="6"/>
    </row>
    <row r="40" spans="1:10" x14ac:dyDescent="0.25">
      <c r="A40" s="4">
        <f t="shared" si="0"/>
        <v>39</v>
      </c>
      <c r="B40" t="s">
        <v>119</v>
      </c>
      <c r="C40" t="s">
        <v>136</v>
      </c>
      <c r="D40" t="s">
        <v>176</v>
      </c>
      <c r="F40" s="2">
        <v>40648</v>
      </c>
      <c r="G40" t="str">
        <f t="shared" si="2"/>
        <v>Lớp 9</v>
      </c>
      <c r="J40" s="6"/>
    </row>
    <row r="41" spans="1:10" x14ac:dyDescent="0.25">
      <c r="A41" s="4">
        <f t="shared" si="0"/>
        <v>40</v>
      </c>
      <c r="B41" t="s">
        <v>120</v>
      </c>
      <c r="C41" t="s">
        <v>137</v>
      </c>
      <c r="D41" t="s">
        <v>177</v>
      </c>
      <c r="E41" t="s">
        <v>194</v>
      </c>
      <c r="F41" s="2">
        <v>41930</v>
      </c>
      <c r="G41" t="str">
        <f t="shared" si="2"/>
        <v>Lớp 5</v>
      </c>
      <c r="J41" s="6"/>
    </row>
    <row r="42" spans="1:10" x14ac:dyDescent="0.25">
      <c r="A42" s="4">
        <f t="shared" si="0"/>
        <v>41</v>
      </c>
      <c r="B42" t="s">
        <v>121</v>
      </c>
      <c r="C42" t="s">
        <v>137</v>
      </c>
      <c r="D42" t="s">
        <v>178</v>
      </c>
      <c r="F42" s="2">
        <v>42225</v>
      </c>
      <c r="G42" t="str">
        <f t="shared" si="2"/>
        <v>Lớp 4</v>
      </c>
      <c r="J42" s="6"/>
    </row>
    <row r="43" spans="1:10" x14ac:dyDescent="0.25">
      <c r="A43" s="4">
        <f t="shared" si="0"/>
        <v>42</v>
      </c>
      <c r="B43" t="s">
        <v>122</v>
      </c>
      <c r="C43" t="s">
        <v>136</v>
      </c>
      <c r="D43" t="s">
        <v>179</v>
      </c>
      <c r="F43" s="2">
        <v>41402</v>
      </c>
      <c r="G43" t="str">
        <f t="shared" si="2"/>
        <v>Lớp 7</v>
      </c>
      <c r="J43" s="6"/>
    </row>
    <row r="44" spans="1:10" x14ac:dyDescent="0.25">
      <c r="A44" s="4">
        <f t="shared" si="0"/>
        <v>43</v>
      </c>
      <c r="B44" t="s">
        <v>25</v>
      </c>
      <c r="C44" t="s">
        <v>136</v>
      </c>
      <c r="D44" t="s">
        <v>180</v>
      </c>
      <c r="F44" s="2">
        <v>41945</v>
      </c>
      <c r="G44" t="str">
        <f t="shared" si="2"/>
        <v>Lớp 5</v>
      </c>
      <c r="J44" s="6"/>
    </row>
    <row r="45" spans="1:10" x14ac:dyDescent="0.25">
      <c r="A45" s="4">
        <f t="shared" si="0"/>
        <v>44</v>
      </c>
      <c r="B45" t="s">
        <v>27</v>
      </c>
      <c r="C45" t="s">
        <v>137</v>
      </c>
      <c r="D45" t="s">
        <v>181</v>
      </c>
      <c r="F45" s="2">
        <v>42102</v>
      </c>
      <c r="G45" t="str">
        <f t="shared" si="2"/>
        <v>Lớp 5</v>
      </c>
      <c r="J45" s="6"/>
    </row>
    <row r="46" spans="1:10" x14ac:dyDescent="0.25">
      <c r="A46" s="4">
        <f t="shared" si="0"/>
        <v>45</v>
      </c>
      <c r="B46" t="s">
        <v>123</v>
      </c>
      <c r="C46" t="s">
        <v>137</v>
      </c>
      <c r="D46" t="s">
        <v>182</v>
      </c>
      <c r="E46" t="s">
        <v>195</v>
      </c>
      <c r="F46" s="2">
        <v>42940</v>
      </c>
      <c r="G46" t="str">
        <f t="shared" si="2"/>
        <v>Lớp 2</v>
      </c>
      <c r="J46" s="6"/>
    </row>
    <row r="47" spans="1:10" x14ac:dyDescent="0.25">
      <c r="A47" s="4">
        <f t="shared" si="0"/>
        <v>46</v>
      </c>
      <c r="B47" t="s">
        <v>37</v>
      </c>
      <c r="C47" t="s">
        <v>137</v>
      </c>
      <c r="D47" t="s">
        <v>183</v>
      </c>
      <c r="E47" t="s">
        <v>195</v>
      </c>
      <c r="F47" s="2">
        <v>41761</v>
      </c>
      <c r="G47" t="str">
        <f t="shared" si="2"/>
        <v>Lớp 6</v>
      </c>
      <c r="J47" s="6"/>
    </row>
    <row r="48" spans="1:10" x14ac:dyDescent="0.25">
      <c r="A48" s="4">
        <f t="shared" si="0"/>
        <v>47</v>
      </c>
      <c r="B48" t="s">
        <v>124</v>
      </c>
      <c r="C48" t="s">
        <v>137</v>
      </c>
      <c r="D48" t="s">
        <v>184</v>
      </c>
      <c r="F48" s="2">
        <v>42822</v>
      </c>
      <c r="G48" t="str">
        <f t="shared" si="2"/>
        <v>Lớp 3</v>
      </c>
      <c r="J48" s="6"/>
    </row>
    <row r="49" spans="1:10" x14ac:dyDescent="0.25">
      <c r="A49" s="4">
        <f t="shared" si="0"/>
        <v>48</v>
      </c>
      <c r="B49" t="s">
        <v>125</v>
      </c>
      <c r="C49" t="s">
        <v>136</v>
      </c>
      <c r="D49" t="s">
        <v>185</v>
      </c>
      <c r="E49" t="s">
        <v>193</v>
      </c>
      <c r="F49" s="2">
        <v>43426</v>
      </c>
      <c r="G49" t="str">
        <f t="shared" si="2"/>
        <v>Lớp 1</v>
      </c>
      <c r="J49" s="6"/>
    </row>
    <row r="50" spans="1:10" x14ac:dyDescent="0.25">
      <c r="A50" s="4">
        <f t="shared" si="0"/>
        <v>49</v>
      </c>
      <c r="B50" t="s">
        <v>30</v>
      </c>
      <c r="C50" t="s">
        <v>137</v>
      </c>
      <c r="D50" t="s">
        <v>186</v>
      </c>
      <c r="F50" s="2">
        <v>41456</v>
      </c>
      <c r="G50" t="str">
        <f t="shared" si="2"/>
        <v>Lớp 7</v>
      </c>
      <c r="J50" s="6"/>
    </row>
    <row r="51" spans="1:10" x14ac:dyDescent="0.25">
      <c r="A51" s="3" t="str">
        <f>IF(B51="","",COUNTIF(B$2:B51,"&lt;&gt;"))</f>
        <v/>
      </c>
      <c r="G51" t="str">
        <f t="shared" si="2"/>
        <v/>
      </c>
    </row>
    <row r="52" spans="1:10" x14ac:dyDescent="0.25">
      <c r="A52" s="3" t="str">
        <f>IF(B52="","",COUNTIF(B$2:B52,"&lt;&gt;"))</f>
        <v/>
      </c>
      <c r="G52" t="str">
        <f t="shared" si="2"/>
        <v/>
      </c>
    </row>
    <row r="53" spans="1:10" x14ac:dyDescent="0.25">
      <c r="A53" s="3" t="str">
        <f>IF(B53="","",COUNTIF(B$2:B53,"&lt;&gt;"))</f>
        <v/>
      </c>
      <c r="G53" t="str">
        <f t="shared" si="2"/>
        <v/>
      </c>
    </row>
    <row r="54" spans="1:10" x14ac:dyDescent="0.25">
      <c r="A54" s="3" t="str">
        <f>IF(B54="","",COUNTIF(B$2:B54,"&lt;&gt;"))</f>
        <v/>
      </c>
      <c r="G54" t="str">
        <f t="shared" si="2"/>
        <v/>
      </c>
    </row>
    <row r="55" spans="1:10" x14ac:dyDescent="0.25">
      <c r="A55" s="3" t="str">
        <f>IF(B55="","",COUNTIF(B$2:B55,"&lt;&gt;"))</f>
        <v/>
      </c>
      <c r="G55" t="str">
        <f t="shared" si="2"/>
        <v/>
      </c>
    </row>
    <row r="56" spans="1:10" x14ac:dyDescent="0.25">
      <c r="A56" s="3" t="str">
        <f>IF(B56="","",COUNTIF(B$2:B56,"&lt;&gt;"))</f>
        <v/>
      </c>
      <c r="G56" t="str">
        <f t="shared" si="2"/>
        <v/>
      </c>
    </row>
    <row r="57" spans="1:10" x14ac:dyDescent="0.25">
      <c r="A57" s="3" t="str">
        <f>IF(B57="","",COUNTIF(B$2:B57,"&lt;&gt;"))</f>
        <v/>
      </c>
      <c r="G57" t="str">
        <f t="shared" si="2"/>
        <v/>
      </c>
    </row>
    <row r="58" spans="1:10" x14ac:dyDescent="0.25">
      <c r="A58" s="3" t="str">
        <f>IF(B58="","",COUNTIF(B$2:B58,"&lt;&gt;"))</f>
        <v/>
      </c>
      <c r="G58" t="str">
        <f t="shared" si="2"/>
        <v/>
      </c>
    </row>
    <row r="59" spans="1:10" x14ac:dyDescent="0.25">
      <c r="A59" s="3" t="str">
        <f>IF(B59="","",COUNTIF(B$2:B59,"&lt;&gt;"))</f>
        <v/>
      </c>
      <c r="G59" t="str">
        <f t="shared" si="2"/>
        <v/>
      </c>
    </row>
    <row r="60" spans="1:10" x14ac:dyDescent="0.25">
      <c r="A60" s="3" t="str">
        <f>IF(B60="","",COUNTIF(B$2:B60,"&lt;&gt;"))</f>
        <v/>
      </c>
      <c r="G60" t="str">
        <f t="shared" si="2"/>
        <v/>
      </c>
    </row>
    <row r="61" spans="1:10" x14ac:dyDescent="0.25">
      <c r="A61" s="3" t="str">
        <f>IF(B61="","",COUNTIF(B$2:B61,"&lt;&gt;"))</f>
        <v/>
      </c>
      <c r="G61" t="str">
        <f t="shared" si="2"/>
        <v/>
      </c>
    </row>
    <row r="62" spans="1:10" x14ac:dyDescent="0.25">
      <c r="A62" s="3" t="str">
        <f>IF(B62="","",COUNTIF(B$2:B62,"&lt;&gt;"))</f>
        <v/>
      </c>
      <c r="G62" t="str">
        <f t="shared" si="2"/>
        <v/>
      </c>
    </row>
    <row r="63" spans="1:10" x14ac:dyDescent="0.25">
      <c r="A63" s="3" t="str">
        <f>IF(B63="","",COUNTIF(B$2:B63,"&lt;&gt;"))</f>
        <v/>
      </c>
      <c r="G63" t="str">
        <f t="shared" si="2"/>
        <v/>
      </c>
    </row>
    <row r="64" spans="1:10" x14ac:dyDescent="0.25">
      <c r="A64" s="3" t="str">
        <f>IF(B64="","",COUNTIF(B$2:B64,"&lt;&gt;"))</f>
        <v/>
      </c>
      <c r="G64" t="str">
        <f t="shared" si="2"/>
        <v/>
      </c>
    </row>
    <row r="65" spans="1:7" x14ac:dyDescent="0.25">
      <c r="A65" s="3" t="str">
        <f>IF(B65="","",COUNTIF(B$2:B65,"&lt;&gt;"))</f>
        <v/>
      </c>
      <c r="G65" t="str">
        <f t="shared" si="2"/>
        <v/>
      </c>
    </row>
    <row r="66" spans="1:7" x14ac:dyDescent="0.25">
      <c r="A66" s="3" t="str">
        <f>IF(B66="","",COUNTIF(B$2:B66,"&lt;&gt;"))</f>
        <v/>
      </c>
      <c r="G66" t="str">
        <f t="shared" ref="G66:G97" si="3">IF(A66="","",IFERROR(
    IF(
        2025-VALUE(TEXT(F66,"YYYY"))-IF(MONTH(F66)*100+DAY(F66)&gt;701,1,0)&lt;6,"Mầm non",
        IF(
            2025-VALUE(TEXT(F66,"YYYY"))-IF(MONTH(F66)*100+DAY(F66)&gt;701,1,0)&gt;17,"Đã tốt nghiệp",
            "Lớp "&amp;(2025-VALUE(TEXT(F66,"YYYY"))-IF(MONTH(F66)*100+DAY(F66)&gt;701,1,0)-5)
        )
    ),"Lỗi định dạng ngày"
))</f>
        <v/>
      </c>
    </row>
    <row r="67" spans="1:7" x14ac:dyDescent="0.25">
      <c r="A67" s="3" t="str">
        <f>IF(B67="","",COUNTIF(B$2:B67,"&lt;&gt;"))</f>
        <v/>
      </c>
      <c r="G67" t="str">
        <f t="shared" si="3"/>
        <v/>
      </c>
    </row>
    <row r="68" spans="1:7" x14ac:dyDescent="0.25">
      <c r="A68" s="3" t="str">
        <f>IF(B68="","",COUNTIF(B$2:B68,"&lt;&gt;"))</f>
        <v/>
      </c>
      <c r="G68" t="str">
        <f t="shared" si="3"/>
        <v/>
      </c>
    </row>
    <row r="69" spans="1:7" x14ac:dyDescent="0.25">
      <c r="A69" s="3" t="str">
        <f>IF(B69="","",COUNTIF(B$2:B69,"&lt;&gt;"))</f>
        <v/>
      </c>
      <c r="G69" t="str">
        <f t="shared" si="3"/>
        <v/>
      </c>
    </row>
    <row r="70" spans="1:7" x14ac:dyDescent="0.25">
      <c r="A70" s="3" t="str">
        <f>IF(B70="","",COUNTIF(B$2:B70,"&lt;&gt;"))</f>
        <v/>
      </c>
      <c r="G70" t="str">
        <f t="shared" si="3"/>
        <v/>
      </c>
    </row>
    <row r="71" spans="1:7" x14ac:dyDescent="0.25">
      <c r="A71" s="3" t="str">
        <f>IF(B71="","",COUNTIF(B$2:B71,"&lt;&gt;"))</f>
        <v/>
      </c>
      <c r="G71" t="str">
        <f t="shared" si="3"/>
        <v/>
      </c>
    </row>
    <row r="72" spans="1:7" x14ac:dyDescent="0.25">
      <c r="A72" s="3" t="str">
        <f>IF(B72="","",COUNTIF(B$2:B72,"&lt;&gt;"))</f>
        <v/>
      </c>
      <c r="G72" t="str">
        <f t="shared" si="3"/>
        <v/>
      </c>
    </row>
    <row r="73" spans="1:7" x14ac:dyDescent="0.25">
      <c r="A73" s="3" t="str">
        <f>IF(B73="","",COUNTIF(B$2:B50,"&lt;&gt;"))</f>
        <v/>
      </c>
      <c r="G73" t="str">
        <f t="shared" si="3"/>
        <v/>
      </c>
    </row>
    <row r="74" spans="1:7" x14ac:dyDescent="0.25">
      <c r="A74" s="3" t="str">
        <f>IF(B74="","",COUNTIF(B$2:B74,"&lt;&gt;"))</f>
        <v/>
      </c>
      <c r="G74" t="str">
        <f t="shared" si="3"/>
        <v/>
      </c>
    </row>
    <row r="75" spans="1:7" x14ac:dyDescent="0.25">
      <c r="A75" s="3" t="str">
        <f>IF(B75="","",COUNTIF(B$2:B75,"&lt;&gt;"))</f>
        <v/>
      </c>
      <c r="G75" t="str">
        <f t="shared" si="3"/>
        <v/>
      </c>
    </row>
    <row r="76" spans="1:7" x14ac:dyDescent="0.25">
      <c r="A76" s="3" t="str">
        <f>IF(B76="","",COUNTIF(B$2:B76,"&lt;&gt;"))</f>
        <v/>
      </c>
      <c r="G76" t="str">
        <f t="shared" si="3"/>
        <v/>
      </c>
    </row>
    <row r="77" spans="1:7" x14ac:dyDescent="0.25">
      <c r="A77" s="3" t="str">
        <f>IF(B77="","",COUNTIF(B$2:B77,"&lt;&gt;"))</f>
        <v/>
      </c>
      <c r="G77" t="str">
        <f t="shared" si="3"/>
        <v/>
      </c>
    </row>
    <row r="78" spans="1:7" x14ac:dyDescent="0.25">
      <c r="A78" s="3" t="str">
        <f>IF(B78="","",COUNTIF(B$2:B78,"&lt;&gt;"))</f>
        <v/>
      </c>
      <c r="G78" t="str">
        <f t="shared" si="3"/>
        <v/>
      </c>
    </row>
    <row r="79" spans="1:7" x14ac:dyDescent="0.25">
      <c r="A79" s="3" t="str">
        <f>IF(B79="","",COUNTIF(B$2:B79,"&lt;&gt;"))</f>
        <v/>
      </c>
      <c r="G79" t="str">
        <f t="shared" si="3"/>
        <v/>
      </c>
    </row>
    <row r="80" spans="1:7" x14ac:dyDescent="0.25">
      <c r="A80" s="3" t="str">
        <f>IF(B80="","",COUNTIF(B$2:B80,"&lt;&gt;"))</f>
        <v/>
      </c>
      <c r="G80" t="str">
        <f t="shared" si="3"/>
        <v/>
      </c>
    </row>
    <row r="81" spans="1:7" x14ac:dyDescent="0.25">
      <c r="A81" s="3" t="str">
        <f>IF(B81="","",COUNTIF(B$2:B81,"&lt;&gt;"))</f>
        <v/>
      </c>
      <c r="G81" t="str">
        <f t="shared" si="3"/>
        <v/>
      </c>
    </row>
    <row r="82" spans="1:7" x14ac:dyDescent="0.25">
      <c r="A82" s="3" t="str">
        <f>IF(B82="","",COUNTIF(B$2:B82,"&lt;&gt;"))</f>
        <v/>
      </c>
      <c r="G82" t="str">
        <f t="shared" si="3"/>
        <v/>
      </c>
    </row>
    <row r="83" spans="1:7" x14ac:dyDescent="0.25">
      <c r="A83" s="3" t="str">
        <f>IF(B83="","",COUNTIF(B$2:B83,"&lt;&gt;"))</f>
        <v/>
      </c>
      <c r="G83" t="str">
        <f t="shared" si="3"/>
        <v/>
      </c>
    </row>
    <row r="84" spans="1:7" x14ac:dyDescent="0.25">
      <c r="A84" s="3" t="str">
        <f>IF(B84="","",COUNTIF(B$2:B84,"&lt;&gt;"))</f>
        <v/>
      </c>
      <c r="G84" t="str">
        <f t="shared" si="3"/>
        <v/>
      </c>
    </row>
    <row r="85" spans="1:7" x14ac:dyDescent="0.25">
      <c r="A85" s="3" t="str">
        <f>IF(B85="","",COUNTIF(B$2:B85,"&lt;&gt;"))</f>
        <v/>
      </c>
      <c r="G85" t="str">
        <f t="shared" si="3"/>
        <v/>
      </c>
    </row>
    <row r="86" spans="1:7" x14ac:dyDescent="0.25">
      <c r="A86" s="3" t="str">
        <f>IF(B86="","",COUNTIF(B$2:B86,"&lt;&gt;"))</f>
        <v/>
      </c>
      <c r="G86" t="str">
        <f t="shared" si="3"/>
        <v/>
      </c>
    </row>
    <row r="87" spans="1:7" x14ac:dyDescent="0.25">
      <c r="A87" s="3" t="str">
        <f>IF(B87="","",COUNTIF(B$2:B87,"&lt;&gt;"))</f>
        <v/>
      </c>
      <c r="G87" t="str">
        <f t="shared" si="3"/>
        <v/>
      </c>
    </row>
    <row r="88" spans="1:7" x14ac:dyDescent="0.25">
      <c r="A88" s="3" t="str">
        <f>IF(B88="","",COUNTIF(B$2:B88,"&lt;&gt;"))</f>
        <v/>
      </c>
      <c r="G88" t="str">
        <f t="shared" si="3"/>
        <v/>
      </c>
    </row>
    <row r="89" spans="1:7" x14ac:dyDescent="0.25">
      <c r="A89" s="3" t="str">
        <f>IF(B89="","",COUNTIF(B$2:B89,"&lt;&gt;"))</f>
        <v/>
      </c>
      <c r="G89" t="str">
        <f t="shared" si="3"/>
        <v/>
      </c>
    </row>
    <row r="90" spans="1:7" x14ac:dyDescent="0.25">
      <c r="A90" s="3" t="str">
        <f>IF(B90="","",COUNTIF(B$2:B90,"&lt;&gt;"))</f>
        <v/>
      </c>
      <c r="G90" t="str">
        <f t="shared" si="3"/>
        <v/>
      </c>
    </row>
    <row r="91" spans="1:7" x14ac:dyDescent="0.25">
      <c r="A91" s="3" t="str">
        <f>IF(B91="","",COUNTIF(B$2:B91,"&lt;&gt;"))</f>
        <v/>
      </c>
      <c r="G91" t="str">
        <f t="shared" si="3"/>
        <v/>
      </c>
    </row>
    <row r="92" spans="1:7" x14ac:dyDescent="0.25">
      <c r="A92" s="3" t="str">
        <f>IF(B92="","",COUNTIF(B$2:B92,"&lt;&gt;"))</f>
        <v/>
      </c>
      <c r="G92" t="str">
        <f t="shared" si="3"/>
        <v/>
      </c>
    </row>
    <row r="93" spans="1:7" x14ac:dyDescent="0.25">
      <c r="A93" s="3" t="str">
        <f>IF(B93="","",COUNTIF(B$2:B93,"&lt;&gt;"))</f>
        <v/>
      </c>
      <c r="G93" t="str">
        <f t="shared" si="3"/>
        <v/>
      </c>
    </row>
    <row r="94" spans="1:7" x14ac:dyDescent="0.25">
      <c r="A94" s="3" t="str">
        <f>IF(B94="","",COUNTIF(B$2:B94,"&lt;&gt;"))</f>
        <v/>
      </c>
      <c r="G94" t="str">
        <f t="shared" si="3"/>
        <v/>
      </c>
    </row>
    <row r="95" spans="1:7" x14ac:dyDescent="0.25">
      <c r="A95" s="3" t="str">
        <f>IF(B95="","",COUNTIF(B$2:B95,"&lt;&gt;"))</f>
        <v/>
      </c>
      <c r="G95" t="str">
        <f t="shared" si="3"/>
        <v/>
      </c>
    </row>
    <row r="96" spans="1:7" x14ac:dyDescent="0.25">
      <c r="A96" s="3" t="str">
        <f>IF(B96="","",COUNTIF(B$2:B96,"&lt;&gt;"))</f>
        <v/>
      </c>
      <c r="G96" t="str">
        <f t="shared" si="3"/>
        <v/>
      </c>
    </row>
    <row r="97" spans="1:7" x14ac:dyDescent="0.25">
      <c r="A97" s="3" t="str">
        <f>IF(B97="","",COUNTIF(B$2:B97,"&lt;&gt;"))</f>
        <v/>
      </c>
      <c r="G97" t="str">
        <f t="shared" si="3"/>
        <v/>
      </c>
    </row>
    <row r="98" spans="1:7" x14ac:dyDescent="0.25">
      <c r="A98" s="3" t="str">
        <f>IF(B98="","",COUNTIF(B$2:B98,"&lt;&gt;"))</f>
        <v/>
      </c>
      <c r="G98" t="str">
        <f t="shared" ref="G98:G100" si="4">IF(A98="","",IFERROR(
    IF(
        2025-VALUE(TEXT(F98,"YYYY"))-IF(MONTH(F98)*100+DAY(F98)&gt;701,1,0)&lt;6,"Mầm non",
        IF(
            2025-VALUE(TEXT(F98,"YYYY"))-IF(MONTH(F98)*100+DAY(F98)&gt;701,1,0)&gt;17,"Đã tốt nghiệp",
            "Lớp "&amp;(2025-VALUE(TEXT(F98,"YYYY"))-IF(MONTH(F98)*100+DAY(F98)&gt;701,1,0)-5)
        )
    ),"Lỗi định dạng ngày"
))</f>
        <v/>
      </c>
    </row>
    <row r="99" spans="1:7" x14ac:dyDescent="0.25">
      <c r="A99" s="3" t="str">
        <f>IF(B99="","",COUNTIF(B$2:B99,"&lt;&gt;"))</f>
        <v/>
      </c>
      <c r="G99" t="str">
        <f t="shared" si="4"/>
        <v/>
      </c>
    </row>
    <row r="100" spans="1:7" x14ac:dyDescent="0.25">
      <c r="A100" s="3" t="str">
        <f>IF(B100="","",COUNTIF(B$2:B50,"&lt;&gt;"))</f>
        <v/>
      </c>
      <c r="G100" t="str">
        <f t="shared" si="4"/>
        <v/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D419-4A48-48D7-8C4F-2CADFBEAB8F1}">
  <sheetPr>
    <tabColor theme="5" tint="0.39997558519241921"/>
  </sheetPr>
  <dimension ref="A1:U20"/>
  <sheetViews>
    <sheetView workbookViewId="0">
      <selection activeCell="J22" sqref="J22"/>
    </sheetView>
  </sheetViews>
  <sheetFormatPr defaultRowHeight="15" x14ac:dyDescent="0.25"/>
  <cols>
    <col min="1" max="1" width="7.5703125" style="9" bestFit="1" customWidth="1"/>
    <col min="2" max="2" width="12" style="9" bestFit="1" customWidth="1"/>
    <col min="3" max="3" width="12.85546875" style="9" bestFit="1" customWidth="1"/>
    <col min="4" max="4" width="36.42578125" style="9" bestFit="1" customWidth="1"/>
    <col min="5" max="5" width="23.28515625" style="9" bestFit="1" customWidth="1"/>
    <col min="6" max="6" width="11.140625" style="9" bestFit="1" customWidth="1"/>
    <col min="7" max="7" width="9.28515625" style="9" bestFit="1" customWidth="1"/>
    <col min="8" max="8" width="13.28515625" style="9" bestFit="1" customWidth="1"/>
    <col min="9" max="9" width="7.7109375" style="9" bestFit="1" customWidth="1"/>
    <col min="10" max="10" width="39.85546875" style="9" bestFit="1" customWidth="1"/>
    <col min="11" max="11" width="13" style="9" bestFit="1" customWidth="1"/>
    <col min="12" max="12" width="11.5703125" style="9" bestFit="1" customWidth="1"/>
    <col min="13" max="13" width="12.42578125" style="9" bestFit="1" customWidth="1"/>
    <col min="14" max="14" width="9.5703125" style="9" bestFit="1" customWidth="1"/>
    <col min="15" max="15" width="12" style="9" bestFit="1" customWidth="1"/>
    <col min="16" max="16" width="13.7109375" style="9" bestFit="1" customWidth="1"/>
    <col min="17" max="17" width="13" style="9" bestFit="1" customWidth="1"/>
    <col min="18" max="18" width="12.85546875" style="9" bestFit="1" customWidth="1"/>
    <col min="19" max="19" width="14" style="9" bestFit="1" customWidth="1"/>
    <col min="20" max="20" width="22.5703125" style="9" bestFit="1" customWidth="1"/>
    <col min="21" max="16384" width="9.140625" style="9"/>
  </cols>
  <sheetData>
    <row r="1" spans="1:21" x14ac:dyDescent="0.25">
      <c r="A1" s="13" t="s">
        <v>4</v>
      </c>
      <c r="B1" s="13" t="s">
        <v>75</v>
      </c>
      <c r="C1" s="13" t="s">
        <v>232</v>
      </c>
      <c r="D1" s="13" t="s">
        <v>5</v>
      </c>
      <c r="E1" s="13" t="s">
        <v>196</v>
      </c>
      <c r="F1" s="13" t="s">
        <v>127</v>
      </c>
      <c r="G1" s="13" t="s">
        <v>212</v>
      </c>
      <c r="H1" s="13" t="s">
        <v>62</v>
      </c>
      <c r="I1" s="13" t="s">
        <v>208</v>
      </c>
      <c r="J1" s="13" t="s">
        <v>76</v>
      </c>
      <c r="K1" s="13" t="s">
        <v>207</v>
      </c>
      <c r="L1" s="13" t="s">
        <v>199</v>
      </c>
      <c r="M1" s="13" t="s">
        <v>206</v>
      </c>
      <c r="N1" s="13" t="s">
        <v>200</v>
      </c>
      <c r="O1" s="13" t="s">
        <v>201</v>
      </c>
      <c r="P1" s="13" t="s">
        <v>202</v>
      </c>
      <c r="Q1" s="13" t="s">
        <v>203</v>
      </c>
      <c r="R1" s="13" t="s">
        <v>204</v>
      </c>
      <c r="S1" s="13" t="s">
        <v>205</v>
      </c>
      <c r="T1" s="13" t="s">
        <v>1</v>
      </c>
      <c r="U1" s="13" t="s">
        <v>90</v>
      </c>
    </row>
    <row r="2" spans="1:21" x14ac:dyDescent="0.25">
      <c r="A2" s="11">
        <f>IF(XL_TH_TOAN[[#This Row],[Mã lớp]]="","",ROW()-ROW(XL_TH_TOAN[[#Headers],[Mã lớp]]))</f>
        <v>1</v>
      </c>
      <c r="B2" s="9" t="s">
        <v>198</v>
      </c>
      <c r="C2" s="10" t="str">
        <f>IF(XL_TH_TOAN[[#This Row],[Mã lớp]]="","",INDEX(XepLop[[#All],[Tên lớp]],MATCH(XL_TH_TOAN[[#This Row],[Mã lớp]],XepLop[[#All],[Mã lớp]],0)))</f>
        <v>Toán tiểu học</v>
      </c>
      <c r="D2" s="10" t="str">
        <f>IF(XL_TH_TOAN[[#This Row],[Mã lớp]]="","",INDEX(XepLop[[#All],[Mô tả]],MATCH(XL_TH_TOAN[[#This Row],[Mã lớp]],XepLop[[#All],[Mã lớp]],0)))</f>
        <v>Các học sinh không xếp được lịch chung</v>
      </c>
      <c r="E2" s="10" t="str">
        <f>IF(XL_TH_TOAN[[#This Row],[Mã HS]]="","",INDEX(Ds_Nguồn[[#All],[Tên học sinh]],MATCH(XL_TH_TOAN[[#This Row],[Mã HS]],Ds_Nguồn[[#All],[Mã HS]],0)))</f>
        <v>Đỗ Nguyễn Nguyên Khôi</v>
      </c>
      <c r="F2" s="9" t="s">
        <v>138</v>
      </c>
      <c r="G2" s="9" t="str">
        <f>IF(OR(XL_TH_TOAN[[#This Row],[Mã HS]]="",XL_TH_TOAN[[#This Row],[Mã lớp]]=""),"",VLOOKUP(XL_TH_TOAN[[#This Row],[Mã HS]],Ds_Nguồn[[Mã HS]:[Email]],4,0))</f>
        <v>Lớp 4</v>
      </c>
      <c r="H2" s="10" t="str">
        <f>IF(XL_TH_TOAN[[#This Row],[Mã lớp]]="","",INDEX(Sản_phẩm[[#All],[Môn học]],MATCH(LEFT(XL_TH_TOAN[[#This Row],[Mã lớp]],2),Sản_phẩm[[#All],[Kí hiệu]],0)))</f>
        <v>Toán tiểu học</v>
      </c>
      <c r="I2" s="9" t="str">
        <f>IF(XL_TH_TOAN[[#This Row],[Mã lớp]]="","",INDEX(XepLop[[#All],[Ca]],MATCH(B2,XepLop[[#All],[Mã lớp]],0)))</f>
        <v>Tối</v>
      </c>
      <c r="J2" s="10" t="str">
        <f>_xlfn.TEXTJOIN("_",TRUE,INDEX(Data_thamchieu!$AM:$AS,MATCH($B2,Data_thamchieu!$AG:$AG,0),0))</f>
        <v>Thứ Hai_Thứ Tư_Thứ Sáu</v>
      </c>
      <c r="K2" s="9" t="str">
        <f>IF(XL_TH_TOAN[[#This Row],[Mã lớp]]="","",INDEX(XepLop[[#All],[Giờ đến]],MATCH(XL_TH_TOAN[[#This Row],[Mã lớp]],XepLop[[#All],[Mã lớp]],0)))</f>
        <v>19h00</v>
      </c>
      <c r="L2" s="9" t="str">
        <f>IF(XL_TH_TOAN[[#This Row],[Mã lớp]]="","",INDEX(XepLop[[#All],[Giờ về]],MATCH(XL_TH_TOAN[[#This Row],[Mã lớp]],XepLop[[#All],[Mã lớp]],0)))</f>
        <v>20h30</v>
      </c>
      <c r="M2" s="9" t="s">
        <v>31</v>
      </c>
      <c r="O2" s="9" t="s">
        <v>31</v>
      </c>
      <c r="Q2" s="9" t="s">
        <v>21</v>
      </c>
      <c r="T2" s="10" t="str">
        <f>IF(XL_TH_TOAN[[#This Row],[Mã lớp]]="","",INDEX(XepLop[[#All],[Phụ trách]],MATCH(XL_TH_TOAN[[#This Row],[Mã lớp]],XepLop[[#All],[Mã lớp]],0)))</f>
        <v>Nguyễn Quốc Khang</v>
      </c>
    </row>
    <row r="3" spans="1:21" x14ac:dyDescent="0.25">
      <c r="A3" s="11">
        <f>IF(XL_TH_TOAN[[#This Row],[Mã lớp]]="","",ROW()-ROW(XL_TH_TOAN[[#Headers],[Mã lớp]]))</f>
        <v>2</v>
      </c>
      <c r="B3" s="9" t="s">
        <v>213</v>
      </c>
      <c r="C3" s="10" t="str">
        <f>IF(XL_TH_TOAN[[#This Row],[Mã lớp]]="","",INDEX(XepLop[[#All],[Tên lớp]],MATCH(XL_TH_TOAN[[#This Row],[Mã lớp]],XepLop[[#All],[Mã lớp]],0)))</f>
        <v>Toán tiểu học</v>
      </c>
      <c r="D3" s="10" t="str">
        <f>IF(XL_TH_TOAN[[#This Row],[Mã lớp]]="","",INDEX(XepLop[[#All],[Mô tả]],MATCH(XL_TH_TOAN[[#This Row],[Mã lớp]],XepLop[[#All],[Mã lớp]],0)))</f>
        <v>Lịch chuẩn khối 5</v>
      </c>
      <c r="E3" s="10" t="str">
        <f>IF(XL_TH_TOAN[[#This Row],[Mã HS]]="","",INDEX(Ds_Nguồn[[#All],[Tên học sinh]],MATCH(XL_TH_TOAN[[#This Row],[Mã HS]],Ds_Nguồn[[#All],[Mã HS]],0)))</f>
        <v>Nguyễn Cao Quỳnh Chi</v>
      </c>
      <c r="F3" s="9" t="s">
        <v>139</v>
      </c>
      <c r="G3" s="9" t="str">
        <f>IF(OR(XL_TH_TOAN[[#This Row],[Mã HS]]="",XL_TH_TOAN[[#This Row],[Mã lớp]]=""),"",VLOOKUP(XL_TH_TOAN[[#This Row],[Mã HS]],Ds_Nguồn[[Mã HS]:[Email]],4,0))</f>
        <v>Lớp 5</v>
      </c>
      <c r="H3" s="10" t="str">
        <f>IF(XL_TH_TOAN[[#This Row],[Mã lớp]]="","",INDEX(Sản_phẩm[[#All],[Môn học]],MATCH(LEFT(XL_TH_TOAN[[#This Row],[Mã lớp]],2),Sản_phẩm[[#All],[Kí hiệu]],0)))</f>
        <v>Toán tiểu học</v>
      </c>
      <c r="I3" s="9" t="str">
        <f>IF(XL_TH_TOAN[[#This Row],[Mã lớp]]="","",INDEX(XepLop[[#All],[Ca]],MATCH(B3,XepLop[[#All],[Mã lớp]],0)))</f>
        <v>Tối</v>
      </c>
      <c r="J3" s="10" t="str">
        <f>_xlfn.TEXTJOIN("_",TRUE,INDEX(Data_thamchieu!$AM:$AS,MATCH($B3,Data_thamchieu!$AG:$AG,0),0))</f>
        <v>Thứ Ba_Thứ Năm_Thứ Sáu</v>
      </c>
      <c r="K3" s="9" t="str">
        <f>IF(XL_TH_TOAN[[#This Row],[Mã lớp]]="","",INDEX(XepLop[[#All],[Giờ đến]],MATCH(XL_TH_TOAN[[#This Row],[Mã lớp]],XepLop[[#All],[Mã lớp]],0)))</f>
        <v>19h00</v>
      </c>
      <c r="L3" s="9" t="str">
        <f>IF(XL_TH_TOAN[[#This Row],[Mã lớp]]="","",INDEX(XepLop[[#All],[Giờ về]],MATCH(XL_TH_TOAN[[#This Row],[Mã lớp]],XepLop[[#All],[Mã lớp]],0)))</f>
        <v>20h30</v>
      </c>
      <c r="N3" s="9" t="s">
        <v>12</v>
      </c>
      <c r="P3" s="9" t="s">
        <v>12</v>
      </c>
      <c r="Q3" s="9" t="s">
        <v>12</v>
      </c>
      <c r="T3" s="10" t="str">
        <f>IF(XL_TH_TOAN[[#This Row],[Mã lớp]]="","",INDEX(XepLop[[#All],[Phụ trách]],MATCH(XL_TH_TOAN[[#This Row],[Mã lớp]],XepLop[[#All],[Mã lớp]],0)))</f>
        <v>Trương Thái Hoàng Long</v>
      </c>
    </row>
    <row r="4" spans="1:21" x14ac:dyDescent="0.25">
      <c r="A4" s="11">
        <f>IF(XL_TH_TOAN[[#This Row],[Mã lớp]]="","",ROW()-ROW(XL_TH_TOAN[[#Headers],[Mã lớp]]))</f>
        <v>3</v>
      </c>
      <c r="B4" s="9" t="s">
        <v>213</v>
      </c>
      <c r="C4" s="10" t="str">
        <f>IF(XL_TH_TOAN[[#This Row],[Mã lớp]]="","",INDEX(XepLop[[#All],[Tên lớp]],MATCH(XL_TH_TOAN[[#This Row],[Mã lớp]],XepLop[[#All],[Mã lớp]],0)))</f>
        <v>Toán tiểu học</v>
      </c>
      <c r="D4" s="10" t="str">
        <f>IF(XL_TH_TOAN[[#This Row],[Mã lớp]]="","",INDEX(XepLop[[#All],[Mô tả]],MATCH(XL_TH_TOAN[[#This Row],[Mã lớp]],XepLop[[#All],[Mã lớp]],0)))</f>
        <v>Lịch chuẩn khối 5</v>
      </c>
      <c r="E4" s="10" t="str">
        <f>IF(XL_TH_TOAN[[#This Row],[Mã HS]]="","",INDEX(Ds_Nguồn[[#All],[Tên học sinh]],MATCH(XL_TH_TOAN[[#This Row],[Mã HS]],Ds_Nguồn[[#All],[Mã HS]],0)))</f>
        <v>Phạm Dĩ Đắc Kiếm</v>
      </c>
      <c r="F4" s="9" t="s">
        <v>141</v>
      </c>
      <c r="G4" s="9" t="str">
        <f>IF(OR(XL_TH_TOAN[[#This Row],[Mã HS]]="",XL_TH_TOAN[[#This Row],[Mã lớp]]=""),"",VLOOKUP(XL_TH_TOAN[[#This Row],[Mã HS]],Ds_Nguồn[[Mã HS]:[Email]],4,0))</f>
        <v>Lớp 4</v>
      </c>
      <c r="H4" s="10" t="str">
        <f>IF(XL_TH_TOAN[[#This Row],[Mã lớp]]="","",INDEX(Sản_phẩm[[#All],[Môn học]],MATCH(LEFT(XL_TH_TOAN[[#This Row],[Mã lớp]],2),Sản_phẩm[[#All],[Kí hiệu]],0)))</f>
        <v>Toán tiểu học</v>
      </c>
      <c r="I4" s="9" t="str">
        <f>IF(XL_TH_TOAN[[#This Row],[Mã lớp]]="","",INDEX(XepLop[[#All],[Ca]],MATCH(B4,XepLop[[#All],[Mã lớp]],0)))</f>
        <v>Tối</v>
      </c>
      <c r="J4" s="10" t="str">
        <f>_xlfn.TEXTJOIN("_",TRUE,INDEX(Data_thamchieu!$AM:$AS,MATCH($B4,Data_thamchieu!$AG:$AG,0),0))</f>
        <v>Thứ Ba_Thứ Năm_Thứ Sáu</v>
      </c>
      <c r="K4" s="9" t="str">
        <f>IF(XL_TH_TOAN[[#This Row],[Mã lớp]]="","",INDEX(XepLop[[#All],[Giờ đến]],MATCH(XL_TH_TOAN[[#This Row],[Mã lớp]],XepLop[[#All],[Mã lớp]],0)))</f>
        <v>19h00</v>
      </c>
      <c r="L4" s="9" t="str">
        <f>IF(XL_TH_TOAN[[#This Row],[Mã lớp]]="","",INDEX(XepLop[[#All],[Giờ về]],MATCH(XL_TH_TOAN[[#This Row],[Mã lớp]],XepLop[[#All],[Mã lớp]],0)))</f>
        <v>20h30</v>
      </c>
      <c r="N4" s="9" t="s">
        <v>12</v>
      </c>
      <c r="P4" s="9" t="s">
        <v>12</v>
      </c>
      <c r="Q4" s="9" t="s">
        <v>12</v>
      </c>
      <c r="T4" s="10" t="str">
        <f>IF(XL_TH_TOAN[[#This Row],[Mã lớp]]="","",INDEX(XepLop[[#All],[Phụ trách]],MATCH(XL_TH_TOAN[[#This Row],[Mã lớp]],XepLop[[#All],[Mã lớp]],0)))</f>
        <v>Trương Thái Hoàng Long</v>
      </c>
    </row>
    <row r="5" spans="1:21" customFormat="1" x14ac:dyDescent="0.25">
      <c r="A5" s="11">
        <f>IF(XL_TH_TOAN[[#This Row],[Mã lớp]]="","",ROW()-ROW(XL_TH_TOAN[[#Headers],[Mã lớp]]))</f>
        <v>4</v>
      </c>
      <c r="B5" s="8" t="s">
        <v>215</v>
      </c>
      <c r="C5" s="12" t="str">
        <f>IF(XL_TH_TOAN[[#This Row],[Mã lớp]]="","",INDEX(XepLop[[#All],[Tên lớp]],MATCH(XL_TH_TOAN[[#This Row],[Mã lớp]],XepLop[[#All],[Mã lớp]],0)))</f>
        <v>Toán tiểu học</v>
      </c>
      <c r="D5" s="12" t="str">
        <f>IF(XL_TH_TOAN[[#This Row],[Mã lớp]]="","",INDEX(XepLop[[#All],[Mô tả]],MATCH(XL_TH_TOAN[[#This Row],[Mã lớp]],XepLop[[#All],[Mã lớp]],0)))</f>
        <v>Lịch chuẩn khối 0;1;2;3;4</v>
      </c>
      <c r="E5" s="10" t="str">
        <f>IF(XL_TH_TOAN[[#This Row],[Mã HS]]="","",INDEX(Ds_Nguồn[[#All],[Tên học sinh]],MATCH(XL_TH_TOAN[[#This Row],[Mã HS]],Ds_Nguồn[[#All],[Mã HS]],0)))</f>
        <v>Trần Huỳnh Trung Nhân</v>
      </c>
      <c r="F5" s="8" t="s">
        <v>142</v>
      </c>
      <c r="G5" s="8" t="str">
        <f>IF(OR(XL_TH_TOAN[[#This Row],[Mã HS]]="",XL_TH_TOAN[[#This Row],[Mã lớp]]=""),"",VLOOKUP(XL_TH_TOAN[[#This Row],[Mã HS]],Ds_Nguồn[[Mã HS]:[Email]],4,0))</f>
        <v>Lớp 4</v>
      </c>
      <c r="H5" s="12" t="str">
        <f>IF(XL_TH_TOAN[[#This Row],[Mã lớp]]="","",INDEX(Sản_phẩm[[#All],[Môn học]],MATCH(LEFT(XL_TH_TOAN[[#This Row],[Mã lớp]],2),Sản_phẩm[[#All],[Kí hiệu]],0)))</f>
        <v>Toán tiểu học</v>
      </c>
      <c r="I5" s="8" t="str">
        <f>IF(XL_TH_TOAN[[#This Row],[Mã lớp]]="","",INDEX(XepLop[[#All],[Ca]],MATCH(B5,XepLop[[#All],[Mã lớp]],0)))</f>
        <v>Tối</v>
      </c>
      <c r="J5" s="12" t="str">
        <f>_xlfn.TEXTJOIN("_",TRUE,INDEX(Data_thamchieu!$AM:$AS,MATCH($B5,Data_thamchieu!$AG:$AG,0),0))</f>
        <v>Thứ Ba_Thứ Năm_Thứ Sáu</v>
      </c>
      <c r="K5" s="8" t="str">
        <f>IF(XL_TH_TOAN[[#This Row],[Mã lớp]]="","",INDEX(XepLop[[#All],[Giờ đến]],MATCH(XL_TH_TOAN[[#This Row],[Mã lớp]],XepLop[[#All],[Mã lớp]],0)))</f>
        <v>19h00</v>
      </c>
      <c r="L5" s="8" t="str">
        <f>IF(XL_TH_TOAN[[#This Row],[Mã lớp]]="","",INDEX(XepLop[[#All],[Giờ về]],MATCH(XL_TH_TOAN[[#This Row],[Mã lớp]],XepLop[[#All],[Mã lớp]],0)))</f>
        <v>20h30</v>
      </c>
      <c r="M5" s="9"/>
      <c r="N5" s="9" t="s">
        <v>21</v>
      </c>
      <c r="O5" s="9"/>
      <c r="P5" s="9" t="s">
        <v>21</v>
      </c>
      <c r="Q5" s="9" t="s">
        <v>21</v>
      </c>
      <c r="R5" s="9"/>
      <c r="S5" s="9"/>
      <c r="T5" s="12" t="str">
        <f>IF(XL_TH_TOAN[[#This Row],[Mã lớp]]="","",INDEX(XepLop[[#All],[Phụ trách]],MATCH(XL_TH_TOAN[[#This Row],[Mã lớp]],XepLop[[#All],[Mã lớp]],0)))</f>
        <v>Hồng Trúc Vi</v>
      </c>
      <c r="U5" s="9"/>
    </row>
    <row r="6" spans="1:21" customFormat="1" x14ac:dyDescent="0.25">
      <c r="A6" s="11">
        <f>IF(XL_TH_TOAN[[#This Row],[Mã lớp]]="","",ROW()-ROW(XL_TH_TOAN[[#Headers],[Mã lớp]]))</f>
        <v>5</v>
      </c>
      <c r="B6" s="8" t="s">
        <v>198</v>
      </c>
      <c r="C6" s="12" t="str">
        <f>IF(XL_TH_TOAN[[#This Row],[Mã lớp]]="","",INDEX(XepLop[[#All],[Tên lớp]],MATCH(XL_TH_TOAN[[#This Row],[Mã lớp]],XepLop[[#All],[Mã lớp]],0)))</f>
        <v>Toán tiểu học</v>
      </c>
      <c r="D6" s="12" t="str">
        <f>IF(XL_TH_TOAN[[#This Row],[Mã lớp]]="","",INDEX(XepLop[[#All],[Mô tả]],MATCH(XL_TH_TOAN[[#This Row],[Mã lớp]],XepLop[[#All],[Mã lớp]],0)))</f>
        <v>Các học sinh không xếp được lịch chung</v>
      </c>
      <c r="E6" s="10" t="str">
        <f>IF(XL_TH_TOAN[[#This Row],[Mã HS]]="","",INDEX(Ds_Nguồn[[#All],[Tên học sinh]],MATCH(XL_TH_TOAN[[#This Row],[Mã HS]],Ds_Nguồn[[#All],[Mã HS]],0)))</f>
        <v>Trần Minh Thùy</v>
      </c>
      <c r="F6" s="8" t="s">
        <v>144</v>
      </c>
      <c r="G6" s="8" t="str">
        <f>IF(OR(XL_TH_TOAN[[#This Row],[Mã HS]]="",XL_TH_TOAN[[#This Row],[Mã lớp]]=""),"",VLOOKUP(XL_TH_TOAN[[#This Row],[Mã HS]],Ds_Nguồn[[Mã HS]:[Email]],4,0))</f>
        <v>Lớp 1</v>
      </c>
      <c r="H6" s="12" t="str">
        <f>IF(XL_TH_TOAN[[#This Row],[Mã lớp]]="","",INDEX(Sản_phẩm[[#All],[Môn học]],MATCH(LEFT(XL_TH_TOAN[[#This Row],[Mã lớp]],2),Sản_phẩm[[#All],[Kí hiệu]],0)))</f>
        <v>Toán tiểu học</v>
      </c>
      <c r="I6" s="8" t="str">
        <f>IF(XL_TH_TOAN[[#This Row],[Mã lớp]]="","",INDEX(XepLop[[#All],[Ca]],MATCH(B6,XepLop[[#All],[Mã lớp]],0)))</f>
        <v>Tối</v>
      </c>
      <c r="J6" s="12" t="str">
        <f>_xlfn.TEXTJOIN("_",TRUE,INDEX(Data_thamchieu!$AM:$AS,MATCH($B6,Data_thamchieu!$AG:$AG,0),0))</f>
        <v>Thứ Hai_Thứ Tư_Thứ Sáu</v>
      </c>
      <c r="K6" s="8" t="str">
        <f>IF(XL_TH_TOAN[[#This Row],[Mã lớp]]="","",INDEX(XepLop[[#All],[Giờ đến]],MATCH(XL_TH_TOAN[[#This Row],[Mã lớp]],XepLop[[#All],[Mã lớp]],0)))</f>
        <v>19h00</v>
      </c>
      <c r="L6" s="8" t="str">
        <f>IF(XL_TH_TOAN[[#This Row],[Mã lớp]]="","",INDEX(XepLop[[#All],[Giờ về]],MATCH(XL_TH_TOAN[[#This Row],[Mã lớp]],XepLop[[#All],[Mã lớp]],0)))</f>
        <v>20h30</v>
      </c>
      <c r="M6" s="9" t="s">
        <v>31</v>
      </c>
      <c r="N6" s="9"/>
      <c r="O6" s="9" t="s">
        <v>31</v>
      </c>
      <c r="P6" s="9"/>
      <c r="Q6" s="9" t="s">
        <v>21</v>
      </c>
      <c r="R6" s="9"/>
      <c r="S6" s="9"/>
      <c r="T6" s="12" t="str">
        <f>IF(XL_TH_TOAN[[#This Row],[Mã lớp]]="","",INDEX(XepLop[[#All],[Phụ trách]],MATCH(XL_TH_TOAN[[#This Row],[Mã lớp]],XepLop[[#All],[Mã lớp]],0)))</f>
        <v>Nguyễn Quốc Khang</v>
      </c>
      <c r="U6" s="9"/>
    </row>
    <row r="7" spans="1:21" x14ac:dyDescent="0.25">
      <c r="A7" s="11">
        <f>IF(XL_TH_TOAN[[#This Row],[Mã lớp]]="","",ROW()-ROW(XL_TH_TOAN[[#Headers],[Mã lớp]]))</f>
        <v>6</v>
      </c>
      <c r="B7" s="9" t="s">
        <v>213</v>
      </c>
      <c r="C7" s="10" t="str">
        <f>IF(XL_TH_TOAN[[#This Row],[Mã lớp]]="","",INDEX(XepLop[[#All],[Tên lớp]],MATCH(XL_TH_TOAN[[#This Row],[Mã lớp]],XepLop[[#All],[Mã lớp]],0)))</f>
        <v>Toán tiểu học</v>
      </c>
      <c r="D7" s="10" t="str">
        <f>IF(XL_TH_TOAN[[#This Row],[Mã lớp]]="","",INDEX(XepLop[[#All],[Mô tả]],MATCH(XL_TH_TOAN[[#This Row],[Mã lớp]],XepLop[[#All],[Mã lớp]],0)))</f>
        <v>Lịch chuẩn khối 5</v>
      </c>
      <c r="E7" s="10" t="str">
        <f>IF(XL_TH_TOAN[[#This Row],[Mã HS]]="","",INDEX(Ds_Nguồn[[#All],[Tên học sinh]],MATCH(XL_TH_TOAN[[#This Row],[Mã HS]],Ds_Nguồn[[#All],[Mã HS]],0)))</f>
        <v>Phạm Lê Hoàng Dương</v>
      </c>
      <c r="F7" s="9" t="s">
        <v>146</v>
      </c>
      <c r="G7" s="9" t="str">
        <f>IF(OR(XL_TH_TOAN[[#This Row],[Mã HS]]="",XL_TH_TOAN[[#This Row],[Mã lớp]]=""),"",VLOOKUP(XL_TH_TOAN[[#This Row],[Mã HS]],Ds_Nguồn[[Mã HS]:[Email]],4,0))</f>
        <v>Lớp 4</v>
      </c>
      <c r="H7" s="10" t="str">
        <f>IF(XL_TH_TOAN[[#This Row],[Mã lớp]]="","",INDEX(Sản_phẩm[[#All],[Môn học]],MATCH(LEFT(XL_TH_TOAN[[#This Row],[Mã lớp]],2),Sản_phẩm[[#All],[Kí hiệu]],0)))</f>
        <v>Toán tiểu học</v>
      </c>
      <c r="I7" s="9" t="str">
        <f>IF(XL_TH_TOAN[[#This Row],[Mã lớp]]="","",INDEX(XepLop[[#All],[Ca]],MATCH(B7,XepLop[[#All],[Mã lớp]],0)))</f>
        <v>Tối</v>
      </c>
      <c r="J7" s="10" t="str">
        <f>_xlfn.TEXTJOIN("_",TRUE,INDEX(Data_thamchieu!$AM:$AS,MATCH($B7,Data_thamchieu!$AG:$AG,0),0))</f>
        <v>Thứ Ba_Thứ Năm_Thứ Sáu</v>
      </c>
      <c r="K7" s="9" t="str">
        <f>IF(XL_TH_TOAN[[#This Row],[Mã lớp]]="","",INDEX(XepLop[[#All],[Giờ đến]],MATCH(XL_TH_TOAN[[#This Row],[Mã lớp]],XepLop[[#All],[Mã lớp]],0)))</f>
        <v>19h00</v>
      </c>
      <c r="L7" s="9" t="str">
        <f>IF(XL_TH_TOAN[[#This Row],[Mã lớp]]="","",INDEX(XepLop[[#All],[Giờ về]],MATCH(XL_TH_TOAN[[#This Row],[Mã lớp]],XepLop[[#All],[Mã lớp]],0)))</f>
        <v>20h30</v>
      </c>
      <c r="N7" s="9" t="s">
        <v>12</v>
      </c>
      <c r="P7" s="9" t="s">
        <v>12</v>
      </c>
      <c r="Q7" s="9" t="s">
        <v>12</v>
      </c>
      <c r="T7" s="10" t="str">
        <f>IF(XL_TH_TOAN[[#This Row],[Mã lớp]]="","",INDEX(XepLop[[#All],[Phụ trách]],MATCH(XL_TH_TOAN[[#This Row],[Mã lớp]],XepLop[[#All],[Mã lớp]],0)))</f>
        <v>Trương Thái Hoàng Long</v>
      </c>
    </row>
    <row r="8" spans="1:21" customFormat="1" x14ac:dyDescent="0.25">
      <c r="A8" s="11">
        <f>IF(XL_TH_TOAN[[#This Row],[Mã lớp]]="","",ROW()-ROW(XL_TH_TOAN[[#Headers],[Mã lớp]]))</f>
        <v>7</v>
      </c>
      <c r="B8" s="8" t="s">
        <v>215</v>
      </c>
      <c r="C8" s="12" t="str">
        <f>IF(XL_TH_TOAN[[#This Row],[Mã lớp]]="","",INDEX(XepLop[[#All],[Tên lớp]],MATCH(XL_TH_TOAN[[#This Row],[Mã lớp]],XepLop[[#All],[Mã lớp]],0)))</f>
        <v>Toán tiểu học</v>
      </c>
      <c r="D8" s="12" t="str">
        <f>IF(XL_TH_TOAN[[#This Row],[Mã lớp]]="","",INDEX(XepLop[[#All],[Mô tả]],MATCH(XL_TH_TOAN[[#This Row],[Mã lớp]],XepLop[[#All],[Mã lớp]],0)))</f>
        <v>Lịch chuẩn khối 0;1;2;3;4</v>
      </c>
      <c r="E8" s="10" t="str">
        <f>IF(XL_TH_TOAN[[#This Row],[Mã HS]]="","",INDEX(Ds_Nguồn[[#All],[Tên học sinh]],MATCH(XL_TH_TOAN[[#This Row],[Mã HS]],Ds_Nguồn[[#All],[Mã HS]],0)))</f>
        <v>Huỳnh Lê Anh Thư</v>
      </c>
      <c r="F8" s="8" t="s">
        <v>147</v>
      </c>
      <c r="G8" s="8" t="str">
        <f>IF(OR(XL_TH_TOAN[[#This Row],[Mã HS]]="",XL_TH_TOAN[[#This Row],[Mã lớp]]=""),"",VLOOKUP(XL_TH_TOAN[[#This Row],[Mã HS]],Ds_Nguồn[[Mã HS]:[Email]],4,0))</f>
        <v>Lớp 4</v>
      </c>
      <c r="H8" s="12" t="str">
        <f>IF(XL_TH_TOAN[[#This Row],[Mã lớp]]="","",INDEX(Sản_phẩm[[#All],[Môn học]],MATCH(LEFT(XL_TH_TOAN[[#This Row],[Mã lớp]],2),Sản_phẩm[[#All],[Kí hiệu]],0)))</f>
        <v>Toán tiểu học</v>
      </c>
      <c r="I8" s="8" t="str">
        <f>IF(XL_TH_TOAN[[#This Row],[Mã lớp]]="","",INDEX(XepLop[[#All],[Ca]],MATCH(B8,XepLop[[#All],[Mã lớp]],0)))</f>
        <v>Tối</v>
      </c>
      <c r="J8" s="12" t="str">
        <f>_xlfn.TEXTJOIN("_",TRUE,INDEX(Data_thamchieu!$AM:$AS,MATCH($B8,Data_thamchieu!$AG:$AG,0),0))</f>
        <v>Thứ Ba_Thứ Năm_Thứ Sáu</v>
      </c>
      <c r="K8" s="8" t="str">
        <f>IF(XL_TH_TOAN[[#This Row],[Mã lớp]]="","",INDEX(XepLop[[#All],[Giờ đến]],MATCH(XL_TH_TOAN[[#This Row],[Mã lớp]],XepLop[[#All],[Mã lớp]],0)))</f>
        <v>19h00</v>
      </c>
      <c r="L8" s="8" t="str">
        <f>IF(XL_TH_TOAN[[#This Row],[Mã lớp]]="","",INDEX(XepLop[[#All],[Giờ về]],MATCH(XL_TH_TOAN[[#This Row],[Mã lớp]],XepLop[[#All],[Mã lớp]],0)))</f>
        <v>20h30</v>
      </c>
      <c r="M8" s="9"/>
      <c r="N8" s="9" t="s">
        <v>21</v>
      </c>
      <c r="O8" s="9"/>
      <c r="P8" s="9" t="s">
        <v>21</v>
      </c>
      <c r="Q8" s="9" t="s">
        <v>21</v>
      </c>
      <c r="R8" s="9"/>
      <c r="S8" s="9"/>
      <c r="T8" s="12" t="str">
        <f>IF(XL_TH_TOAN[[#This Row],[Mã lớp]]="","",INDEX(XepLop[[#All],[Phụ trách]],MATCH(XL_TH_TOAN[[#This Row],[Mã lớp]],XepLop[[#All],[Mã lớp]],0)))</f>
        <v>Hồng Trúc Vi</v>
      </c>
      <c r="U8" s="9"/>
    </row>
    <row r="9" spans="1:21" x14ac:dyDescent="0.25">
      <c r="A9" s="11">
        <f>IF(XL_TH_TOAN[[#This Row],[Mã lớp]]="","",ROW()-ROW(XL_TH_TOAN[[#Headers],[Mã lớp]]))</f>
        <v>8</v>
      </c>
      <c r="B9" s="9" t="s">
        <v>198</v>
      </c>
      <c r="C9" s="10" t="str">
        <f>IF(XL_TH_TOAN[[#This Row],[Mã lớp]]="","",INDEX(XepLop[[#All],[Tên lớp]],MATCH(XL_TH_TOAN[[#This Row],[Mã lớp]],XepLop[[#All],[Mã lớp]],0)))</f>
        <v>Toán tiểu học</v>
      </c>
      <c r="D9" s="10" t="str">
        <f>IF(XL_TH_TOAN[[#This Row],[Mã lớp]]="","",INDEX(XepLop[[#All],[Mô tả]],MATCH(XL_TH_TOAN[[#This Row],[Mã lớp]],XepLop[[#All],[Mã lớp]],0)))</f>
        <v>Các học sinh không xếp được lịch chung</v>
      </c>
      <c r="E9" s="10" t="str">
        <f>IF(XL_TH_TOAN[[#This Row],[Mã HS]]="","",INDEX(Ds_Nguồn[[#All],[Tên học sinh]],MATCH(XL_TH_TOAN[[#This Row],[Mã HS]],Ds_Nguồn[[#All],[Mã HS]],0)))</f>
        <v>Đinh Việt Thiên Trang</v>
      </c>
      <c r="F9" s="9" t="s">
        <v>150</v>
      </c>
      <c r="G9" s="9" t="str">
        <f>IF(OR(XL_TH_TOAN[[#This Row],[Mã HS]]="",XL_TH_TOAN[[#This Row],[Mã lớp]]=""),"",VLOOKUP(XL_TH_TOAN[[#This Row],[Mã HS]],Ds_Nguồn[[Mã HS]:[Email]],4,0))</f>
        <v>Lớp 5</v>
      </c>
      <c r="H9" s="10" t="str">
        <f>IF(XL_TH_TOAN[[#This Row],[Mã lớp]]="","",INDEX(Sản_phẩm[[#All],[Môn học]],MATCH(LEFT(XL_TH_TOAN[[#This Row],[Mã lớp]],2),Sản_phẩm[[#All],[Kí hiệu]],0)))</f>
        <v>Toán tiểu học</v>
      </c>
      <c r="I9" s="9" t="str">
        <f>IF(XL_TH_TOAN[[#This Row],[Mã lớp]]="","",INDEX(XepLop[[#All],[Ca]],MATCH(B9,XepLop[[#All],[Mã lớp]],0)))</f>
        <v>Tối</v>
      </c>
      <c r="J9" s="10" t="str">
        <f>_xlfn.TEXTJOIN("_",TRUE,INDEX(Data_thamchieu!$AM:$AS,MATCH($B9,Data_thamchieu!$AG:$AG,0),0))</f>
        <v>Thứ Hai_Thứ Tư_Thứ Sáu</v>
      </c>
      <c r="K9" s="9" t="str">
        <f>IF(XL_TH_TOAN[[#This Row],[Mã lớp]]="","",INDEX(XepLop[[#All],[Giờ đến]],MATCH(XL_TH_TOAN[[#This Row],[Mã lớp]],XepLop[[#All],[Mã lớp]],0)))</f>
        <v>19h00</v>
      </c>
      <c r="L9" s="9" t="str">
        <f>IF(XL_TH_TOAN[[#This Row],[Mã lớp]]="","",INDEX(XepLop[[#All],[Giờ về]],MATCH(XL_TH_TOAN[[#This Row],[Mã lớp]],XepLop[[#All],[Mã lớp]],0)))</f>
        <v>20h30</v>
      </c>
      <c r="M9" s="9" t="s">
        <v>31</v>
      </c>
      <c r="O9" s="9" t="s">
        <v>31</v>
      </c>
      <c r="Q9" s="9" t="s">
        <v>12</v>
      </c>
      <c r="T9" s="10" t="str">
        <f>IF(XL_TH_TOAN[[#This Row],[Mã lớp]]="","",INDEX(XepLop[[#All],[Phụ trách]],MATCH(XL_TH_TOAN[[#This Row],[Mã lớp]],XepLop[[#All],[Mã lớp]],0)))</f>
        <v>Nguyễn Quốc Khang</v>
      </c>
    </row>
    <row r="10" spans="1:21" x14ac:dyDescent="0.25">
      <c r="A10" s="11">
        <f>IF(XL_TH_TOAN[[#This Row],[Mã lớp]]="","",ROW()-ROW(XL_TH_TOAN[[#Headers],[Mã lớp]]))</f>
        <v>9</v>
      </c>
      <c r="B10" s="9" t="s">
        <v>213</v>
      </c>
      <c r="C10" s="10" t="str">
        <f>IF(XL_TH_TOAN[[#This Row],[Mã lớp]]="","",INDEX(XepLop[[#All],[Tên lớp]],MATCH(XL_TH_TOAN[[#This Row],[Mã lớp]],XepLop[[#All],[Mã lớp]],0)))</f>
        <v>Toán tiểu học</v>
      </c>
      <c r="D10" s="10" t="str">
        <f>IF(XL_TH_TOAN[[#This Row],[Mã lớp]]="","",INDEX(XepLop[[#All],[Mô tả]],MATCH(XL_TH_TOAN[[#This Row],[Mã lớp]],XepLop[[#All],[Mã lớp]],0)))</f>
        <v>Lịch chuẩn khối 5</v>
      </c>
      <c r="E10" s="10" t="str">
        <f>IF(XL_TH_TOAN[[#This Row],[Mã HS]]="","",INDEX(Ds_Nguồn[[#All],[Tên học sinh]],MATCH(XL_TH_TOAN[[#This Row],[Mã HS]],Ds_Nguồn[[#All],[Mã HS]],0)))</f>
        <v>Nguyễn Mai Xuân Trúc</v>
      </c>
      <c r="F10" s="9" t="s">
        <v>153</v>
      </c>
      <c r="G10" s="9" t="str">
        <f>IF(OR(XL_TH_TOAN[[#This Row],[Mã HS]]="",XL_TH_TOAN[[#This Row],[Mã lớp]]=""),"",VLOOKUP(XL_TH_TOAN[[#This Row],[Mã HS]],Ds_Nguồn[[Mã HS]:[Email]],4,0))</f>
        <v>Lớp 4</v>
      </c>
      <c r="H10" s="10" t="str">
        <f>IF(XL_TH_TOAN[[#This Row],[Mã lớp]]="","",INDEX(Sản_phẩm[[#All],[Môn học]],MATCH(LEFT(XL_TH_TOAN[[#This Row],[Mã lớp]],2),Sản_phẩm[[#All],[Kí hiệu]],0)))</f>
        <v>Toán tiểu học</v>
      </c>
      <c r="I10" s="9" t="str">
        <f>IF(XL_TH_TOAN[[#This Row],[Mã lớp]]="","",INDEX(XepLop[[#All],[Ca]],MATCH(B10,XepLop[[#All],[Mã lớp]],0)))</f>
        <v>Tối</v>
      </c>
      <c r="J10" s="10" t="str">
        <f>_xlfn.TEXTJOIN("_",TRUE,INDEX(Data_thamchieu!$AM:$AS,MATCH($B10,Data_thamchieu!$AG:$AG,0),0))</f>
        <v>Thứ Ba_Thứ Năm_Thứ Sáu</v>
      </c>
      <c r="K10" s="9" t="str">
        <f>IF(XL_TH_TOAN[[#This Row],[Mã lớp]]="","",INDEX(XepLop[[#All],[Giờ đến]],MATCH(XL_TH_TOAN[[#This Row],[Mã lớp]],XepLop[[#All],[Mã lớp]],0)))</f>
        <v>19h00</v>
      </c>
      <c r="L10" s="9" t="str">
        <f>IF(XL_TH_TOAN[[#This Row],[Mã lớp]]="","",INDEX(XepLop[[#All],[Giờ về]],MATCH(XL_TH_TOAN[[#This Row],[Mã lớp]],XepLop[[#All],[Mã lớp]],0)))</f>
        <v>20h30</v>
      </c>
      <c r="N10" s="9" t="s">
        <v>12</v>
      </c>
      <c r="P10" s="9" t="s">
        <v>12</v>
      </c>
      <c r="Q10" s="9" t="s">
        <v>12</v>
      </c>
      <c r="T10" s="10" t="str">
        <f>IF(XL_TH_TOAN[[#This Row],[Mã lớp]]="","",INDEX(XepLop[[#All],[Phụ trách]],MATCH(XL_TH_TOAN[[#This Row],[Mã lớp]],XepLop[[#All],[Mã lớp]],0)))</f>
        <v>Trương Thái Hoàng Long</v>
      </c>
    </row>
    <row r="11" spans="1:21" x14ac:dyDescent="0.25">
      <c r="A11" s="11">
        <f>IF(XL_TH_TOAN[[#This Row],[Mã lớp]]="","",ROW()-ROW(XL_TH_TOAN[[#Headers],[Mã lớp]]))</f>
        <v>10</v>
      </c>
      <c r="B11" s="9" t="s">
        <v>213</v>
      </c>
      <c r="C11" s="10" t="str">
        <f>IF(XL_TH_TOAN[[#This Row],[Mã lớp]]="","",INDEX(XepLop[[#All],[Tên lớp]],MATCH(XL_TH_TOAN[[#This Row],[Mã lớp]],XepLop[[#All],[Mã lớp]],0)))</f>
        <v>Toán tiểu học</v>
      </c>
      <c r="D11" s="10" t="str">
        <f>IF(XL_TH_TOAN[[#This Row],[Mã lớp]]="","",INDEX(XepLop[[#All],[Mô tả]],MATCH(XL_TH_TOAN[[#This Row],[Mã lớp]],XepLop[[#All],[Mã lớp]],0)))</f>
        <v>Lịch chuẩn khối 5</v>
      </c>
      <c r="E11" s="10" t="str">
        <f>IF(XL_TH_TOAN[[#This Row],[Mã HS]]="","",INDEX(Ds_Nguồn[[#All],[Tên học sinh]],MATCH(XL_TH_TOAN[[#This Row],[Mã HS]],Ds_Nguồn[[#All],[Mã HS]],0)))</f>
        <v>Nguyễn Ngọc Phương Vy</v>
      </c>
      <c r="F11" s="9" t="s">
        <v>155</v>
      </c>
      <c r="G11" s="9" t="str">
        <f>IF(OR(XL_TH_TOAN[[#This Row],[Mã HS]]="",XL_TH_TOAN[[#This Row],[Mã lớp]]=""),"",VLOOKUP(XL_TH_TOAN[[#This Row],[Mã HS]],Ds_Nguồn[[Mã HS]:[Email]],4,0))</f>
        <v>Lớp 4</v>
      </c>
      <c r="H11" s="10" t="str">
        <f>IF(XL_TH_TOAN[[#This Row],[Mã lớp]]="","",INDEX(Sản_phẩm[[#All],[Môn học]],MATCH(LEFT(XL_TH_TOAN[[#This Row],[Mã lớp]],2),Sản_phẩm[[#All],[Kí hiệu]],0)))</f>
        <v>Toán tiểu học</v>
      </c>
      <c r="I11" s="9" t="str">
        <f>IF(XL_TH_TOAN[[#This Row],[Mã lớp]]="","",INDEX(XepLop[[#All],[Ca]],MATCH(B11,XepLop[[#All],[Mã lớp]],0)))</f>
        <v>Tối</v>
      </c>
      <c r="J11" s="10" t="str">
        <f>_xlfn.TEXTJOIN("_",TRUE,INDEX(Data_thamchieu!$AM:$AS,MATCH($B11,Data_thamchieu!$AG:$AG,0),0))</f>
        <v>Thứ Ba_Thứ Năm_Thứ Sáu</v>
      </c>
      <c r="K11" s="9" t="str">
        <f>IF(XL_TH_TOAN[[#This Row],[Mã lớp]]="","",INDEX(XepLop[[#All],[Giờ đến]],MATCH(XL_TH_TOAN[[#This Row],[Mã lớp]],XepLop[[#All],[Mã lớp]],0)))</f>
        <v>19h00</v>
      </c>
      <c r="L11" s="9" t="str">
        <f>IF(XL_TH_TOAN[[#This Row],[Mã lớp]]="","",INDEX(XepLop[[#All],[Giờ về]],MATCH(XL_TH_TOAN[[#This Row],[Mã lớp]],XepLop[[#All],[Mã lớp]],0)))</f>
        <v>20h30</v>
      </c>
      <c r="N11" s="9" t="s">
        <v>12</v>
      </c>
      <c r="P11" s="9" t="s">
        <v>12</v>
      </c>
      <c r="Q11" s="9" t="s">
        <v>12</v>
      </c>
      <c r="T11" s="10" t="str">
        <f>IF(XL_TH_TOAN[[#This Row],[Mã lớp]]="","",INDEX(XepLop[[#All],[Phụ trách]],MATCH(XL_TH_TOAN[[#This Row],[Mã lớp]],XepLop[[#All],[Mã lớp]],0)))</f>
        <v>Trương Thái Hoàng Long</v>
      </c>
    </row>
    <row r="12" spans="1:21" x14ac:dyDescent="0.25">
      <c r="A12" s="11">
        <f>IF(XL_TH_TOAN[[#This Row],[Mã lớp]]="","",ROW()-ROW(XL_TH_TOAN[[#Headers],[Mã lớp]]))</f>
        <v>11</v>
      </c>
      <c r="B12" s="9" t="s">
        <v>213</v>
      </c>
      <c r="C12" s="10" t="str">
        <f>IF(XL_TH_TOAN[[#This Row],[Mã lớp]]="","",INDEX(XepLop[[#All],[Tên lớp]],MATCH(XL_TH_TOAN[[#This Row],[Mã lớp]],XepLop[[#All],[Mã lớp]],0)))</f>
        <v>Toán tiểu học</v>
      </c>
      <c r="D12" s="10" t="str">
        <f>IF(XL_TH_TOAN[[#This Row],[Mã lớp]]="","",INDEX(XepLop[[#All],[Mô tả]],MATCH(XL_TH_TOAN[[#This Row],[Mã lớp]],XepLop[[#All],[Mã lớp]],0)))</f>
        <v>Lịch chuẩn khối 5</v>
      </c>
      <c r="E12" s="10" t="str">
        <f>IF(XL_TH_TOAN[[#This Row],[Mã HS]]="","",INDEX(Ds_Nguồn[[#All],[Tên học sinh]],MATCH(XL_TH_TOAN[[#This Row],[Mã HS]],Ds_Nguồn[[#All],[Mã HS]],0)))</f>
        <v>Huỳnh Minh Khoa</v>
      </c>
      <c r="F12" s="9" t="s">
        <v>162</v>
      </c>
      <c r="G12" s="9" t="str">
        <f>IF(OR(XL_TH_TOAN[[#This Row],[Mã HS]]="",XL_TH_TOAN[[#This Row],[Mã lớp]]=""),"",VLOOKUP(XL_TH_TOAN[[#This Row],[Mã HS]],Ds_Nguồn[[Mã HS]:[Email]],4,0))</f>
        <v>Lớp 5</v>
      </c>
      <c r="H12" s="10" t="str">
        <f>IF(XL_TH_TOAN[[#This Row],[Mã lớp]]="","",INDEX(Sản_phẩm[[#All],[Môn học]],MATCH(LEFT(XL_TH_TOAN[[#This Row],[Mã lớp]],2),Sản_phẩm[[#All],[Kí hiệu]],0)))</f>
        <v>Toán tiểu học</v>
      </c>
      <c r="I12" s="9" t="str">
        <f>IF(XL_TH_TOAN[[#This Row],[Mã lớp]]="","",INDEX(XepLop[[#All],[Ca]],MATCH(B12,XepLop[[#All],[Mã lớp]],0)))</f>
        <v>Tối</v>
      </c>
      <c r="J12" s="10" t="str">
        <f>_xlfn.TEXTJOIN("_",TRUE,INDEX(Data_thamchieu!$AM:$AS,MATCH($B12,Data_thamchieu!$AG:$AG,0),0))</f>
        <v>Thứ Ba_Thứ Năm_Thứ Sáu</v>
      </c>
      <c r="K12" s="9" t="str">
        <f>IF(XL_TH_TOAN[[#This Row],[Mã lớp]]="","",INDEX(XepLop[[#All],[Giờ đến]],MATCH(XL_TH_TOAN[[#This Row],[Mã lớp]],XepLop[[#All],[Mã lớp]],0)))</f>
        <v>19h00</v>
      </c>
      <c r="L12" s="9" t="str">
        <f>IF(XL_TH_TOAN[[#This Row],[Mã lớp]]="","",INDEX(XepLop[[#All],[Giờ về]],MATCH(XL_TH_TOAN[[#This Row],[Mã lớp]],XepLop[[#All],[Mã lớp]],0)))</f>
        <v>20h30</v>
      </c>
      <c r="N12" s="9" t="s">
        <v>12</v>
      </c>
      <c r="P12" s="9" t="s">
        <v>12</v>
      </c>
      <c r="Q12" s="9" t="s">
        <v>12</v>
      </c>
      <c r="T12" s="10" t="str">
        <f>IF(XL_TH_TOAN[[#This Row],[Mã lớp]]="","",INDEX(XepLop[[#All],[Phụ trách]],MATCH(XL_TH_TOAN[[#This Row],[Mã lớp]],XepLop[[#All],[Mã lớp]],0)))</f>
        <v>Trương Thái Hoàng Long</v>
      </c>
    </row>
    <row r="13" spans="1:21" customFormat="1" x14ac:dyDescent="0.25">
      <c r="A13" s="11">
        <f>IF(XL_TH_TOAN[[#This Row],[Mã lớp]]="","",ROW()-ROW(XL_TH_TOAN[[#Headers],[Mã lớp]]))</f>
        <v>12</v>
      </c>
      <c r="B13" s="8" t="s">
        <v>217</v>
      </c>
      <c r="C13" s="12" t="str">
        <f>IF(XL_TH_TOAN[[#This Row],[Mã lớp]]="","",INDEX(XepLop[[#All],[Tên lớp]],MATCH(XL_TH_TOAN[[#This Row],[Mã lớp]],XepLop[[#All],[Mã lớp]],0)))</f>
        <v>Toán tiểu học</v>
      </c>
      <c r="D13" s="12" t="str">
        <f>IF(XL_TH_TOAN[[#This Row],[Mã lớp]]="","",INDEX(XepLop[[#All],[Mô tả]],MATCH(XL_TH_TOAN[[#This Row],[Mã lớp]],XepLop[[#All],[Mã lớp]],0)))</f>
        <v>Các học sinh không xếp được lịch chung</v>
      </c>
      <c r="E13" s="10" t="str">
        <f>IF(XL_TH_TOAN[[#This Row],[Mã HS]]="","",INDEX(Ds_Nguồn[[#All],[Tên học sinh]],MATCH(XL_TH_TOAN[[#This Row],[Mã HS]],Ds_Nguồn[[#All],[Mã HS]],0)))</f>
        <v>Nguyễn Song Huy</v>
      </c>
      <c r="F13" s="8" t="s">
        <v>164</v>
      </c>
      <c r="G13" s="8" t="str">
        <f>IF(OR(XL_TH_TOAN[[#This Row],[Mã HS]]="",XL_TH_TOAN[[#This Row],[Mã lớp]]=""),"",VLOOKUP(XL_TH_TOAN[[#This Row],[Mã HS]],Ds_Nguồn[[Mã HS]:[Email]],4,0))</f>
        <v>Lớp 1</v>
      </c>
      <c r="H13" s="12" t="str">
        <f>IF(XL_TH_TOAN[[#This Row],[Mã lớp]]="","",INDEX(Sản_phẩm[[#All],[Môn học]],MATCH(LEFT(XL_TH_TOAN[[#This Row],[Mã lớp]],2),Sản_phẩm[[#All],[Kí hiệu]],0)))</f>
        <v>Toán tiểu học</v>
      </c>
      <c r="I13" s="8" t="str">
        <f>IF(XL_TH_TOAN[[#This Row],[Mã lớp]]="","",INDEX(XepLop[[#All],[Ca]],MATCH(B13,XepLop[[#All],[Mã lớp]],0)))</f>
        <v>Tối</v>
      </c>
      <c r="J13" s="12" t="str">
        <f>_xlfn.TEXTJOIN("_",TRUE,INDEX(Data_thamchieu!$AM:$AS,MATCH($B13,Data_thamchieu!$AG:$AG,0),0))</f>
        <v>Thứ Sáu_Thứ Bảy_Chủ Nhật</v>
      </c>
      <c r="K13" s="8" t="str">
        <f>IF(XL_TH_TOAN[[#This Row],[Mã lớp]]="","",INDEX(XepLop[[#All],[Giờ đến]],MATCH(XL_TH_TOAN[[#This Row],[Mã lớp]],XepLop[[#All],[Mã lớp]],0)))</f>
        <v>19h00</v>
      </c>
      <c r="L13" s="8" t="str">
        <f>IF(XL_TH_TOAN[[#This Row],[Mã lớp]]="","",INDEX(XepLop[[#All],[Giờ về]],MATCH(XL_TH_TOAN[[#This Row],[Mã lớp]],XepLop[[#All],[Mã lớp]],0)))</f>
        <v>20h30</v>
      </c>
      <c r="M13" s="9"/>
      <c r="N13" s="9"/>
      <c r="O13" s="9"/>
      <c r="P13" s="9"/>
      <c r="Q13" s="9" t="s">
        <v>21</v>
      </c>
      <c r="R13" s="9" t="s">
        <v>17</v>
      </c>
      <c r="S13" s="9" t="s">
        <v>17</v>
      </c>
      <c r="T13" s="12" t="str">
        <f>IF(XL_TH_TOAN[[#This Row],[Mã lớp]]="","",INDEX(XepLop[[#All],[Phụ trách]],MATCH(XL_TH_TOAN[[#This Row],[Mã lớp]],XepLop[[#All],[Mã lớp]],0)))</f>
        <v>Đặng Công Danh</v>
      </c>
      <c r="U13" s="9"/>
    </row>
    <row r="14" spans="1:21" customFormat="1" x14ac:dyDescent="0.25">
      <c r="A14" s="11">
        <f>IF(XL_TH_TOAN[[#This Row],[Mã lớp]]="","",ROW()-ROW(XL_TH_TOAN[[#Headers],[Mã lớp]]))</f>
        <v>13</v>
      </c>
      <c r="B14" s="8" t="s">
        <v>218</v>
      </c>
      <c r="C14" s="12" t="str">
        <f>IF(XL_TH_TOAN[[#This Row],[Mã lớp]]="","",INDEX(XepLop[[#All],[Tên lớp]],MATCH(XL_TH_TOAN[[#This Row],[Mã lớp]],XepLop[[#All],[Mã lớp]],0)))</f>
        <v>Toán tiểu học</v>
      </c>
      <c r="D14" s="12" t="str">
        <f>IF(XL_TH_TOAN[[#This Row],[Mã lớp]]="","",INDEX(XepLop[[#All],[Mô tả]],MATCH(XL_TH_TOAN[[#This Row],[Mã lớp]],XepLop[[#All],[Mã lớp]],0)))</f>
        <v>Các học sinh không xếp được lịch chung</v>
      </c>
      <c r="E14" s="10" t="str">
        <f>IF(XL_TH_TOAN[[#This Row],[Mã HS]]="","",INDEX(Ds_Nguồn[[#All],[Tên học sinh]],MATCH(XL_TH_TOAN[[#This Row],[Mã HS]],Ds_Nguồn[[#All],[Mã HS]],0)))</f>
        <v>Trần Kiến Văn</v>
      </c>
      <c r="F14" s="8" t="s">
        <v>166</v>
      </c>
      <c r="G14" s="8" t="str">
        <f>IF(OR(XL_TH_TOAN[[#This Row],[Mã HS]]="",XL_TH_TOAN[[#This Row],[Mã lớp]]=""),"",VLOOKUP(XL_TH_TOAN[[#This Row],[Mã HS]],Ds_Nguồn[[Mã HS]:[Email]],4,0))</f>
        <v>Lớp 4</v>
      </c>
      <c r="H14" s="12" t="str">
        <f>IF(XL_TH_TOAN[[#This Row],[Mã lớp]]="","",INDEX(Sản_phẩm[[#All],[Môn học]],MATCH(LEFT(XL_TH_TOAN[[#This Row],[Mã lớp]],2),Sản_phẩm[[#All],[Kí hiệu]],0)))</f>
        <v>Toán tiểu học</v>
      </c>
      <c r="I14" s="8" t="str">
        <f>IF(XL_TH_TOAN[[#This Row],[Mã lớp]]="","",INDEX(XepLop[[#All],[Ca]],MATCH(B14,XepLop[[#All],[Mã lớp]],0)))</f>
        <v>Tối</v>
      </c>
      <c r="J14" s="12" t="str">
        <f>_xlfn.TEXTJOIN("_",TRUE,INDEX(Data_thamchieu!$AM:$AS,MATCH($B14,Data_thamchieu!$AG:$AG,0),0))</f>
        <v>Thứ Bảy_Chủ Nhật</v>
      </c>
      <c r="K14" s="8" t="str">
        <f>IF(XL_TH_TOAN[[#This Row],[Mã lớp]]="","",INDEX(XepLop[[#All],[Giờ đến]],MATCH(XL_TH_TOAN[[#This Row],[Mã lớp]],XepLop[[#All],[Mã lớp]],0)))</f>
        <v>19h00</v>
      </c>
      <c r="L14" s="8" t="str">
        <f>IF(XL_TH_TOAN[[#This Row],[Mã lớp]]="","",INDEX(XepLop[[#All],[Giờ về]],MATCH(XL_TH_TOAN[[#This Row],[Mã lớp]],XepLop[[#All],[Mã lớp]],0)))</f>
        <v>20h30</v>
      </c>
      <c r="M14" s="9"/>
      <c r="N14" s="9"/>
      <c r="O14" s="9"/>
      <c r="P14" s="9"/>
      <c r="Q14" s="9"/>
      <c r="R14" s="9" t="s">
        <v>17</v>
      </c>
      <c r="S14" s="9" t="s">
        <v>17</v>
      </c>
      <c r="T14" s="12" t="str">
        <f>IF(XL_TH_TOAN[[#This Row],[Mã lớp]]="","",INDEX(XepLop[[#All],[Phụ trách]],MATCH(XL_TH_TOAN[[#This Row],[Mã lớp]],XepLop[[#All],[Mã lớp]],0)))</f>
        <v>Đặng Công Danh</v>
      </c>
      <c r="U14" s="9"/>
    </row>
    <row r="15" spans="1:21" customFormat="1" x14ac:dyDescent="0.25">
      <c r="A15" s="11">
        <f>IF(XL_TH_TOAN[[#This Row],[Mã lớp]]="","",ROW()-ROW(XL_TH_TOAN[[#Headers],[Mã lớp]]))</f>
        <v>14</v>
      </c>
      <c r="B15" s="8" t="s">
        <v>216</v>
      </c>
      <c r="C15" s="12" t="str">
        <f>IF(XL_TH_TOAN[[#This Row],[Mã lớp]]="","",INDEX(XepLop[[#All],[Tên lớp]],MATCH(XL_TH_TOAN[[#This Row],[Mã lớp]],XepLop[[#All],[Mã lớp]],0)))</f>
        <v>Toán tiểu học</v>
      </c>
      <c r="D15" s="12" t="str">
        <f>IF(XL_TH_TOAN[[#This Row],[Mã lớp]]="","",INDEX(XepLop[[#All],[Mô tả]],MATCH(XL_TH_TOAN[[#This Row],[Mã lớp]],XepLop[[#All],[Mã lớp]],0)))</f>
        <v>Lịch chuẩn cho các học sinh Mầm non</v>
      </c>
      <c r="E15" s="10" t="str">
        <f>IF(XL_TH_TOAN[[#This Row],[Mã HS]]="","",INDEX(Ds_Nguồn[[#All],[Tên học sinh]],MATCH(XL_TH_TOAN[[#This Row],[Mã HS]],Ds_Nguồn[[#All],[Mã HS]],0)))</f>
        <v>Nguyễn Kim Ngân</v>
      </c>
      <c r="F15" s="8" t="s">
        <v>170</v>
      </c>
      <c r="G15" s="8" t="str">
        <f>IF(OR(XL_TH_TOAN[[#This Row],[Mã HS]]="",XL_TH_TOAN[[#This Row],[Mã lớp]]=""),"",VLOOKUP(XL_TH_TOAN[[#This Row],[Mã HS]],Ds_Nguồn[[Mã HS]:[Email]],4,0))</f>
        <v>Mầm non</v>
      </c>
      <c r="H15" s="12" t="str">
        <f>IF(XL_TH_TOAN[[#This Row],[Mã lớp]]="","",INDEX(Sản_phẩm[[#All],[Môn học]],MATCH(LEFT(XL_TH_TOAN[[#This Row],[Mã lớp]],2),Sản_phẩm[[#All],[Kí hiệu]],0)))</f>
        <v>Toán tiểu học</v>
      </c>
      <c r="I15" s="8" t="str">
        <f>IF(XL_TH_TOAN[[#This Row],[Mã lớp]]="","",INDEX(XepLop[[#All],[Ca]],MATCH(B15,XepLop[[#All],[Mã lớp]],0)))</f>
        <v>Tối</v>
      </c>
      <c r="J15" s="12" t="str">
        <f>_xlfn.TEXTJOIN("_",TRUE,INDEX(Data_thamchieu!$AM:$AS,MATCH($B15,Data_thamchieu!$AG:$AG,0),0))</f>
        <v>Thứ Hai_Thứ Ba_Thứ Tư_Thứ Năm_Thứ Sáu</v>
      </c>
      <c r="K15" s="8" t="str">
        <f>IF(XL_TH_TOAN[[#This Row],[Mã lớp]]="","",INDEX(XepLop[[#All],[Giờ đến]],MATCH(XL_TH_TOAN[[#This Row],[Mã lớp]],XepLop[[#All],[Mã lớp]],0)))</f>
        <v>19h00</v>
      </c>
      <c r="L15" s="8" t="str">
        <f>IF(XL_TH_TOAN[[#This Row],[Mã lớp]]="","",INDEX(XepLop[[#All],[Giờ về]],MATCH(XL_TH_TOAN[[#This Row],[Mã lớp]],XepLop[[#All],[Mã lớp]],0)))</f>
        <v>20h30</v>
      </c>
      <c r="M15" s="9" t="s">
        <v>31</v>
      </c>
      <c r="N15" s="9" t="s">
        <v>21</v>
      </c>
      <c r="O15" s="9" t="s">
        <v>31</v>
      </c>
      <c r="P15" s="9" t="s">
        <v>21</v>
      </c>
      <c r="Q15" s="9" t="s">
        <v>21</v>
      </c>
      <c r="R15" s="9"/>
      <c r="S15" s="9"/>
      <c r="T15" s="12" t="str">
        <f>IF(XL_TH_TOAN[[#This Row],[Mã lớp]]="","",INDEX(XepLop[[#All],[Phụ trách]],MATCH(XL_TH_TOAN[[#This Row],[Mã lớp]],XepLop[[#All],[Mã lớp]],0)))</f>
        <v>Nguyễn Quốc Khang</v>
      </c>
      <c r="U15" s="9"/>
    </row>
    <row r="16" spans="1:21" x14ac:dyDescent="0.25">
      <c r="A16" s="11">
        <f>IF(XL_TH_TOAN[[#This Row],[Mã lớp]]="","",ROW()-ROW(XL_TH_TOAN[[#Headers],[Mã lớp]]))</f>
        <v>15</v>
      </c>
      <c r="B16" s="9" t="s">
        <v>213</v>
      </c>
      <c r="C16" s="10" t="str">
        <f>IF(XL_TH_TOAN[[#This Row],[Mã lớp]]="","",INDEX(XepLop[[#All],[Tên lớp]],MATCH(XL_TH_TOAN[[#This Row],[Mã lớp]],XepLop[[#All],[Mã lớp]],0)))</f>
        <v>Toán tiểu học</v>
      </c>
      <c r="D16" s="10" t="str">
        <f>IF(XL_TH_TOAN[[#This Row],[Mã lớp]]="","",INDEX(XepLop[[#All],[Mô tả]],MATCH(XL_TH_TOAN[[#This Row],[Mã lớp]],XepLop[[#All],[Mã lớp]],0)))</f>
        <v>Lịch chuẩn khối 5</v>
      </c>
      <c r="E16" s="10" t="str">
        <f>IF(XL_TH_TOAN[[#This Row],[Mã HS]]="","",INDEX(Ds_Nguồn[[#All],[Tên học sinh]],MATCH(XL_TH_TOAN[[#This Row],[Mã HS]],Ds_Nguồn[[#All],[Mã HS]],0)))</f>
        <v>Lê Bảo Trân</v>
      </c>
      <c r="F16" s="9" t="s">
        <v>178</v>
      </c>
      <c r="G16" s="9" t="str">
        <f>IF(OR(XL_TH_TOAN[[#This Row],[Mã HS]]="",XL_TH_TOAN[[#This Row],[Mã lớp]]=""),"",VLOOKUP(XL_TH_TOAN[[#This Row],[Mã HS]],Ds_Nguồn[[Mã HS]:[Email]],4,0))</f>
        <v>Lớp 4</v>
      </c>
      <c r="H16" s="10" t="str">
        <f>IF(XL_TH_TOAN[[#This Row],[Mã lớp]]="","",INDEX(Sản_phẩm[[#All],[Môn học]],MATCH(LEFT(XL_TH_TOAN[[#This Row],[Mã lớp]],2),Sản_phẩm[[#All],[Kí hiệu]],0)))</f>
        <v>Toán tiểu học</v>
      </c>
      <c r="I16" s="9" t="str">
        <f>IF(XL_TH_TOAN[[#This Row],[Mã lớp]]="","",INDEX(XepLop[[#All],[Ca]],MATCH(B16,XepLop[[#All],[Mã lớp]],0)))</f>
        <v>Tối</v>
      </c>
      <c r="J16" s="10" t="str">
        <f>_xlfn.TEXTJOIN("_",TRUE,INDEX(Data_thamchieu!$AM:$AS,MATCH($B16,Data_thamchieu!$AG:$AG,0),0))</f>
        <v>Thứ Ba_Thứ Năm_Thứ Sáu</v>
      </c>
      <c r="K16" s="9" t="str">
        <f>IF(XL_TH_TOAN[[#This Row],[Mã lớp]]="","",INDEX(XepLop[[#All],[Giờ đến]],MATCH(XL_TH_TOAN[[#This Row],[Mã lớp]],XepLop[[#All],[Mã lớp]],0)))</f>
        <v>19h00</v>
      </c>
      <c r="L16" s="9" t="str">
        <f>IF(XL_TH_TOAN[[#This Row],[Mã lớp]]="","",INDEX(XepLop[[#All],[Giờ về]],MATCH(XL_TH_TOAN[[#This Row],[Mã lớp]],XepLop[[#All],[Mã lớp]],0)))</f>
        <v>20h30</v>
      </c>
      <c r="N16" s="9" t="s">
        <v>12</v>
      </c>
      <c r="P16" s="9" t="s">
        <v>12</v>
      </c>
      <c r="Q16" s="9" t="s">
        <v>12</v>
      </c>
      <c r="T16" s="10" t="str">
        <f>IF(XL_TH_TOAN[[#This Row],[Mã lớp]]="","",INDEX(XepLop[[#All],[Phụ trách]],MATCH(XL_TH_TOAN[[#This Row],[Mã lớp]],XepLop[[#All],[Mã lớp]],0)))</f>
        <v>Trương Thái Hoàng Long</v>
      </c>
    </row>
    <row r="17" spans="1:21" x14ac:dyDescent="0.25">
      <c r="A17" s="11">
        <f>IF(XL_TH_TOAN[[#This Row],[Mã lớp]]="","",ROW()-ROW(XL_TH_TOAN[[#Headers],[Mã lớp]]))</f>
        <v>16</v>
      </c>
      <c r="B17" s="9" t="s">
        <v>198</v>
      </c>
      <c r="C17" s="10" t="str">
        <f>IF(XL_TH_TOAN[[#This Row],[Mã lớp]]="","",INDEX(XepLop[[#All],[Tên lớp]],MATCH(XL_TH_TOAN[[#This Row],[Mã lớp]],XepLop[[#All],[Mã lớp]],0)))</f>
        <v>Toán tiểu học</v>
      </c>
      <c r="D17" s="10" t="str">
        <f>IF(XL_TH_TOAN[[#This Row],[Mã lớp]]="","",INDEX(XepLop[[#All],[Mô tả]],MATCH(XL_TH_TOAN[[#This Row],[Mã lớp]],XepLop[[#All],[Mã lớp]],0)))</f>
        <v>Các học sinh không xếp được lịch chung</v>
      </c>
      <c r="E17" s="10" t="str">
        <f>IF(XL_TH_TOAN[[#This Row],[Mã HS]]="","",INDEX(Ds_Nguồn[[#All],[Tên học sinh]],MATCH(XL_TH_TOAN[[#This Row],[Mã HS]],Ds_Nguồn[[#All],[Mã HS]],0)))</f>
        <v>Hà Lê Như Trúc</v>
      </c>
      <c r="F17" s="9" t="s">
        <v>181</v>
      </c>
      <c r="G17" s="9" t="str">
        <f>IF(OR(XL_TH_TOAN[[#This Row],[Mã HS]]="",XL_TH_TOAN[[#This Row],[Mã lớp]]=""),"",VLOOKUP(XL_TH_TOAN[[#This Row],[Mã HS]],Ds_Nguồn[[Mã HS]:[Email]],4,0))</f>
        <v>Lớp 5</v>
      </c>
      <c r="H17" s="10" t="str">
        <f>IF(XL_TH_TOAN[[#This Row],[Mã lớp]]="","",INDEX(Sản_phẩm[[#All],[Môn học]],MATCH(LEFT(XL_TH_TOAN[[#This Row],[Mã lớp]],2),Sản_phẩm[[#All],[Kí hiệu]],0)))</f>
        <v>Toán tiểu học</v>
      </c>
      <c r="I17" s="9" t="str">
        <f>IF(XL_TH_TOAN[[#This Row],[Mã lớp]]="","",INDEX(XepLop[[#All],[Ca]],MATCH(B17,XepLop[[#All],[Mã lớp]],0)))</f>
        <v>Tối</v>
      </c>
      <c r="J17" s="10" t="str">
        <f>_xlfn.TEXTJOIN("_",TRUE,INDEX(Data_thamchieu!$AM:$AS,MATCH($B17,Data_thamchieu!$AG:$AG,0),0))</f>
        <v>Thứ Hai_Thứ Tư_Thứ Sáu</v>
      </c>
      <c r="K17" s="9" t="str">
        <f>IF(XL_TH_TOAN[[#This Row],[Mã lớp]]="","",INDEX(XepLop[[#All],[Giờ đến]],MATCH(XL_TH_TOAN[[#This Row],[Mã lớp]],XepLop[[#All],[Mã lớp]],0)))</f>
        <v>19h00</v>
      </c>
      <c r="L17" s="9" t="str">
        <f>IF(XL_TH_TOAN[[#This Row],[Mã lớp]]="","",INDEX(XepLop[[#All],[Giờ về]],MATCH(XL_TH_TOAN[[#This Row],[Mã lớp]],XepLop[[#All],[Mã lớp]],0)))</f>
        <v>20h30</v>
      </c>
      <c r="M17" s="9" t="s">
        <v>31</v>
      </c>
      <c r="O17" s="9" t="s">
        <v>31</v>
      </c>
      <c r="Q17" s="9" t="s">
        <v>12</v>
      </c>
      <c r="T17" s="10" t="str">
        <f>IF(XL_TH_TOAN[[#This Row],[Mã lớp]]="","",INDEX(XepLop[[#All],[Phụ trách]],MATCH(XL_TH_TOAN[[#This Row],[Mã lớp]],XepLop[[#All],[Mã lớp]],0)))</f>
        <v>Nguyễn Quốc Khang</v>
      </c>
    </row>
    <row r="18" spans="1:21" customFormat="1" x14ac:dyDescent="0.25">
      <c r="A18" s="11">
        <f>IF(XL_TH_TOAN[[#This Row],[Mã lớp]]="","",ROW()-ROW(XL_TH_TOAN[[#Headers],[Mã lớp]]))</f>
        <v>17</v>
      </c>
      <c r="B18" s="8" t="s">
        <v>215</v>
      </c>
      <c r="C18" s="12" t="str">
        <f>IF(XL_TH_TOAN[[#This Row],[Mã lớp]]="","",INDEX(XepLop[[#All],[Tên lớp]],MATCH(XL_TH_TOAN[[#This Row],[Mã lớp]],XepLop[[#All],[Mã lớp]],0)))</f>
        <v>Toán tiểu học</v>
      </c>
      <c r="D18" s="12" t="str">
        <f>IF(XL_TH_TOAN[[#This Row],[Mã lớp]]="","",INDEX(XepLop[[#All],[Mô tả]],MATCH(XL_TH_TOAN[[#This Row],[Mã lớp]],XepLop[[#All],[Mã lớp]],0)))</f>
        <v>Lịch chuẩn khối 0;1;2;3;4</v>
      </c>
      <c r="E18" s="10" t="str">
        <f>IF(XL_TH_TOAN[[#This Row],[Mã HS]]="","",INDEX(Ds_Nguồn[[#All],[Tên học sinh]],MATCH(XL_TH_TOAN[[#This Row],[Mã HS]],Ds_Nguồn[[#All],[Mã HS]],0)))</f>
        <v>Hoàng Hà Phương</v>
      </c>
      <c r="F18" s="8" t="s">
        <v>182</v>
      </c>
      <c r="G18" s="8" t="str">
        <f>IF(OR(XL_TH_TOAN[[#This Row],[Mã HS]]="",XL_TH_TOAN[[#This Row],[Mã lớp]]=""),"",VLOOKUP(XL_TH_TOAN[[#This Row],[Mã HS]],Ds_Nguồn[[Mã HS]:[Email]],4,0))</f>
        <v>Lớp 2</v>
      </c>
      <c r="H18" s="12" t="str">
        <f>IF(XL_TH_TOAN[[#This Row],[Mã lớp]]="","",INDEX(Sản_phẩm[[#All],[Môn học]],MATCH(LEFT(XL_TH_TOAN[[#This Row],[Mã lớp]],2),Sản_phẩm[[#All],[Kí hiệu]],0)))</f>
        <v>Toán tiểu học</v>
      </c>
      <c r="I18" s="8" t="str">
        <f>IF(XL_TH_TOAN[[#This Row],[Mã lớp]]="","",INDEX(XepLop[[#All],[Ca]],MATCH(B18,XepLop[[#All],[Mã lớp]],0)))</f>
        <v>Tối</v>
      </c>
      <c r="J18" s="12" t="str">
        <f>_xlfn.TEXTJOIN("_",TRUE,INDEX(Data_thamchieu!$AM:$AS,MATCH($B18,Data_thamchieu!$AG:$AG,0),0))</f>
        <v>Thứ Ba_Thứ Năm_Thứ Sáu</v>
      </c>
      <c r="K18" s="8" t="str">
        <f>IF(XL_TH_TOAN[[#This Row],[Mã lớp]]="","",INDEX(XepLop[[#All],[Giờ đến]],MATCH(XL_TH_TOAN[[#This Row],[Mã lớp]],XepLop[[#All],[Mã lớp]],0)))</f>
        <v>19h00</v>
      </c>
      <c r="L18" s="8" t="str">
        <f>IF(XL_TH_TOAN[[#This Row],[Mã lớp]]="","",INDEX(XepLop[[#All],[Giờ về]],MATCH(XL_TH_TOAN[[#This Row],[Mã lớp]],XepLop[[#All],[Mã lớp]],0)))</f>
        <v>20h30</v>
      </c>
      <c r="M18" s="9"/>
      <c r="N18" s="9" t="s">
        <v>21</v>
      </c>
      <c r="O18" s="9"/>
      <c r="P18" s="9" t="s">
        <v>21</v>
      </c>
      <c r="Q18" s="9" t="s">
        <v>21</v>
      </c>
      <c r="R18" s="9"/>
      <c r="S18" s="9"/>
      <c r="T18" s="12" t="str">
        <f>IF(XL_TH_TOAN[[#This Row],[Mã lớp]]="","",INDEX(XepLop[[#All],[Phụ trách]],MATCH(XL_TH_TOAN[[#This Row],[Mã lớp]],XepLop[[#All],[Mã lớp]],0)))</f>
        <v>Hồng Trúc Vi</v>
      </c>
      <c r="U18" s="9"/>
    </row>
    <row r="19" spans="1:21" customFormat="1" x14ac:dyDescent="0.25">
      <c r="A19" s="11">
        <f>IF(XL_TH_TOAN[[#This Row],[Mã lớp]]="","",ROW()-ROW(XL_TH_TOAN[[#Headers],[Mã lớp]]))</f>
        <v>18</v>
      </c>
      <c r="B19" s="8" t="s">
        <v>198</v>
      </c>
      <c r="C19" s="12" t="str">
        <f>IF(XL_TH_TOAN[[#This Row],[Mã lớp]]="","",INDEX(XepLop[[#All],[Tên lớp]],MATCH(XL_TH_TOAN[[#This Row],[Mã lớp]],XepLop[[#All],[Mã lớp]],0)))</f>
        <v>Toán tiểu học</v>
      </c>
      <c r="D19" s="12" t="str">
        <f>IF(XL_TH_TOAN[[#This Row],[Mã lớp]]="","",INDEX(XepLop[[#All],[Mô tả]],MATCH(XL_TH_TOAN[[#This Row],[Mã lớp]],XepLop[[#All],[Mã lớp]],0)))</f>
        <v>Các học sinh không xếp được lịch chung</v>
      </c>
      <c r="E19" s="10" t="str">
        <f>IF(XL_TH_TOAN[[#This Row],[Mã HS]]="","",INDEX(Ds_Nguồn[[#All],[Tên học sinh]],MATCH(XL_TH_TOAN[[#This Row],[Mã HS]],Ds_Nguồn[[#All],[Mã HS]],0)))</f>
        <v>Võ Phan Khởi My</v>
      </c>
      <c r="F19" s="8" t="s">
        <v>184</v>
      </c>
      <c r="G19" s="8" t="str">
        <f>IF(OR(XL_TH_TOAN[[#This Row],[Mã HS]]="",XL_TH_TOAN[[#This Row],[Mã lớp]]=""),"",VLOOKUP(XL_TH_TOAN[[#This Row],[Mã HS]],Ds_Nguồn[[Mã HS]:[Email]],4,0))</f>
        <v>Lớp 3</v>
      </c>
      <c r="H19" s="12" t="str">
        <f>IF(XL_TH_TOAN[[#This Row],[Mã lớp]]="","",INDEX(Sản_phẩm[[#All],[Môn học]],MATCH(LEFT(XL_TH_TOAN[[#This Row],[Mã lớp]],2),Sản_phẩm[[#All],[Kí hiệu]],0)))</f>
        <v>Toán tiểu học</v>
      </c>
      <c r="I19" s="8" t="str">
        <f>IF(XL_TH_TOAN[[#This Row],[Mã lớp]]="","",INDEX(XepLop[[#All],[Ca]],MATCH(B19,XepLop[[#All],[Mã lớp]],0)))</f>
        <v>Tối</v>
      </c>
      <c r="J19" s="12" t="str">
        <f>_xlfn.TEXTJOIN("_",TRUE,INDEX(Data_thamchieu!$AM:$AS,MATCH($B19,Data_thamchieu!$AG:$AG,0),0))</f>
        <v>Thứ Hai_Thứ Tư_Thứ Sáu</v>
      </c>
      <c r="K19" s="8" t="str">
        <f>IF(XL_TH_TOAN[[#This Row],[Mã lớp]]="","",INDEX(XepLop[[#All],[Giờ đến]],MATCH(XL_TH_TOAN[[#This Row],[Mã lớp]],XepLop[[#All],[Mã lớp]],0)))</f>
        <v>19h00</v>
      </c>
      <c r="L19" s="8" t="str">
        <f>IF(XL_TH_TOAN[[#This Row],[Mã lớp]]="","",INDEX(XepLop[[#All],[Giờ về]],MATCH(XL_TH_TOAN[[#This Row],[Mã lớp]],XepLop[[#All],[Mã lớp]],0)))</f>
        <v>20h30</v>
      </c>
      <c r="M19" s="9" t="s">
        <v>31</v>
      </c>
      <c r="N19" s="9"/>
      <c r="O19" s="9" t="s">
        <v>31</v>
      </c>
      <c r="P19" s="9"/>
      <c r="Q19" s="9" t="s">
        <v>21</v>
      </c>
      <c r="R19" s="9"/>
      <c r="S19" s="9"/>
      <c r="T19" s="12" t="str">
        <f>IF(XL_TH_TOAN[[#This Row],[Mã lớp]]="","",INDEX(XepLop[[#All],[Phụ trách]],MATCH(XL_TH_TOAN[[#This Row],[Mã lớp]],XepLop[[#All],[Mã lớp]],0)))</f>
        <v>Nguyễn Quốc Khang</v>
      </c>
      <c r="U19" s="9"/>
    </row>
    <row r="20" spans="1:21" customFormat="1" x14ac:dyDescent="0.25">
      <c r="A20" s="11">
        <f>IF(XL_TH_TOAN[[#This Row],[Mã lớp]]="","",ROW()-ROW(XL_TH_TOAN[[#Headers],[Mã lớp]]))</f>
        <v>19</v>
      </c>
      <c r="B20" s="8" t="s">
        <v>215</v>
      </c>
      <c r="C20" s="12" t="str">
        <f>IF(XL_TH_TOAN[[#This Row],[Mã lớp]]="","",INDEX(XepLop[[#All],[Tên lớp]],MATCH(XL_TH_TOAN[[#This Row],[Mã lớp]],XepLop[[#All],[Mã lớp]],0)))</f>
        <v>Toán tiểu học</v>
      </c>
      <c r="D20" s="12" t="str">
        <f>IF(XL_TH_TOAN[[#This Row],[Mã lớp]]="","",INDEX(XepLop[[#All],[Mô tả]],MATCH(XL_TH_TOAN[[#This Row],[Mã lớp]],XepLop[[#All],[Mã lớp]],0)))</f>
        <v>Lịch chuẩn khối 0;1;2;3;4</v>
      </c>
      <c r="E20" s="10" t="str">
        <f>IF(XL_TH_TOAN[[#This Row],[Mã HS]]="","",INDEX(Ds_Nguồn[[#All],[Tên học sinh]],MATCH(XL_TH_TOAN[[#This Row],[Mã HS]],Ds_Nguồn[[#All],[Mã HS]],0)))</f>
        <v>Nguyễn Xuân Tân</v>
      </c>
      <c r="F20" s="8" t="s">
        <v>185</v>
      </c>
      <c r="G20" s="8" t="str">
        <f>IF(OR(XL_TH_TOAN[[#This Row],[Mã HS]]="",XL_TH_TOAN[[#This Row],[Mã lớp]]=""),"",VLOOKUP(XL_TH_TOAN[[#This Row],[Mã HS]],Ds_Nguồn[[Mã HS]:[Email]],4,0))</f>
        <v>Lớp 1</v>
      </c>
      <c r="H20" s="12" t="str">
        <f>IF(XL_TH_TOAN[[#This Row],[Mã lớp]]="","",INDEX(Sản_phẩm[[#All],[Môn học]],MATCH(LEFT(XL_TH_TOAN[[#This Row],[Mã lớp]],2),Sản_phẩm[[#All],[Kí hiệu]],0)))</f>
        <v>Toán tiểu học</v>
      </c>
      <c r="I20" s="8" t="str">
        <f>IF(XL_TH_TOAN[[#This Row],[Mã lớp]]="","",INDEX(XepLop[[#All],[Ca]],MATCH(B20,XepLop[[#All],[Mã lớp]],0)))</f>
        <v>Tối</v>
      </c>
      <c r="J20" s="12" t="str">
        <f>_xlfn.TEXTJOIN("_",TRUE,INDEX(Data_thamchieu!$AM:$AS,MATCH($B20,Data_thamchieu!$AG:$AG,0),0))</f>
        <v>Thứ Ba_Thứ Năm_Thứ Sáu</v>
      </c>
      <c r="K20" s="8" t="str">
        <f>IF(XL_TH_TOAN[[#This Row],[Mã lớp]]="","",INDEX(XepLop[[#All],[Giờ đến]],MATCH(XL_TH_TOAN[[#This Row],[Mã lớp]],XepLop[[#All],[Mã lớp]],0)))</f>
        <v>19h00</v>
      </c>
      <c r="L20" s="8" t="str">
        <f>IF(XL_TH_TOAN[[#This Row],[Mã lớp]]="","",INDEX(XepLop[[#All],[Giờ về]],MATCH(XL_TH_TOAN[[#This Row],[Mã lớp]],XepLop[[#All],[Mã lớp]],0)))</f>
        <v>20h30</v>
      </c>
      <c r="M20" s="9"/>
      <c r="N20" s="9" t="s">
        <v>21</v>
      </c>
      <c r="O20" s="9"/>
      <c r="P20" s="9" t="s">
        <v>21</v>
      </c>
      <c r="Q20" s="9" t="s">
        <v>21</v>
      </c>
      <c r="R20" s="9"/>
      <c r="S20" s="9"/>
      <c r="T20" s="12" t="str">
        <f>IF(XL_TH_TOAN[[#This Row],[Mã lớp]]="","",INDEX(XepLop[[#All],[Phụ trách]],MATCH(XL_TH_TOAN[[#This Row],[Mã lớp]],XepLop[[#All],[Mã lớp]],0)))</f>
        <v>Hồng Trúc Vi</v>
      </c>
      <c r="U20" s="9"/>
    </row>
  </sheetData>
  <phoneticPr fontId="2" type="noConversion"/>
  <conditionalFormatting sqref="M2:S20">
    <cfRule type="expression" dxfId="11" priority="1">
      <formula>M2=""</formula>
    </cfRule>
    <cfRule type="expression" dxfId="10" priority="9">
      <formula>M2&lt;&gt;""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BE0617-2F57-4F5E-A672-F010D3B02E59}">
          <x14:formula1>
            <xm:f>OFFSET(Data_thamchieu!$AG$2,0,0,COUNTA(Data_thamchieu!$AG:$AG)-1,1)</xm:f>
          </x14:formula1>
          <xm:sqref>B2:B20</xm:sqref>
        </x14:dataValidation>
        <x14:dataValidation type="list" allowBlank="1" showInputMessage="1" showErrorMessage="1" xr:uid="{65AE469D-FABA-4CE9-BC75-1927B8349DD7}">
          <x14:formula1>
            <xm:f>OFFSET(Data_thamchieu!$H$2,0,0,COUNTA(Data_thamchieu!$H:$H)-1,1)</xm:f>
          </x14:formula1>
          <xm:sqref>M2:S20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94BA-2496-4D46-819B-ADD84F8A20C7}">
  <sheetPr>
    <tabColor theme="5" tint="0.59999389629810485"/>
  </sheetPr>
  <dimension ref="A1:U18"/>
  <sheetViews>
    <sheetView workbookViewId="0">
      <selection activeCell="H26" sqref="H26"/>
    </sheetView>
  </sheetViews>
  <sheetFormatPr defaultRowHeight="15" x14ac:dyDescent="0.25"/>
  <cols>
    <col min="1" max="1" width="7.5703125" style="9" bestFit="1" customWidth="1"/>
    <col min="2" max="2" width="12" style="9" bestFit="1" customWidth="1"/>
    <col min="3" max="3" width="12.85546875" style="9" bestFit="1" customWidth="1"/>
    <col min="4" max="4" width="16" style="9" bestFit="1" customWidth="1"/>
    <col min="5" max="5" width="24.28515625" style="9" bestFit="1" customWidth="1"/>
    <col min="6" max="6" width="11.140625" style="9" bestFit="1" customWidth="1"/>
    <col min="7" max="7" width="9.28515625" style="9" bestFit="1" customWidth="1"/>
    <col min="8" max="8" width="20.85546875" style="9" bestFit="1" customWidth="1"/>
    <col min="9" max="9" width="7.7109375" style="9" bestFit="1" customWidth="1"/>
    <col min="10" max="10" width="23.5703125" style="9" bestFit="1" customWidth="1"/>
    <col min="11" max="11" width="13" style="9" bestFit="1" customWidth="1"/>
    <col min="12" max="12" width="11.5703125" style="9" bestFit="1" customWidth="1"/>
    <col min="13" max="13" width="12.42578125" style="9" bestFit="1" customWidth="1"/>
    <col min="14" max="14" width="9.5703125" style="9" bestFit="1" customWidth="1"/>
    <col min="15" max="15" width="12" style="9" bestFit="1" customWidth="1"/>
    <col min="16" max="16" width="13.7109375" style="9" bestFit="1" customWidth="1"/>
    <col min="17" max="17" width="13" style="9" bestFit="1" customWidth="1"/>
    <col min="18" max="18" width="12.85546875" style="9" bestFit="1" customWidth="1"/>
    <col min="19" max="19" width="14" style="9" bestFit="1" customWidth="1"/>
    <col min="20" max="20" width="22.5703125" style="9" bestFit="1" customWidth="1"/>
    <col min="21" max="16384" width="9.140625" style="9"/>
  </cols>
  <sheetData>
    <row r="1" spans="1:21" x14ac:dyDescent="0.25">
      <c r="A1" s="13" t="s">
        <v>4</v>
      </c>
      <c r="B1" s="13" t="s">
        <v>75</v>
      </c>
      <c r="C1" s="13" t="s">
        <v>232</v>
      </c>
      <c r="D1" s="13" t="s">
        <v>5</v>
      </c>
      <c r="E1" s="13" t="s">
        <v>196</v>
      </c>
      <c r="F1" s="13" t="s">
        <v>127</v>
      </c>
      <c r="G1" s="13" t="s">
        <v>212</v>
      </c>
      <c r="H1" s="13" t="s">
        <v>62</v>
      </c>
      <c r="I1" s="13" t="s">
        <v>208</v>
      </c>
      <c r="J1" s="13" t="s">
        <v>76</v>
      </c>
      <c r="K1" s="13" t="s">
        <v>207</v>
      </c>
      <c r="L1" s="13" t="s">
        <v>199</v>
      </c>
      <c r="M1" s="13" t="s">
        <v>206</v>
      </c>
      <c r="N1" s="13" t="s">
        <v>200</v>
      </c>
      <c r="O1" s="13" t="s">
        <v>201</v>
      </c>
      <c r="P1" s="13" t="s">
        <v>202</v>
      </c>
      <c r="Q1" s="13" t="s">
        <v>203</v>
      </c>
      <c r="R1" s="13" t="s">
        <v>204</v>
      </c>
      <c r="S1" s="13" t="s">
        <v>205</v>
      </c>
      <c r="T1" s="13" t="s">
        <v>1</v>
      </c>
      <c r="U1" s="13" t="s">
        <v>90</v>
      </c>
    </row>
    <row r="2" spans="1:21" x14ac:dyDescent="0.25">
      <c r="A2" s="11">
        <f>IF(XL_THCS_TOAN[[#This Row],[Mã lớp]]="","",ROW()-ROW(XL_THCS_TOAN[[#Headers],[Mã lớp]]))</f>
        <v>1</v>
      </c>
      <c r="B2" s="8" t="s">
        <v>238</v>
      </c>
      <c r="C2" s="10" t="str">
        <f>IF(XL_THCS_TOAN[[#This Row],[Mã lớp]]="","",INDEX(XepLop[[#All],[Tên lớp]],MATCH(XL_THCS_TOAN[[#This Row],[Mã lớp]],XepLop[[#All],[Mã lớp]],0)))</f>
        <v>Toán THCS - Khối 6</v>
      </c>
      <c r="D2" s="10" t="str">
        <f>IF(XL_THCS_TOAN[[#This Row],[Mã lớp]]="","",INDEX(XepLop[[#All],[Mô tả]],MATCH(XL_THCS_TOAN[[#This Row],[Mã lớp]],XepLop[[#All],[Mã lớp]],0)))</f>
        <v>Lịch chuẩn khối 6</v>
      </c>
      <c r="E2" s="10" t="str">
        <f>IF(XL_THCS_TOAN[[#This Row],[Mã HS]]="","",INDEX(Ds_Nguồn[[#All],[Tên học sinh]],MATCH(XL_THCS_TOAN[[#This Row],[Mã HS]],Ds_Nguồn[[#All],[Mã HS]],0)))</f>
        <v>Hồng Minh Phát</v>
      </c>
      <c r="F2" s="8" t="s">
        <v>140</v>
      </c>
      <c r="G2" s="9" t="str">
        <f>IF(OR(XL_THCS_TOAN[[#This Row],[Mã HS]]="",XL_THCS_TOAN[[#This Row],[Mã lớp]]=""),"",VLOOKUP(XL_THCS_TOAN[[#This Row],[Mã HS]],Ds_Nguồn[[Mã HS]:[Email]],4,0))</f>
        <v>Lớp 6</v>
      </c>
      <c r="H2" s="10" t="str">
        <f>IF(XL_THCS_TOAN[[#This Row],[Mã lớp]]="","",INDEX(Sản_phẩm[[#All],[Môn học]],MATCH(LEFT(XL_THCS_TOAN[[#This Row],[Mã lớp]],2),Sản_phẩm[[#All],[Kí hiệu]],0)))</f>
        <v>Toán - Trung học cơ sở</v>
      </c>
      <c r="I2" s="9" t="str">
        <f>IF(XL_THCS_TOAN[[#This Row],[Mã lớp]]="","",INDEX(XepLop[[#All],[Ca]],MATCH(B2,XepLop[[#All],[Mã lớp]],0)))</f>
        <v>Tối</v>
      </c>
      <c r="J2" s="10" t="str">
        <f>IF(XL_THCS_TOAN[[#This Row],[Mã lớp]]="","",_xlfn.TEXTJOIN("_",TRUE,INDEX(Data_thamchieu!$AM:$AS,MATCH($B2,Data_thamchieu!$AG:$AG,0),0)))</f>
        <v>Thứ Hai_Thứ Tư_Thứ Sáu</v>
      </c>
      <c r="K2" s="9" t="str">
        <f>IF(XL_THCS_TOAN[[#This Row],[Mã lớp]]="","",INDEX(XepLop[[#All],[Giờ đến]],MATCH(XL_THCS_TOAN[[#This Row],[Mã lớp]],XepLop[[#All],[Mã lớp]],0)))</f>
        <v>19h00</v>
      </c>
      <c r="L2" s="9" t="str">
        <f>IF(XL_THCS_TOAN[[#This Row],[Mã lớp]]="","",INDEX(XepLop[[#All],[Giờ về]],MATCH(XL_THCS_TOAN[[#This Row],[Mã lớp]],XepLop[[#All],[Mã lớp]],0)))</f>
        <v>20h30</v>
      </c>
      <c r="M2" s="9" t="s">
        <v>73</v>
      </c>
      <c r="O2" s="9" t="s">
        <v>73</v>
      </c>
      <c r="Q2" s="9" t="s">
        <v>8</v>
      </c>
      <c r="T2" s="10" t="str">
        <f>IF(XL_THCS_TOAN[[#This Row],[Mã lớp]]="","",INDEX(XepLop[[#All],[Phụ trách]],MATCH(XL_THCS_TOAN[[#This Row],[Mã lớp]],XepLop[[#All],[Mã lớp]],0)))</f>
        <v>Võ Thành Nguyên</v>
      </c>
    </row>
    <row r="3" spans="1:21" x14ac:dyDescent="0.25">
      <c r="A3" s="11">
        <f>IF(XL_THCS_TOAN[[#This Row],[Mã lớp]]="","",ROW()-ROW(XL_THCS_TOAN[[#Headers],[Mã lớp]]))</f>
        <v>2</v>
      </c>
      <c r="B3" s="8" t="s">
        <v>241</v>
      </c>
      <c r="C3" s="10" t="str">
        <f>IF(XL_THCS_TOAN[[#This Row],[Mã lớp]]="","",INDEX(XepLop[[#All],[Tên lớp]],MATCH(XL_THCS_TOAN[[#This Row],[Mã lớp]],XepLop[[#All],[Mã lớp]],0)))</f>
        <v>Toán THCS - Khối 9</v>
      </c>
      <c r="D3" s="10" t="str">
        <f>IF(XL_THCS_TOAN[[#This Row],[Mã lớp]]="","",INDEX(XepLop[[#All],[Mô tả]],MATCH(XL_THCS_TOAN[[#This Row],[Mã lớp]],XepLop[[#All],[Mã lớp]],0)))</f>
        <v>Lịch chuẩn khối 9</v>
      </c>
      <c r="E3" s="10" t="str">
        <f>IF(XL_THCS_TOAN[[#This Row],[Mã HS]]="","",INDEX(Ds_Nguồn[[#All],[Tên học sinh]],MATCH(XL_THCS_TOAN[[#This Row],[Mã HS]],Ds_Nguồn[[#All],[Mã HS]],0)))</f>
        <v>Trần Huỳnh Trung Nghĩa</v>
      </c>
      <c r="F3" s="8" t="s">
        <v>143</v>
      </c>
      <c r="G3" s="9" t="str">
        <f>IF(OR(XL_THCS_TOAN[[#This Row],[Mã HS]]="",XL_THCS_TOAN[[#This Row],[Mã lớp]]=""),"",VLOOKUP(XL_THCS_TOAN[[#This Row],[Mã HS]],Ds_Nguồn[[Mã HS]:[Email]],4,0))</f>
        <v>Lớp 8</v>
      </c>
      <c r="H3" s="10" t="str">
        <f>IF(XL_THCS_TOAN[[#This Row],[Mã lớp]]="","",INDEX(Sản_phẩm[[#All],[Môn học]],MATCH(LEFT(XL_THCS_TOAN[[#This Row],[Mã lớp]],2),Sản_phẩm[[#All],[Kí hiệu]],0)))</f>
        <v>Toán - Trung học cơ sở</v>
      </c>
      <c r="I3" s="9" t="str">
        <f>IF(XL_THCS_TOAN[[#This Row],[Mã lớp]]="","",INDEX(XepLop[[#All],[Ca]],MATCH(B3,XepLop[[#All],[Mã lớp]],0)))</f>
        <v>Chiều</v>
      </c>
      <c r="J3" s="10" t="str">
        <f>IF(XL_THCS_TOAN[[#This Row],[Mã lớp]]="","",_xlfn.TEXTJOIN("_",TRUE,INDEX(Data_thamchieu!$AM:$AS,MATCH($B3,Data_thamchieu!$AG:$AG,0),0)))</f>
        <v>Thứ Ba_Thứ Tư_Thứ Năm</v>
      </c>
      <c r="K3" s="9" t="str">
        <f>IF(XL_THCS_TOAN[[#This Row],[Mã lớp]]="","",INDEX(XepLop[[#All],[Giờ đến]],MATCH(XL_THCS_TOAN[[#This Row],[Mã lớp]],XepLop[[#All],[Mã lớp]],0)))</f>
        <v>19h00</v>
      </c>
      <c r="L3" s="9" t="str">
        <f>IF(XL_THCS_TOAN[[#This Row],[Mã lớp]]="","",INDEX(XepLop[[#All],[Giờ về]],MATCH(XL_THCS_TOAN[[#This Row],[Mã lớp]],XepLop[[#All],[Mã lớp]],0)))</f>
        <v>20h30</v>
      </c>
      <c r="N3" s="9" t="s">
        <v>17</v>
      </c>
      <c r="O3" s="9" t="s">
        <v>17</v>
      </c>
      <c r="P3" s="9" t="s">
        <v>17</v>
      </c>
      <c r="T3" s="10" t="str">
        <f>IF(XL_THCS_TOAN[[#This Row],[Mã lớp]]="","",INDEX(XepLop[[#All],[Phụ trách]],MATCH(XL_THCS_TOAN[[#This Row],[Mã lớp]],XepLop[[#All],[Mã lớp]],0)))</f>
        <v>Đặng Công Danh</v>
      </c>
    </row>
    <row r="4" spans="1:21" x14ac:dyDescent="0.25">
      <c r="A4" s="11">
        <f>IF(XL_THCS_TOAN[[#This Row],[Mã lớp]]="","",ROW()-ROW(XL_THCS_TOAN[[#Headers],[Mã lớp]]))</f>
        <v>3</v>
      </c>
      <c r="B4" s="9" t="s">
        <v>240</v>
      </c>
      <c r="C4" s="10" t="str">
        <f>IF(XL_THCS_TOAN[[#This Row],[Mã lớp]]="","",INDEX(XepLop[[#All],[Tên lớp]],MATCH(XL_THCS_TOAN[[#This Row],[Mã lớp]],XepLop[[#All],[Mã lớp]],0)))</f>
        <v>Toán THCS - Khối 8</v>
      </c>
      <c r="D4" s="10" t="str">
        <f>IF(XL_THCS_TOAN[[#This Row],[Mã lớp]]="","",INDEX(XepLop[[#All],[Mô tả]],MATCH(XL_THCS_TOAN[[#This Row],[Mã lớp]],XepLop[[#All],[Mã lớp]],0)))</f>
        <v>Lịch chuẩn khối 8</v>
      </c>
      <c r="E4" s="10" t="str">
        <f>IF(XL_THCS_TOAN[[#This Row],[Mã HS]]="","",INDEX(Ds_Nguồn[[#All],[Tên học sinh]],MATCH(XL_THCS_TOAN[[#This Row],[Mã HS]],Ds_Nguồn[[#All],[Mã HS]],0)))</f>
        <v>Nguyễn Ngọc Ngân</v>
      </c>
      <c r="F4" s="8" t="s">
        <v>145</v>
      </c>
      <c r="G4" s="9" t="str">
        <f>IF(OR(XL_THCS_TOAN[[#This Row],[Mã HS]]="",XL_THCS_TOAN[[#This Row],[Mã lớp]]=""),"",VLOOKUP(XL_THCS_TOAN[[#This Row],[Mã HS]],Ds_Nguồn[[Mã HS]:[Email]],4,0))</f>
        <v>Lớp 8</v>
      </c>
      <c r="H4" s="10" t="str">
        <f>IF(XL_THCS_TOAN[[#This Row],[Mã lớp]]="","",INDEX(Sản_phẩm[[#All],[Môn học]],MATCH(LEFT(XL_THCS_TOAN[[#This Row],[Mã lớp]],2),Sản_phẩm[[#All],[Kí hiệu]],0)))</f>
        <v>Toán - Trung học cơ sở</v>
      </c>
      <c r="I4" s="9" t="str">
        <f>IF(XL_THCS_TOAN[[#This Row],[Mã lớp]]="","",INDEX(XepLop[[#All],[Ca]],MATCH(B4,XepLop[[#All],[Mã lớp]],0)))</f>
        <v>Tối</v>
      </c>
      <c r="J4" s="10" t="str">
        <f>IF(XL_THCS_TOAN[[#This Row],[Mã lớp]]="","",_xlfn.TEXTJOIN("_",TRUE,INDEX(Data_thamchieu!$AM:$AS,MATCH($B4,Data_thamchieu!$AG:$AG,0),0)))</f>
        <v>Thứ Hai_Thứ Tư_Thứ Sáu</v>
      </c>
      <c r="K4" s="9" t="str">
        <f>IF(XL_THCS_TOAN[[#This Row],[Mã lớp]]="","",INDEX(XepLop[[#All],[Giờ đến]],MATCH(XL_THCS_TOAN[[#This Row],[Mã lớp]],XepLop[[#All],[Mã lớp]],0)))</f>
        <v>19h00</v>
      </c>
      <c r="L4" s="9" t="str">
        <f>IF(XL_THCS_TOAN[[#This Row],[Mã lớp]]="","",INDEX(XepLop[[#All],[Giờ về]],MATCH(XL_THCS_TOAN[[#This Row],[Mã lớp]],XepLop[[#All],[Mã lớp]],0)))</f>
        <v>20h30</v>
      </c>
      <c r="M4" s="9" t="s">
        <v>17</v>
      </c>
      <c r="O4" s="9" t="s">
        <v>17</v>
      </c>
      <c r="Q4" s="9" t="s">
        <v>17</v>
      </c>
      <c r="T4" s="10" t="str">
        <f>IF(XL_THCS_TOAN[[#This Row],[Mã lớp]]="","",INDEX(XepLop[[#All],[Phụ trách]],MATCH(XL_THCS_TOAN[[#This Row],[Mã lớp]],XepLop[[#All],[Mã lớp]],0)))</f>
        <v>Đặng Công Danh</v>
      </c>
    </row>
    <row r="5" spans="1:21" customFormat="1" x14ac:dyDescent="0.25">
      <c r="A5" s="11">
        <f>IF(XL_THCS_TOAN[[#This Row],[Mã lớp]]="","",ROW()-ROW(XL_THCS_TOAN[[#Headers],[Mã lớp]]))</f>
        <v>4</v>
      </c>
      <c r="B5" s="8" t="s">
        <v>241</v>
      </c>
      <c r="C5" s="12" t="str">
        <f>IF(XL_THCS_TOAN[[#This Row],[Mã lớp]]="","",INDEX(XepLop[[#All],[Tên lớp]],MATCH(XL_THCS_TOAN[[#This Row],[Mã lớp]],XepLop[[#All],[Mã lớp]],0)))</f>
        <v>Toán THCS - Khối 9</v>
      </c>
      <c r="D5" s="12" t="str">
        <f>IF(XL_THCS_TOAN[[#This Row],[Mã lớp]]="","",INDEX(XepLop[[#All],[Mô tả]],MATCH(XL_THCS_TOAN[[#This Row],[Mã lớp]],XepLop[[#All],[Mã lớp]],0)))</f>
        <v>Lịch chuẩn khối 9</v>
      </c>
      <c r="E5" s="10" t="str">
        <f>IF(XL_THCS_TOAN[[#This Row],[Mã HS]]="","",INDEX(Ds_Nguồn[[#All],[Tên học sinh]],MATCH(XL_THCS_TOAN[[#This Row],[Mã HS]],Ds_Nguồn[[#All],[Mã HS]],0)))</f>
        <v>Huỳnh Lê Ngọc Như</v>
      </c>
      <c r="F5" s="8" t="s">
        <v>148</v>
      </c>
      <c r="G5" s="8" t="str">
        <f>IF(OR(XL_THCS_TOAN[[#This Row],[Mã HS]]="",XL_THCS_TOAN[[#This Row],[Mã lớp]]=""),"",VLOOKUP(XL_THCS_TOAN[[#This Row],[Mã HS]],Ds_Nguồn[[Mã HS]:[Email]],4,0))</f>
        <v>Lớp 8</v>
      </c>
      <c r="H5" s="12" t="str">
        <f>IF(XL_THCS_TOAN[[#This Row],[Mã lớp]]="","",INDEX(Sản_phẩm[[#All],[Môn học]],MATCH(LEFT(XL_THCS_TOAN[[#This Row],[Mã lớp]],2),Sản_phẩm[[#All],[Kí hiệu]],0)))</f>
        <v>Toán - Trung học cơ sở</v>
      </c>
      <c r="I5" s="8" t="str">
        <f>IF(XL_THCS_TOAN[[#This Row],[Mã lớp]]="","",INDEX(XepLop[[#All],[Ca]],MATCH(B5,XepLop[[#All],[Mã lớp]],0)))</f>
        <v>Chiều</v>
      </c>
      <c r="J5" s="12" t="str">
        <f>IF(XL_THCS_TOAN[[#This Row],[Mã lớp]]="","",_xlfn.TEXTJOIN("_",TRUE,INDEX(Data_thamchieu!$AM:$AS,MATCH($B5,Data_thamchieu!$AG:$AG,0),0)))</f>
        <v>Thứ Ba_Thứ Tư_Thứ Năm</v>
      </c>
      <c r="K5" s="8" t="str">
        <f>IF(XL_THCS_TOAN[[#This Row],[Mã lớp]]="","",INDEX(XepLop[[#All],[Giờ đến]],MATCH(XL_THCS_TOAN[[#This Row],[Mã lớp]],XepLop[[#All],[Mã lớp]],0)))</f>
        <v>19h00</v>
      </c>
      <c r="L5" s="8" t="str">
        <f>IF(XL_THCS_TOAN[[#This Row],[Mã lớp]]="","",INDEX(XepLop[[#All],[Giờ về]],MATCH(XL_THCS_TOAN[[#This Row],[Mã lớp]],XepLop[[#All],[Mã lớp]],0)))</f>
        <v>20h30</v>
      </c>
      <c r="M5" s="9"/>
      <c r="N5" s="9" t="s">
        <v>17</v>
      </c>
      <c r="O5" s="9" t="s">
        <v>17</v>
      </c>
      <c r="P5" s="9" t="s">
        <v>17</v>
      </c>
      <c r="Q5" s="9"/>
      <c r="R5" s="9"/>
      <c r="S5" s="9"/>
      <c r="T5" s="12" t="str">
        <f>IF(XL_THCS_TOAN[[#This Row],[Mã lớp]]="","",INDEX(XepLop[[#All],[Phụ trách]],MATCH(XL_THCS_TOAN[[#This Row],[Mã lớp]],XepLop[[#All],[Mã lớp]],0)))</f>
        <v>Đặng Công Danh</v>
      </c>
      <c r="U5" s="9"/>
    </row>
    <row r="6" spans="1:21" customFormat="1" x14ac:dyDescent="0.25">
      <c r="A6" s="11">
        <f>IF(XL_THCS_TOAN[[#This Row],[Mã lớp]]="","",ROW()-ROW(XL_THCS_TOAN[[#Headers],[Mã lớp]]))</f>
        <v>5</v>
      </c>
      <c r="B6" s="9" t="s">
        <v>240</v>
      </c>
      <c r="C6" s="12" t="str">
        <f>IF(XL_THCS_TOAN[[#This Row],[Mã lớp]]="","",INDEX(XepLop[[#All],[Tên lớp]],MATCH(XL_THCS_TOAN[[#This Row],[Mã lớp]],XepLop[[#All],[Mã lớp]],0)))</f>
        <v>Toán THCS - Khối 8</v>
      </c>
      <c r="D6" s="12" t="str">
        <f>IF(XL_THCS_TOAN[[#This Row],[Mã lớp]]="","",INDEX(XepLop[[#All],[Mô tả]],MATCH(XL_THCS_TOAN[[#This Row],[Mã lớp]],XepLop[[#All],[Mã lớp]],0)))</f>
        <v>Lịch chuẩn khối 8</v>
      </c>
      <c r="E6" s="10" t="str">
        <f>IF(XL_THCS_TOAN[[#This Row],[Mã HS]]="","",INDEX(Ds_Nguồn[[#All],[Tên học sinh]],MATCH(XL_THCS_TOAN[[#This Row],[Mã HS]],Ds_Nguồn[[#All],[Mã HS]],0)))</f>
        <v>Đinh Việt Quốc Trang</v>
      </c>
      <c r="F6" s="8" t="s">
        <v>149</v>
      </c>
      <c r="G6" s="8" t="str">
        <f>IF(OR(XL_THCS_TOAN[[#This Row],[Mã HS]]="",XL_THCS_TOAN[[#This Row],[Mã lớp]]=""),"",VLOOKUP(XL_THCS_TOAN[[#This Row],[Mã HS]],Ds_Nguồn[[Mã HS]:[Email]],4,0))</f>
        <v>Lớp 8</v>
      </c>
      <c r="H6" s="12" t="str">
        <f>IF(XL_THCS_TOAN[[#This Row],[Mã lớp]]="","",INDEX(Sản_phẩm[[#All],[Môn học]],MATCH(LEFT(XL_THCS_TOAN[[#This Row],[Mã lớp]],2),Sản_phẩm[[#All],[Kí hiệu]],0)))</f>
        <v>Toán - Trung học cơ sở</v>
      </c>
      <c r="I6" s="8" t="str">
        <f>IF(XL_THCS_TOAN[[#This Row],[Mã lớp]]="","",INDEX(XepLop[[#All],[Ca]],MATCH(B6,XepLop[[#All],[Mã lớp]],0)))</f>
        <v>Tối</v>
      </c>
      <c r="J6" s="12" t="str">
        <f>IF(XL_THCS_TOAN[[#This Row],[Mã lớp]]="","",_xlfn.TEXTJOIN("_",TRUE,INDEX(Data_thamchieu!$AM:$AS,MATCH($B6,Data_thamchieu!$AG:$AG,0),0)))</f>
        <v>Thứ Hai_Thứ Tư_Thứ Sáu</v>
      </c>
      <c r="K6" s="8" t="str">
        <f>IF(XL_THCS_TOAN[[#This Row],[Mã lớp]]="","",INDEX(XepLop[[#All],[Giờ đến]],MATCH(XL_THCS_TOAN[[#This Row],[Mã lớp]],XepLop[[#All],[Mã lớp]],0)))</f>
        <v>19h00</v>
      </c>
      <c r="L6" s="8" t="str">
        <f>IF(XL_THCS_TOAN[[#This Row],[Mã lớp]]="","",INDEX(XepLop[[#All],[Giờ về]],MATCH(XL_THCS_TOAN[[#This Row],[Mã lớp]],XepLop[[#All],[Mã lớp]],0)))</f>
        <v>20h30</v>
      </c>
      <c r="M6" s="9" t="s">
        <v>17</v>
      </c>
      <c r="N6" s="9"/>
      <c r="O6" s="9" t="s">
        <v>17</v>
      </c>
      <c r="P6" s="9"/>
      <c r="Q6" s="9" t="s">
        <v>17</v>
      </c>
      <c r="R6" s="9"/>
      <c r="S6" s="9"/>
      <c r="T6" s="12" t="str">
        <f>IF(XL_THCS_TOAN[[#This Row],[Mã lớp]]="","",INDEX(XepLop[[#All],[Phụ trách]],MATCH(XL_THCS_TOAN[[#This Row],[Mã lớp]],XepLop[[#All],[Mã lớp]],0)))</f>
        <v>Đặng Công Danh</v>
      </c>
      <c r="U6" s="9"/>
    </row>
    <row r="7" spans="1:21" x14ac:dyDescent="0.25">
      <c r="A7" s="11">
        <f>IF(XL_THCS_TOAN[[#This Row],[Mã lớp]]="","",ROW()-ROW(XL_THCS_TOAN[[#Headers],[Mã lớp]]))</f>
        <v>6</v>
      </c>
      <c r="B7" s="8" t="s">
        <v>241</v>
      </c>
      <c r="C7" s="10" t="str">
        <f>IF(XL_THCS_TOAN[[#This Row],[Mã lớp]]="","",INDEX(XepLop[[#All],[Tên lớp]],MATCH(XL_THCS_TOAN[[#This Row],[Mã lớp]],XepLop[[#All],[Mã lớp]],0)))</f>
        <v>Toán THCS - Khối 9</v>
      </c>
      <c r="D7" s="10" t="str">
        <f>IF(XL_THCS_TOAN[[#This Row],[Mã lớp]]="","",INDEX(XepLop[[#All],[Mô tả]],MATCH(XL_THCS_TOAN[[#This Row],[Mã lớp]],XepLop[[#All],[Mã lớp]],0)))</f>
        <v>Lịch chuẩn khối 9</v>
      </c>
      <c r="E7" s="10" t="str">
        <f>IF(XL_THCS_TOAN[[#This Row],[Mã HS]]="","",INDEX(Ds_Nguồn[[#All],[Tên học sinh]],MATCH(XL_THCS_TOAN[[#This Row],[Mã HS]],Ds_Nguồn[[#All],[Mã HS]],0)))</f>
        <v>Nguyễn Lý Thiên Kim</v>
      </c>
      <c r="F7" s="8" t="s">
        <v>151</v>
      </c>
      <c r="G7" s="9" t="str">
        <f>IF(OR(XL_THCS_TOAN[[#This Row],[Mã HS]]="",XL_THCS_TOAN[[#This Row],[Mã lớp]]=""),"",VLOOKUP(XL_THCS_TOAN[[#This Row],[Mã HS]],Ds_Nguồn[[Mã HS]:[Email]],4,0))</f>
        <v>Lớp 8</v>
      </c>
      <c r="H7" s="10" t="str">
        <f>IF(XL_THCS_TOAN[[#This Row],[Mã lớp]]="","",INDEX(Sản_phẩm[[#All],[Môn học]],MATCH(LEFT(XL_THCS_TOAN[[#This Row],[Mã lớp]],2),Sản_phẩm[[#All],[Kí hiệu]],0)))</f>
        <v>Toán - Trung học cơ sở</v>
      </c>
      <c r="I7" s="9" t="str">
        <f>IF(XL_THCS_TOAN[[#This Row],[Mã lớp]]="","",INDEX(XepLop[[#All],[Ca]],MATCH(B7,XepLop[[#All],[Mã lớp]],0)))</f>
        <v>Chiều</v>
      </c>
      <c r="J7" s="10" t="str">
        <f>IF(XL_THCS_TOAN[[#This Row],[Mã lớp]]="","",_xlfn.TEXTJOIN("_",TRUE,INDEX(Data_thamchieu!$AM:$AS,MATCH($B7,Data_thamchieu!$AG:$AG,0),0)))</f>
        <v>Thứ Ba_Thứ Tư_Thứ Năm</v>
      </c>
      <c r="K7" s="9" t="str">
        <f>IF(XL_THCS_TOAN[[#This Row],[Mã lớp]]="","",INDEX(XepLop[[#All],[Giờ đến]],MATCH(XL_THCS_TOAN[[#This Row],[Mã lớp]],XepLop[[#All],[Mã lớp]],0)))</f>
        <v>19h00</v>
      </c>
      <c r="L7" s="9" t="str">
        <f>IF(XL_THCS_TOAN[[#This Row],[Mã lớp]]="","",INDEX(XepLop[[#All],[Giờ về]],MATCH(XL_THCS_TOAN[[#This Row],[Mã lớp]],XepLop[[#All],[Mã lớp]],0)))</f>
        <v>20h30</v>
      </c>
      <c r="N7" s="9" t="s">
        <v>17</v>
      </c>
      <c r="O7" s="9" t="s">
        <v>17</v>
      </c>
      <c r="P7" s="9" t="s">
        <v>17</v>
      </c>
      <c r="T7" s="10" t="str">
        <f>IF(XL_THCS_TOAN[[#This Row],[Mã lớp]]="","",INDEX(XepLop[[#All],[Phụ trách]],MATCH(XL_THCS_TOAN[[#This Row],[Mã lớp]],XepLop[[#All],[Mã lớp]],0)))</f>
        <v>Đặng Công Danh</v>
      </c>
    </row>
    <row r="8" spans="1:21" customFormat="1" x14ac:dyDescent="0.25">
      <c r="A8" s="11">
        <f>IF(XL_THCS_TOAN[[#This Row],[Mã lớp]]="","",ROW()-ROW(XL_THCS_TOAN[[#Headers],[Mã lớp]]))</f>
        <v>7</v>
      </c>
      <c r="B8" s="8" t="s">
        <v>238</v>
      </c>
      <c r="C8" s="12" t="str">
        <f>IF(XL_THCS_TOAN[[#This Row],[Mã lớp]]="","",INDEX(XepLop[[#All],[Tên lớp]],MATCH(XL_THCS_TOAN[[#This Row],[Mã lớp]],XepLop[[#All],[Mã lớp]],0)))</f>
        <v>Toán THCS - Khối 6</v>
      </c>
      <c r="D8" s="12" t="str">
        <f>IF(XL_THCS_TOAN[[#This Row],[Mã lớp]]="","",INDEX(XepLop[[#All],[Mô tả]],MATCH(XL_THCS_TOAN[[#This Row],[Mã lớp]],XepLop[[#All],[Mã lớp]],0)))</f>
        <v>Lịch chuẩn khối 6</v>
      </c>
      <c r="E8" s="10" t="str">
        <f>IF(XL_THCS_TOAN[[#This Row],[Mã HS]]="","",INDEX(Ds_Nguồn[[#All],[Tên học sinh]],MATCH(XL_THCS_TOAN[[#This Row],[Mã HS]],Ds_Nguồn[[#All],[Mã HS]],0)))</f>
        <v>Nguyễn Lý Thiên Phúc</v>
      </c>
      <c r="F8" s="8" t="s">
        <v>152</v>
      </c>
      <c r="G8" s="8" t="str">
        <f>IF(OR(XL_THCS_TOAN[[#This Row],[Mã HS]]="",XL_THCS_TOAN[[#This Row],[Mã lớp]]=""),"",VLOOKUP(XL_THCS_TOAN[[#This Row],[Mã HS]],Ds_Nguồn[[Mã HS]:[Email]],4,0))</f>
        <v>Lớp 6</v>
      </c>
      <c r="H8" s="12" t="str">
        <f>IF(XL_THCS_TOAN[[#This Row],[Mã lớp]]="","",INDEX(Sản_phẩm[[#All],[Môn học]],MATCH(LEFT(XL_THCS_TOAN[[#This Row],[Mã lớp]],2),Sản_phẩm[[#All],[Kí hiệu]],0)))</f>
        <v>Toán - Trung học cơ sở</v>
      </c>
      <c r="I8" s="8" t="str">
        <f>IF(XL_THCS_TOAN[[#This Row],[Mã lớp]]="","",INDEX(XepLop[[#All],[Ca]],MATCH(B8,XepLop[[#All],[Mã lớp]],0)))</f>
        <v>Tối</v>
      </c>
      <c r="J8" s="12" t="str">
        <f>IF(XL_THCS_TOAN[[#This Row],[Mã lớp]]="","",_xlfn.TEXTJOIN("_",TRUE,INDEX(Data_thamchieu!$AM:$AS,MATCH($B8,Data_thamchieu!$AG:$AG,0),0)))</f>
        <v>Thứ Hai_Thứ Tư_Thứ Sáu</v>
      </c>
      <c r="K8" s="8" t="str">
        <f>IF(XL_THCS_TOAN[[#This Row],[Mã lớp]]="","",INDEX(XepLop[[#All],[Giờ đến]],MATCH(XL_THCS_TOAN[[#This Row],[Mã lớp]],XepLop[[#All],[Mã lớp]],0)))</f>
        <v>19h00</v>
      </c>
      <c r="L8" s="8" t="str">
        <f>IF(XL_THCS_TOAN[[#This Row],[Mã lớp]]="","",INDEX(XepLop[[#All],[Giờ về]],MATCH(XL_THCS_TOAN[[#This Row],[Mã lớp]],XepLop[[#All],[Mã lớp]],0)))</f>
        <v>20h30</v>
      </c>
      <c r="M8" s="9" t="s">
        <v>73</v>
      </c>
      <c r="N8" s="9"/>
      <c r="O8" s="9" t="s">
        <v>73</v>
      </c>
      <c r="P8" s="9"/>
      <c r="Q8" s="9" t="s">
        <v>8</v>
      </c>
      <c r="R8" s="9"/>
      <c r="S8" s="9"/>
      <c r="T8" s="12" t="str">
        <f>IF(XL_THCS_TOAN[[#This Row],[Mã lớp]]="","",INDEX(XepLop[[#All],[Phụ trách]],MATCH(XL_THCS_TOAN[[#This Row],[Mã lớp]],XepLop[[#All],[Mã lớp]],0)))</f>
        <v>Võ Thành Nguyên</v>
      </c>
      <c r="U8" s="9"/>
    </row>
    <row r="9" spans="1:21" x14ac:dyDescent="0.25">
      <c r="A9" s="11">
        <f>IF(XL_THCS_TOAN[[#This Row],[Mã lớp]]="","",ROW()-ROW(XL_THCS_TOAN[[#Headers],[Mã lớp]]))</f>
        <v>8</v>
      </c>
      <c r="B9" s="8" t="s">
        <v>239</v>
      </c>
      <c r="C9" s="10" t="str">
        <f>IF(XL_THCS_TOAN[[#This Row],[Mã lớp]]="","",INDEX(XepLop[[#All],[Tên lớp]],MATCH(XL_THCS_TOAN[[#This Row],[Mã lớp]],XepLop[[#All],[Mã lớp]],0)))</f>
        <v>Toán THCS - Khối 7</v>
      </c>
      <c r="D9" s="10" t="str">
        <f>IF(XL_THCS_TOAN[[#This Row],[Mã lớp]]="","",INDEX(XepLop[[#All],[Mô tả]],MATCH(XL_THCS_TOAN[[#This Row],[Mã lớp]],XepLop[[#All],[Mã lớp]],0)))</f>
        <v>Lịch chuẩn khối 7</v>
      </c>
      <c r="E9" s="10" t="str">
        <f>IF(XL_THCS_TOAN[[#This Row],[Mã HS]]="","",INDEX(Ds_Nguồn[[#All],[Tên học sinh]],MATCH(XL_THCS_TOAN[[#This Row],[Mã HS]],Ds_Nguồn[[#All],[Mã HS]],0)))</f>
        <v>Bùi Phan Thiên Phú</v>
      </c>
      <c r="F9" s="8" t="s">
        <v>154</v>
      </c>
      <c r="G9" s="9" t="str">
        <f>IF(OR(XL_THCS_TOAN[[#This Row],[Mã HS]]="",XL_THCS_TOAN[[#This Row],[Mã lớp]]=""),"",VLOOKUP(XL_THCS_TOAN[[#This Row],[Mã HS]],Ds_Nguồn[[Mã HS]:[Email]],4,0))</f>
        <v>Lớp 6</v>
      </c>
      <c r="H9" s="10" t="str">
        <f>IF(XL_THCS_TOAN[[#This Row],[Mã lớp]]="","",INDEX(Sản_phẩm[[#All],[Môn học]],MATCH(LEFT(XL_THCS_TOAN[[#This Row],[Mã lớp]],2),Sản_phẩm[[#All],[Kí hiệu]],0)))</f>
        <v>Toán - Trung học cơ sở</v>
      </c>
      <c r="I9" s="9" t="str">
        <f>IF(XL_THCS_TOAN[[#This Row],[Mã lớp]]="","",INDEX(XepLop[[#All],[Ca]],MATCH(B9,XepLop[[#All],[Mã lớp]],0)))</f>
        <v>Tối</v>
      </c>
      <c r="J9" s="12" t="str">
        <f>IF(XL_THCS_TOAN[[#This Row],[Mã lớp]]="","",_xlfn.TEXTJOIN("_",TRUE,INDEX(Data_thamchieu!$AM:$AS,MATCH($B9,Data_thamchieu!$AG:$AG,0),0)))</f>
        <v>Thứ Hai_Thứ Tư_Thứ Sáu</v>
      </c>
      <c r="K9" s="9" t="str">
        <f>IF(XL_THCS_TOAN[[#This Row],[Mã lớp]]="","",INDEX(XepLop[[#All],[Giờ đến]],MATCH(XL_THCS_TOAN[[#This Row],[Mã lớp]],XepLop[[#All],[Mã lớp]],0)))</f>
        <v>19h00</v>
      </c>
      <c r="L9" s="9" t="str">
        <f>IF(XL_THCS_TOAN[[#This Row],[Mã lớp]]="","",INDEX(XepLop[[#All],[Giờ về]],MATCH(XL_THCS_TOAN[[#This Row],[Mã lớp]],XepLop[[#All],[Mã lớp]],0)))</f>
        <v>20h30</v>
      </c>
      <c r="M9" s="9" t="s">
        <v>73</v>
      </c>
      <c r="O9" s="9" t="s">
        <v>73</v>
      </c>
      <c r="Q9" s="9" t="s">
        <v>8</v>
      </c>
      <c r="T9" s="10" t="str">
        <f>IF(XL_THCS_TOAN[[#This Row],[Mã lớp]]="","",INDEX(XepLop[[#All],[Phụ trách]],MATCH(XL_THCS_TOAN[[#This Row],[Mã lớp]],XepLop[[#All],[Mã lớp]],0)))</f>
        <v>Võ Thành Nguyên</v>
      </c>
    </row>
    <row r="10" spans="1:21" x14ac:dyDescent="0.25">
      <c r="A10" s="11">
        <f>IF(XL_THCS_TOAN[[#This Row],[Mã lớp]]="","",ROW()-ROW(XL_THCS_TOAN[[#Headers],[Mã lớp]]))</f>
        <v>9</v>
      </c>
      <c r="B10" s="8" t="s">
        <v>239</v>
      </c>
      <c r="C10" s="10" t="str">
        <f>IF(XL_THCS_TOAN[[#This Row],[Mã lớp]]="","",INDEX(XepLop[[#All],[Tên lớp]],MATCH(XL_THCS_TOAN[[#This Row],[Mã lớp]],XepLop[[#All],[Mã lớp]],0)))</f>
        <v>Toán THCS - Khối 7</v>
      </c>
      <c r="D10" s="10" t="str">
        <f>IF(XL_THCS_TOAN[[#This Row],[Mã lớp]]="","",INDEX(XepLop[[#All],[Mô tả]],MATCH(XL_THCS_TOAN[[#This Row],[Mã lớp]],XepLop[[#All],[Mã lớp]],0)))</f>
        <v>Lịch chuẩn khối 7</v>
      </c>
      <c r="E10" s="10" t="str">
        <f>IF(XL_THCS_TOAN[[#This Row],[Mã HS]]="","",INDEX(Ds_Nguồn[[#All],[Tên học sinh]],MATCH(XL_THCS_TOAN[[#This Row],[Mã HS]],Ds_Nguồn[[#All],[Mã HS]],0)))</f>
        <v>Nguyễn Hữu Vinh</v>
      </c>
      <c r="F10" s="8" t="s">
        <v>158</v>
      </c>
      <c r="G10" s="9" t="str">
        <f>IF(OR(XL_THCS_TOAN[[#This Row],[Mã HS]]="",XL_THCS_TOAN[[#This Row],[Mã lớp]]=""),"",VLOOKUP(XL_THCS_TOAN[[#This Row],[Mã HS]],Ds_Nguồn[[Mã HS]:[Email]],4,0))</f>
        <v>Lớp 6</v>
      </c>
      <c r="H10" s="10" t="str">
        <f>IF(XL_THCS_TOAN[[#This Row],[Mã lớp]]="","",INDEX(Sản_phẩm[[#All],[Môn học]],MATCH(LEFT(XL_THCS_TOAN[[#This Row],[Mã lớp]],2),Sản_phẩm[[#All],[Kí hiệu]],0)))</f>
        <v>Toán - Trung học cơ sở</v>
      </c>
      <c r="I10" s="9" t="str">
        <f>IF(XL_THCS_TOAN[[#This Row],[Mã lớp]]="","",INDEX(XepLop[[#All],[Ca]],MATCH(B10,XepLop[[#All],[Mã lớp]],0)))</f>
        <v>Tối</v>
      </c>
      <c r="J10" s="12" t="str">
        <f>IF(XL_THCS_TOAN[[#This Row],[Mã lớp]]="","",_xlfn.TEXTJOIN("_",TRUE,INDEX(Data_thamchieu!$AM:$AS,MATCH($B10,Data_thamchieu!$AG:$AG,0),0)))</f>
        <v>Thứ Hai_Thứ Tư_Thứ Sáu</v>
      </c>
      <c r="K10" s="9" t="str">
        <f>IF(XL_THCS_TOAN[[#This Row],[Mã lớp]]="","",INDEX(XepLop[[#All],[Giờ đến]],MATCH(XL_THCS_TOAN[[#This Row],[Mã lớp]],XepLop[[#All],[Mã lớp]],0)))</f>
        <v>19h00</v>
      </c>
      <c r="L10" s="9" t="str">
        <f>IF(XL_THCS_TOAN[[#This Row],[Mã lớp]]="","",INDEX(XepLop[[#All],[Giờ về]],MATCH(XL_THCS_TOAN[[#This Row],[Mã lớp]],XepLop[[#All],[Mã lớp]],0)))</f>
        <v>20h30</v>
      </c>
      <c r="M10" s="9" t="s">
        <v>73</v>
      </c>
      <c r="O10" s="9" t="s">
        <v>73</v>
      </c>
      <c r="Q10" s="9" t="s">
        <v>8</v>
      </c>
      <c r="T10" s="10" t="str">
        <f>IF(XL_THCS_TOAN[[#This Row],[Mã lớp]]="","",INDEX(XepLop[[#All],[Phụ trách]],MATCH(XL_THCS_TOAN[[#This Row],[Mã lớp]],XepLop[[#All],[Mã lớp]],0)))</f>
        <v>Võ Thành Nguyên</v>
      </c>
    </row>
    <row r="11" spans="1:21" x14ac:dyDescent="0.25">
      <c r="A11" s="11">
        <f>IF(XL_THCS_TOAN[[#This Row],[Mã lớp]]="","",ROW()-ROW(XL_THCS_TOAN[[#Headers],[Mã lớp]]))</f>
        <v>10</v>
      </c>
      <c r="B11" s="9" t="s">
        <v>240</v>
      </c>
      <c r="C11" s="10" t="str">
        <f>IF(XL_THCS_TOAN[[#This Row],[Mã lớp]]="","",INDEX(XepLop[[#All],[Tên lớp]],MATCH(XL_THCS_TOAN[[#This Row],[Mã lớp]],XepLop[[#All],[Mã lớp]],0)))</f>
        <v>Toán THCS - Khối 8</v>
      </c>
      <c r="D11" s="10" t="str">
        <f>IF(XL_THCS_TOAN[[#This Row],[Mã lớp]]="","",INDEX(XepLop[[#All],[Mô tả]],MATCH(XL_THCS_TOAN[[#This Row],[Mã lớp]],XepLop[[#All],[Mã lớp]],0)))</f>
        <v>Lịch chuẩn khối 8</v>
      </c>
      <c r="E11" s="10" t="str">
        <f>IF(XL_THCS_TOAN[[#This Row],[Mã HS]]="","",INDEX(Ds_Nguồn[[#All],[Tên học sinh]],MATCH(XL_THCS_TOAN[[#This Row],[Mã HS]],Ds_Nguồn[[#All],[Mã HS]],0)))</f>
        <v>Trần Minh Thư</v>
      </c>
      <c r="F11" s="8" t="s">
        <v>161</v>
      </c>
      <c r="G11" s="9" t="str">
        <f>IF(OR(XL_THCS_TOAN[[#This Row],[Mã HS]]="",XL_THCS_TOAN[[#This Row],[Mã lớp]]=""),"",VLOOKUP(XL_THCS_TOAN[[#This Row],[Mã HS]],Ds_Nguồn[[Mã HS]:[Email]],4,0))</f>
        <v>Lớp 7</v>
      </c>
      <c r="H11" s="10" t="str">
        <f>IF(XL_THCS_TOAN[[#This Row],[Mã lớp]]="","",INDEX(Sản_phẩm[[#All],[Môn học]],MATCH(LEFT(XL_THCS_TOAN[[#This Row],[Mã lớp]],2),Sản_phẩm[[#All],[Kí hiệu]],0)))</f>
        <v>Toán - Trung học cơ sở</v>
      </c>
      <c r="I11" s="9" t="str">
        <f>IF(XL_THCS_TOAN[[#This Row],[Mã lớp]]="","",INDEX(XepLop[[#All],[Ca]],MATCH(B11,XepLop[[#All],[Mã lớp]],0)))</f>
        <v>Tối</v>
      </c>
      <c r="J11" s="12" t="str">
        <f>IF(XL_THCS_TOAN[[#This Row],[Mã lớp]]="","",_xlfn.TEXTJOIN("_",TRUE,INDEX(Data_thamchieu!$AM:$AS,MATCH($B11,Data_thamchieu!$AG:$AG,0),0)))</f>
        <v>Thứ Hai_Thứ Tư_Thứ Sáu</v>
      </c>
      <c r="K11" s="9" t="str">
        <f>IF(XL_THCS_TOAN[[#This Row],[Mã lớp]]="","",INDEX(XepLop[[#All],[Giờ đến]],MATCH(XL_THCS_TOAN[[#This Row],[Mã lớp]],XepLop[[#All],[Mã lớp]],0)))</f>
        <v>19h00</v>
      </c>
      <c r="L11" s="9" t="str">
        <f>IF(XL_THCS_TOAN[[#This Row],[Mã lớp]]="","",INDEX(XepLop[[#All],[Giờ về]],MATCH(XL_THCS_TOAN[[#This Row],[Mã lớp]],XepLop[[#All],[Mã lớp]],0)))</f>
        <v>20h30</v>
      </c>
      <c r="M11" s="9" t="s">
        <v>17</v>
      </c>
      <c r="O11" s="9" t="s">
        <v>17</v>
      </c>
      <c r="Q11" s="9" t="s">
        <v>17</v>
      </c>
      <c r="T11" s="10" t="str">
        <f>IF(XL_THCS_TOAN[[#This Row],[Mã lớp]]="","",INDEX(XepLop[[#All],[Phụ trách]],MATCH(XL_THCS_TOAN[[#This Row],[Mã lớp]],XepLop[[#All],[Mã lớp]],0)))</f>
        <v>Đặng Công Danh</v>
      </c>
    </row>
    <row r="12" spans="1:21" x14ac:dyDescent="0.25">
      <c r="A12" s="11">
        <f>IF(XL_THCS_TOAN[[#This Row],[Mã lớp]]="","",ROW()-ROW(XL_THCS_TOAN[[#Headers],[Mã lớp]]))</f>
        <v>11</v>
      </c>
      <c r="B12" s="8" t="s">
        <v>241</v>
      </c>
      <c r="C12" s="10" t="str">
        <f>IF(XL_THCS_TOAN[[#This Row],[Mã lớp]]="","",INDEX(XepLop[[#All],[Tên lớp]],MATCH(XL_THCS_TOAN[[#This Row],[Mã lớp]],XepLop[[#All],[Mã lớp]],0)))</f>
        <v>Toán THCS - Khối 9</v>
      </c>
      <c r="D12" s="10" t="str">
        <f>IF(XL_THCS_TOAN[[#This Row],[Mã lớp]]="","",INDEX(XepLop[[#All],[Mô tả]],MATCH(XL_THCS_TOAN[[#This Row],[Mã lớp]],XepLop[[#All],[Mã lớp]],0)))</f>
        <v>Lịch chuẩn khối 9</v>
      </c>
      <c r="E12" s="10" t="str">
        <f>IF(XL_THCS_TOAN[[#This Row],[Mã HS]]="","",INDEX(Ds_Nguồn[[#All],[Tên học sinh]],MATCH(XL_THCS_TOAN[[#This Row],[Mã HS]],Ds_Nguồn[[#All],[Mã HS]],0)))</f>
        <v>Hồ Đăng Khôi</v>
      </c>
      <c r="F12" s="8" t="s">
        <v>165</v>
      </c>
      <c r="G12" s="9" t="str">
        <f>IF(OR(XL_THCS_TOAN[[#This Row],[Mã HS]]="",XL_THCS_TOAN[[#This Row],[Mã lớp]]=""),"",VLOOKUP(XL_THCS_TOAN[[#This Row],[Mã HS]],Ds_Nguồn[[Mã HS]:[Email]],4,0))</f>
        <v>Lớp 8</v>
      </c>
      <c r="H12" s="10" t="str">
        <f>IF(XL_THCS_TOAN[[#This Row],[Mã lớp]]="","",INDEX(Sản_phẩm[[#All],[Môn học]],MATCH(LEFT(XL_THCS_TOAN[[#This Row],[Mã lớp]],2),Sản_phẩm[[#All],[Kí hiệu]],0)))</f>
        <v>Toán - Trung học cơ sở</v>
      </c>
      <c r="I12" s="9" t="str">
        <f>IF(XL_THCS_TOAN[[#This Row],[Mã lớp]]="","",INDEX(XepLop[[#All],[Ca]],MATCH(B12,XepLop[[#All],[Mã lớp]],0)))</f>
        <v>Chiều</v>
      </c>
      <c r="J12" s="12" t="str">
        <f>IF(XL_THCS_TOAN[[#This Row],[Mã lớp]]="","",_xlfn.TEXTJOIN("_",TRUE,INDEX(Data_thamchieu!$AM:$AS,MATCH($B12,Data_thamchieu!$AG:$AG,0),0)))</f>
        <v>Thứ Ba_Thứ Tư_Thứ Năm</v>
      </c>
      <c r="K12" s="9" t="str">
        <f>IF(XL_THCS_TOAN[[#This Row],[Mã lớp]]="","",INDEX(XepLop[[#All],[Giờ đến]],MATCH(XL_THCS_TOAN[[#This Row],[Mã lớp]],XepLop[[#All],[Mã lớp]],0)))</f>
        <v>19h00</v>
      </c>
      <c r="L12" s="9" t="str">
        <f>IF(XL_THCS_TOAN[[#This Row],[Mã lớp]]="","",INDEX(XepLop[[#All],[Giờ về]],MATCH(XL_THCS_TOAN[[#This Row],[Mã lớp]],XepLop[[#All],[Mã lớp]],0)))</f>
        <v>20h30</v>
      </c>
      <c r="N12" s="9" t="s">
        <v>17</v>
      </c>
      <c r="O12" s="9" t="s">
        <v>17</v>
      </c>
      <c r="P12" s="9" t="s">
        <v>17</v>
      </c>
      <c r="T12" s="10" t="str">
        <f>IF(XL_THCS_TOAN[[#This Row],[Mã lớp]]="","",INDEX(XepLop[[#All],[Phụ trách]],MATCH(XL_THCS_TOAN[[#This Row],[Mã lớp]],XepLop[[#All],[Mã lớp]],0)))</f>
        <v>Đặng Công Danh</v>
      </c>
    </row>
    <row r="13" spans="1:21" customFormat="1" x14ac:dyDescent="0.25">
      <c r="A13" s="11">
        <f>IF(XL_THCS_TOAN[[#This Row],[Mã lớp]]="","",ROW()-ROW(XL_THCS_TOAN[[#Headers],[Mã lớp]]))</f>
        <v>12</v>
      </c>
      <c r="B13" s="8" t="s">
        <v>239</v>
      </c>
      <c r="C13" s="12" t="str">
        <f>IF(XL_THCS_TOAN[[#This Row],[Mã lớp]]="","",INDEX(XepLop[[#All],[Tên lớp]],MATCH(XL_THCS_TOAN[[#This Row],[Mã lớp]],XepLop[[#All],[Mã lớp]],0)))</f>
        <v>Toán THCS - Khối 7</v>
      </c>
      <c r="D13" s="12" t="str">
        <f>IF(XL_THCS_TOAN[[#This Row],[Mã lớp]]="","",INDEX(XepLop[[#All],[Mô tả]],MATCH(XL_THCS_TOAN[[#This Row],[Mã lớp]],XepLop[[#All],[Mã lớp]],0)))</f>
        <v>Lịch chuẩn khối 7</v>
      </c>
      <c r="E13" s="10" t="str">
        <f>IF(XL_THCS_TOAN[[#This Row],[Mã HS]]="","",INDEX(Ds_Nguồn[[#All],[Tên học sinh]],MATCH(XL_THCS_TOAN[[#This Row],[Mã HS]],Ds_Nguồn[[#All],[Mã HS]],0)))</f>
        <v>Huỳnh Ngọc Kim Anh</v>
      </c>
      <c r="F13" s="8" t="s">
        <v>167</v>
      </c>
      <c r="G13" s="8" t="str">
        <f>IF(OR(XL_THCS_TOAN[[#This Row],[Mã HS]]="",XL_THCS_TOAN[[#This Row],[Mã lớp]]=""),"",VLOOKUP(XL_THCS_TOAN[[#This Row],[Mã HS]],Ds_Nguồn[[Mã HS]:[Email]],4,0))</f>
        <v>Lớp 7</v>
      </c>
      <c r="H13" s="12" t="str">
        <f>IF(XL_THCS_TOAN[[#This Row],[Mã lớp]]="","",INDEX(Sản_phẩm[[#All],[Môn học]],MATCH(LEFT(XL_THCS_TOAN[[#This Row],[Mã lớp]],2),Sản_phẩm[[#All],[Kí hiệu]],0)))</f>
        <v>Toán - Trung học cơ sở</v>
      </c>
      <c r="I13" s="9" t="str">
        <f>IF(XL_THCS_TOAN[[#This Row],[Mã lớp]]="","",INDEX(XepLop[[#All],[Ca]],MATCH(B13,XepLop[[#All],[Mã lớp]],0)))</f>
        <v>Tối</v>
      </c>
      <c r="J13" s="12" t="str">
        <f>IF(XL_THCS_TOAN[[#This Row],[Mã lớp]]="","",_xlfn.TEXTJOIN("_",TRUE,INDEX(Data_thamchieu!$AM:$AS,MATCH($B13,Data_thamchieu!$AG:$AG,0),0)))</f>
        <v>Thứ Hai_Thứ Tư_Thứ Sáu</v>
      </c>
      <c r="K13" s="8" t="str">
        <f>IF(XL_THCS_TOAN[[#This Row],[Mã lớp]]="","",INDEX(XepLop[[#All],[Giờ đến]],MATCH(XL_THCS_TOAN[[#This Row],[Mã lớp]],XepLop[[#All],[Mã lớp]],0)))</f>
        <v>19h00</v>
      </c>
      <c r="L13" s="8" t="str">
        <f>IF(XL_THCS_TOAN[[#This Row],[Mã lớp]]="","",INDEX(XepLop[[#All],[Giờ về]],MATCH(XL_THCS_TOAN[[#This Row],[Mã lớp]],XepLop[[#All],[Mã lớp]],0)))</f>
        <v>20h30</v>
      </c>
      <c r="M13" s="9" t="s">
        <v>73</v>
      </c>
      <c r="N13" s="9"/>
      <c r="O13" s="9" t="s">
        <v>73</v>
      </c>
      <c r="P13" s="9"/>
      <c r="Q13" s="9" t="s">
        <v>8</v>
      </c>
      <c r="R13" s="9"/>
      <c r="S13" s="9"/>
      <c r="T13" s="12" t="str">
        <f>IF(XL_THCS_TOAN[[#This Row],[Mã lớp]]="","",INDEX(XepLop[[#All],[Phụ trách]],MATCH(XL_THCS_TOAN[[#This Row],[Mã lớp]],XepLop[[#All],[Mã lớp]],0)))</f>
        <v>Võ Thành Nguyên</v>
      </c>
      <c r="U13" s="9"/>
    </row>
    <row r="14" spans="1:21" customFormat="1" x14ac:dyDescent="0.25">
      <c r="A14" s="11">
        <f>IF(XL_THCS_TOAN[[#This Row],[Mã lớp]]="","",ROW()-ROW(XL_THCS_TOAN[[#Headers],[Mã lớp]]))</f>
        <v>13</v>
      </c>
      <c r="B14" s="8" t="s">
        <v>239</v>
      </c>
      <c r="C14" s="12" t="str">
        <f>IF(XL_THCS_TOAN[[#This Row],[Mã lớp]]="","",INDEX(XepLop[[#All],[Tên lớp]],MATCH(XL_THCS_TOAN[[#This Row],[Mã lớp]],XepLop[[#All],[Mã lớp]],0)))</f>
        <v>Toán THCS - Khối 7</v>
      </c>
      <c r="D14" s="12" t="str">
        <f>IF(XL_THCS_TOAN[[#This Row],[Mã lớp]]="","",INDEX(XepLop[[#All],[Mô tả]],MATCH(XL_THCS_TOAN[[#This Row],[Mã lớp]],XepLop[[#All],[Mã lớp]],0)))</f>
        <v>Lịch chuẩn khối 7</v>
      </c>
      <c r="E14" s="10" t="str">
        <f>IF(XL_THCS_TOAN[[#This Row],[Mã HS]]="","",INDEX(Ds_Nguồn[[#All],[Tên học sinh]],MATCH(XL_THCS_TOAN[[#This Row],[Mã HS]],Ds_Nguồn[[#All],[Mã HS]],0)))</f>
        <v>Đỗ Hoàng Thục Khuê</v>
      </c>
      <c r="F14" s="8" t="s">
        <v>169</v>
      </c>
      <c r="G14" s="8" t="str">
        <f>IF(OR(XL_THCS_TOAN[[#This Row],[Mã HS]]="",XL_THCS_TOAN[[#This Row],[Mã lớp]]=""),"",VLOOKUP(XL_THCS_TOAN[[#This Row],[Mã HS]],Ds_Nguồn[[Mã HS]:[Email]],4,0))</f>
        <v>Lớp 6</v>
      </c>
      <c r="H14" s="12" t="str">
        <f>IF(XL_THCS_TOAN[[#This Row],[Mã lớp]]="","",INDEX(Sản_phẩm[[#All],[Môn học]],MATCH(LEFT(XL_THCS_TOAN[[#This Row],[Mã lớp]],2),Sản_phẩm[[#All],[Kí hiệu]],0)))</f>
        <v>Toán - Trung học cơ sở</v>
      </c>
      <c r="I14" s="9" t="str">
        <f>IF(XL_THCS_TOAN[[#This Row],[Mã lớp]]="","",INDEX(XepLop[[#All],[Ca]],MATCH(B14,XepLop[[#All],[Mã lớp]],0)))</f>
        <v>Tối</v>
      </c>
      <c r="J14" s="12" t="str">
        <f>IF(XL_THCS_TOAN[[#This Row],[Mã lớp]]="","",_xlfn.TEXTJOIN("_",TRUE,INDEX(Data_thamchieu!$AM:$AS,MATCH($B14,Data_thamchieu!$AG:$AG,0),0)))</f>
        <v>Thứ Hai_Thứ Tư_Thứ Sáu</v>
      </c>
      <c r="K14" s="8" t="str">
        <f>IF(XL_THCS_TOAN[[#This Row],[Mã lớp]]="","",INDEX(XepLop[[#All],[Giờ đến]],MATCH(XL_THCS_TOAN[[#This Row],[Mã lớp]],XepLop[[#All],[Mã lớp]],0)))</f>
        <v>19h00</v>
      </c>
      <c r="L14" s="8" t="str">
        <f>IF(XL_THCS_TOAN[[#This Row],[Mã lớp]]="","",INDEX(XepLop[[#All],[Giờ về]],MATCH(XL_THCS_TOAN[[#This Row],[Mã lớp]],XepLop[[#All],[Mã lớp]],0)))</f>
        <v>20h30</v>
      </c>
      <c r="M14" s="9" t="s">
        <v>73</v>
      </c>
      <c r="N14" s="9"/>
      <c r="O14" s="9" t="s">
        <v>73</v>
      </c>
      <c r="P14" s="9"/>
      <c r="Q14" s="9" t="s">
        <v>8</v>
      </c>
      <c r="R14" s="9"/>
      <c r="S14" s="9"/>
      <c r="T14" s="12" t="str">
        <f>IF(XL_THCS_TOAN[[#This Row],[Mã lớp]]="","",INDEX(XepLop[[#All],[Phụ trách]],MATCH(XL_THCS_TOAN[[#This Row],[Mã lớp]],XepLop[[#All],[Mã lớp]],0)))</f>
        <v>Võ Thành Nguyên</v>
      </c>
      <c r="U14" s="9"/>
    </row>
    <row r="15" spans="1:21" customFormat="1" x14ac:dyDescent="0.25">
      <c r="A15" s="11">
        <f>IF(XL_THCS_TOAN[[#This Row],[Mã lớp]]="","",ROW()-ROW(XL_THCS_TOAN[[#Headers],[Mã lớp]]))</f>
        <v>14</v>
      </c>
      <c r="B15" s="8" t="s">
        <v>241</v>
      </c>
      <c r="C15" s="12" t="str">
        <f>IF(XL_THCS_TOAN[[#This Row],[Mã lớp]]="","",INDEX(XepLop[[#All],[Tên lớp]],MATCH(XL_THCS_TOAN[[#This Row],[Mã lớp]],XepLop[[#All],[Mã lớp]],0)))</f>
        <v>Toán THCS - Khối 9</v>
      </c>
      <c r="D15" s="12" t="str">
        <f>IF(XL_THCS_TOAN[[#This Row],[Mã lớp]]="","",INDEX(XepLop[[#All],[Mô tả]],MATCH(XL_THCS_TOAN[[#This Row],[Mã lớp]],XepLop[[#All],[Mã lớp]],0)))</f>
        <v>Lịch chuẩn khối 9</v>
      </c>
      <c r="E15" s="10" t="str">
        <f>IF(XL_THCS_TOAN[[#This Row],[Mã HS]]="","",INDEX(Ds_Nguồn[[#All],[Tên học sinh]],MATCH(XL_THCS_TOAN[[#This Row],[Mã HS]],Ds_Nguồn[[#All],[Mã HS]],0)))</f>
        <v>Trần Đăng Khoa</v>
      </c>
      <c r="F15" s="8" t="s">
        <v>172</v>
      </c>
      <c r="G15" s="8" t="str">
        <f>IF(OR(XL_THCS_TOAN[[#This Row],[Mã HS]]="",XL_THCS_TOAN[[#This Row],[Mã lớp]]=""),"",VLOOKUP(XL_THCS_TOAN[[#This Row],[Mã HS]],Ds_Nguồn[[Mã HS]:[Email]],4,0))</f>
        <v>Lớp 8</v>
      </c>
      <c r="H15" s="12" t="str">
        <f>IF(XL_THCS_TOAN[[#This Row],[Mã lớp]]="","",INDEX(Sản_phẩm[[#All],[Môn học]],MATCH(LEFT(XL_THCS_TOAN[[#This Row],[Mã lớp]],2),Sản_phẩm[[#All],[Kí hiệu]],0)))</f>
        <v>Toán - Trung học cơ sở</v>
      </c>
      <c r="I15" s="9" t="str">
        <f>IF(XL_THCS_TOAN[[#This Row],[Mã lớp]]="","",INDEX(XepLop[[#All],[Ca]],MATCH(B15,XepLop[[#All],[Mã lớp]],0)))</f>
        <v>Chiều</v>
      </c>
      <c r="J15" s="12" t="str">
        <f>IF(XL_THCS_TOAN[[#This Row],[Mã lớp]]="","",_xlfn.TEXTJOIN("_",TRUE,INDEX(Data_thamchieu!$AM:$AS,MATCH($B15,Data_thamchieu!$AG:$AG,0),0)))</f>
        <v>Thứ Ba_Thứ Tư_Thứ Năm</v>
      </c>
      <c r="K15" s="8" t="str">
        <f>IF(XL_THCS_TOAN[[#This Row],[Mã lớp]]="","",INDEX(XepLop[[#All],[Giờ đến]],MATCH(XL_THCS_TOAN[[#This Row],[Mã lớp]],XepLop[[#All],[Mã lớp]],0)))</f>
        <v>19h00</v>
      </c>
      <c r="L15" s="8" t="str">
        <f>IF(XL_THCS_TOAN[[#This Row],[Mã lớp]]="","",INDEX(XepLop[[#All],[Giờ về]],MATCH(XL_THCS_TOAN[[#This Row],[Mã lớp]],XepLop[[#All],[Mã lớp]],0)))</f>
        <v>20h30</v>
      </c>
      <c r="M15" s="9"/>
      <c r="N15" s="9" t="s">
        <v>17</v>
      </c>
      <c r="O15" s="9" t="s">
        <v>17</v>
      </c>
      <c r="P15" s="9" t="s">
        <v>17</v>
      </c>
      <c r="Q15" s="9"/>
      <c r="R15" s="9"/>
      <c r="S15" s="9"/>
      <c r="T15" s="12" t="str">
        <f>IF(XL_THCS_TOAN[[#This Row],[Mã lớp]]="","",INDEX(XepLop[[#All],[Phụ trách]],MATCH(XL_THCS_TOAN[[#This Row],[Mã lớp]],XepLop[[#All],[Mã lớp]],0)))</f>
        <v>Đặng Công Danh</v>
      </c>
      <c r="U15" s="9"/>
    </row>
    <row r="16" spans="1:21" x14ac:dyDescent="0.25">
      <c r="A16" s="11">
        <f>IF(XL_THCS_TOAN[[#This Row],[Mã lớp]]="","",ROW()-ROW(XL_THCS_TOAN[[#Headers],[Mã lớp]]))</f>
        <v>15</v>
      </c>
      <c r="B16" s="9" t="s">
        <v>241</v>
      </c>
      <c r="C16" s="10" t="str">
        <f>IF(XL_THCS_TOAN[[#This Row],[Mã lớp]]="","",INDEX(XepLop[[#All],[Tên lớp]],MATCH(XL_THCS_TOAN[[#This Row],[Mã lớp]],XepLop[[#All],[Mã lớp]],0)))</f>
        <v>Toán THCS - Khối 9</v>
      </c>
      <c r="D16" s="10" t="str">
        <f>IF(XL_THCS_TOAN[[#This Row],[Mã lớp]]="","",INDEX(XepLop[[#All],[Mô tả]],MATCH(XL_THCS_TOAN[[#This Row],[Mã lớp]],XepLop[[#All],[Mã lớp]],0)))</f>
        <v>Lịch chuẩn khối 9</v>
      </c>
      <c r="E16" s="10" t="str">
        <f>IF(XL_THCS_TOAN[[#This Row],[Mã HS]]="","",INDEX(Ds_Nguồn[[#All],[Tên học sinh]],MATCH(XL_THCS_TOAN[[#This Row],[Mã HS]],Ds_Nguồn[[#All],[Mã HS]],0)))</f>
        <v>Nguyễn Phát Tài</v>
      </c>
      <c r="F16" s="8" t="s">
        <v>176</v>
      </c>
      <c r="G16" s="9" t="str">
        <f>IF(OR(XL_THCS_TOAN[[#This Row],[Mã HS]]="",XL_THCS_TOAN[[#This Row],[Mã lớp]]=""),"",VLOOKUP(XL_THCS_TOAN[[#This Row],[Mã HS]],Ds_Nguồn[[Mã HS]:[Email]],4,0))</f>
        <v>Lớp 9</v>
      </c>
      <c r="H16" s="10" t="str">
        <f>IF(XL_THCS_TOAN[[#This Row],[Mã lớp]]="","",INDEX(Sản_phẩm[[#All],[Môn học]],MATCH(LEFT(XL_THCS_TOAN[[#This Row],[Mã lớp]],2),Sản_phẩm[[#All],[Kí hiệu]],0)))</f>
        <v>Toán - Trung học cơ sở</v>
      </c>
      <c r="I16" s="9" t="str">
        <f>IF(XL_THCS_TOAN[[#This Row],[Mã lớp]]="","",INDEX(XepLop[[#All],[Ca]],MATCH(B16,XepLop[[#All],[Mã lớp]],0)))</f>
        <v>Chiều</v>
      </c>
      <c r="J16" s="12" t="str">
        <f>IF(XL_THCS_TOAN[[#This Row],[Mã lớp]]="","",_xlfn.TEXTJOIN("_",TRUE,INDEX(Data_thamchieu!$AM:$AS,MATCH($B16,Data_thamchieu!$AG:$AG,0),0)))</f>
        <v>Thứ Ba_Thứ Tư_Thứ Năm</v>
      </c>
      <c r="K16" s="9" t="str">
        <f>IF(XL_THCS_TOAN[[#This Row],[Mã lớp]]="","",INDEX(XepLop[[#All],[Giờ đến]],MATCH(XL_THCS_TOAN[[#This Row],[Mã lớp]],XepLop[[#All],[Mã lớp]],0)))</f>
        <v>19h00</v>
      </c>
      <c r="L16" s="9" t="str">
        <f>IF(XL_THCS_TOAN[[#This Row],[Mã lớp]]="","",INDEX(XepLop[[#All],[Giờ về]],MATCH(XL_THCS_TOAN[[#This Row],[Mã lớp]],XepLop[[#All],[Mã lớp]],0)))</f>
        <v>20h30</v>
      </c>
      <c r="N16" s="9" t="s">
        <v>17</v>
      </c>
      <c r="O16" s="9" t="s">
        <v>17</v>
      </c>
      <c r="P16" s="9" t="s">
        <v>17</v>
      </c>
      <c r="T16" s="10" t="str">
        <f>IF(XL_THCS_TOAN[[#This Row],[Mã lớp]]="","",INDEX(XepLop[[#All],[Phụ trách]],MATCH(XL_THCS_TOAN[[#This Row],[Mã lớp]],XepLop[[#All],[Mã lớp]],0)))</f>
        <v>Đặng Công Danh</v>
      </c>
    </row>
    <row r="17" spans="1:21" x14ac:dyDescent="0.25">
      <c r="A17" s="11">
        <f>IF(XL_THCS_TOAN[[#This Row],[Mã lớp]]="","",ROW()-ROW(XL_THCS_TOAN[[#Headers],[Mã lớp]]))</f>
        <v>16</v>
      </c>
      <c r="B17" s="8" t="s">
        <v>238</v>
      </c>
      <c r="C17" s="10" t="str">
        <f>IF(XL_THCS_TOAN[[#This Row],[Mã lớp]]="","",INDEX(XepLop[[#All],[Tên lớp]],MATCH(XL_THCS_TOAN[[#This Row],[Mã lớp]],XepLop[[#All],[Mã lớp]],0)))</f>
        <v>Toán THCS - Khối 6</v>
      </c>
      <c r="D17" s="10" t="str">
        <f>IF(XL_THCS_TOAN[[#This Row],[Mã lớp]]="","",INDEX(XepLop[[#All],[Mô tả]],MATCH(XL_THCS_TOAN[[#This Row],[Mã lớp]],XepLop[[#All],[Mã lớp]],0)))</f>
        <v>Lịch chuẩn khối 6</v>
      </c>
      <c r="E17" s="10" t="str">
        <f>IF(XL_THCS_TOAN[[#This Row],[Mã HS]]="","",INDEX(Ds_Nguồn[[#All],[Tên học sinh]],MATCH(XL_THCS_TOAN[[#This Row],[Mã HS]],Ds_Nguồn[[#All],[Mã HS]],0)))</f>
        <v>Hoàng Hà Chi</v>
      </c>
      <c r="F17" s="8" t="s">
        <v>183</v>
      </c>
      <c r="G17" s="9" t="str">
        <f>IF(OR(XL_THCS_TOAN[[#This Row],[Mã HS]]="",XL_THCS_TOAN[[#This Row],[Mã lớp]]=""),"",VLOOKUP(XL_THCS_TOAN[[#This Row],[Mã HS]],Ds_Nguồn[[Mã HS]:[Email]],4,0))</f>
        <v>Lớp 6</v>
      </c>
      <c r="H17" s="10" t="str">
        <f>IF(XL_THCS_TOAN[[#This Row],[Mã lớp]]="","",INDEX(Sản_phẩm[[#All],[Môn học]],MATCH(LEFT(XL_THCS_TOAN[[#This Row],[Mã lớp]],2),Sản_phẩm[[#All],[Kí hiệu]],0)))</f>
        <v>Toán - Trung học cơ sở</v>
      </c>
      <c r="I17" s="9" t="str">
        <f>IF(XL_THCS_TOAN[[#This Row],[Mã lớp]]="","",INDEX(XepLop[[#All],[Ca]],MATCH(B17,XepLop[[#All],[Mã lớp]],0)))</f>
        <v>Tối</v>
      </c>
      <c r="J17" s="12" t="str">
        <f>IF(XL_THCS_TOAN[[#This Row],[Mã lớp]]="","",_xlfn.TEXTJOIN("_",TRUE,INDEX(Data_thamchieu!$AM:$AS,MATCH($B17,Data_thamchieu!$AG:$AG,0),0)))</f>
        <v>Thứ Hai_Thứ Tư_Thứ Sáu</v>
      </c>
      <c r="K17" s="9" t="str">
        <f>IF(XL_THCS_TOAN[[#This Row],[Mã lớp]]="","",INDEX(XepLop[[#All],[Giờ đến]],MATCH(XL_THCS_TOAN[[#This Row],[Mã lớp]],XepLop[[#All],[Mã lớp]],0)))</f>
        <v>19h00</v>
      </c>
      <c r="L17" s="9" t="str">
        <f>IF(XL_THCS_TOAN[[#This Row],[Mã lớp]]="","",INDEX(XepLop[[#All],[Giờ về]],MATCH(XL_THCS_TOAN[[#This Row],[Mã lớp]],XepLop[[#All],[Mã lớp]],0)))</f>
        <v>20h30</v>
      </c>
      <c r="M17" s="9" t="s">
        <v>73</v>
      </c>
      <c r="O17" s="9" t="s">
        <v>73</v>
      </c>
      <c r="Q17" s="9" t="s">
        <v>8</v>
      </c>
      <c r="T17" s="10" t="str">
        <f>IF(XL_THCS_TOAN[[#This Row],[Mã lớp]]="","",INDEX(XepLop[[#All],[Phụ trách]],MATCH(XL_THCS_TOAN[[#This Row],[Mã lớp]],XepLop[[#All],[Mã lớp]],0)))</f>
        <v>Võ Thành Nguyên</v>
      </c>
    </row>
    <row r="18" spans="1:21" customFormat="1" x14ac:dyDescent="0.25">
      <c r="A18" s="11">
        <f>IF(XL_THCS_TOAN[[#This Row],[Mã lớp]]="","",ROW()-ROW(XL_THCS_TOAN[[#Headers],[Mã lớp]]))</f>
        <v>17</v>
      </c>
      <c r="B18" s="8" t="s">
        <v>239</v>
      </c>
      <c r="C18" s="12" t="str">
        <f>IF(XL_THCS_TOAN[[#This Row],[Mã lớp]]="","",INDEX(XepLop[[#All],[Tên lớp]],MATCH(XL_THCS_TOAN[[#This Row],[Mã lớp]],XepLop[[#All],[Mã lớp]],0)))</f>
        <v>Toán THCS - Khối 7</v>
      </c>
      <c r="D18" s="12" t="str">
        <f>IF(XL_THCS_TOAN[[#This Row],[Mã lớp]]="","",INDEX(XepLop[[#All],[Mô tả]],MATCH(XL_THCS_TOAN[[#This Row],[Mã lớp]],XepLop[[#All],[Mã lớp]],0)))</f>
        <v>Lịch chuẩn khối 7</v>
      </c>
      <c r="E18" s="10" t="str">
        <f>IF(XL_THCS_TOAN[[#This Row],[Mã HS]]="","",INDEX(Ds_Nguồn[[#All],[Tên học sinh]],MATCH(XL_THCS_TOAN[[#This Row],[Mã HS]],Ds_Nguồn[[#All],[Mã HS]],0)))</f>
        <v>Lâm Nhã Uyên</v>
      </c>
      <c r="F18" s="8" t="s">
        <v>186</v>
      </c>
      <c r="G18" s="8" t="str">
        <f>IF(OR(XL_THCS_TOAN[[#This Row],[Mã HS]]="",XL_THCS_TOAN[[#This Row],[Mã lớp]]=""),"",VLOOKUP(XL_THCS_TOAN[[#This Row],[Mã HS]],Ds_Nguồn[[Mã HS]:[Email]],4,0))</f>
        <v>Lớp 7</v>
      </c>
      <c r="H18" s="12" t="str">
        <f>IF(XL_THCS_TOAN[[#This Row],[Mã lớp]]="","",INDEX(Sản_phẩm[[#All],[Môn học]],MATCH(LEFT(XL_THCS_TOAN[[#This Row],[Mã lớp]],2),Sản_phẩm[[#All],[Kí hiệu]],0)))</f>
        <v>Toán - Trung học cơ sở</v>
      </c>
      <c r="I18" s="9" t="str">
        <f>IF(XL_THCS_TOAN[[#This Row],[Mã lớp]]="","",INDEX(XepLop[[#All],[Ca]],MATCH(B18,XepLop[[#All],[Mã lớp]],0)))</f>
        <v>Tối</v>
      </c>
      <c r="J18" s="12" t="str">
        <f>IF(XL_THCS_TOAN[[#This Row],[Mã lớp]]="","",_xlfn.TEXTJOIN("_",TRUE,INDEX(Data_thamchieu!$AM:$AS,MATCH($B18,Data_thamchieu!$AG:$AG,0),0)))</f>
        <v>Thứ Hai_Thứ Tư_Thứ Sáu</v>
      </c>
      <c r="K18" s="8" t="str">
        <f>IF(XL_THCS_TOAN[[#This Row],[Mã lớp]]="","",INDEX(XepLop[[#All],[Giờ đến]],MATCH(XL_THCS_TOAN[[#This Row],[Mã lớp]],XepLop[[#All],[Mã lớp]],0)))</f>
        <v>19h00</v>
      </c>
      <c r="L18" s="8" t="str">
        <f>IF(XL_THCS_TOAN[[#This Row],[Mã lớp]]="","",INDEX(XepLop[[#All],[Giờ về]],MATCH(XL_THCS_TOAN[[#This Row],[Mã lớp]],XepLop[[#All],[Mã lớp]],0)))</f>
        <v>20h30</v>
      </c>
      <c r="M18" s="9" t="s">
        <v>73</v>
      </c>
      <c r="N18" s="9"/>
      <c r="O18" s="9" t="s">
        <v>73</v>
      </c>
      <c r="P18" s="9"/>
      <c r="Q18" s="9" t="s">
        <v>8</v>
      </c>
      <c r="R18" s="9"/>
      <c r="S18" s="9"/>
      <c r="T18" s="12" t="str">
        <f>IF(XL_THCS_TOAN[[#This Row],[Mã lớp]]="","",INDEX(XepLop[[#All],[Phụ trách]],MATCH(XL_THCS_TOAN[[#This Row],[Mã lớp]],XepLop[[#All],[Mã lớp]],0)))</f>
        <v>Võ Thành Nguyên</v>
      </c>
      <c r="U18" s="9"/>
    </row>
  </sheetData>
  <phoneticPr fontId="2" type="noConversion"/>
  <conditionalFormatting sqref="M2:S18">
    <cfRule type="expression" dxfId="9" priority="1">
      <formula>M2=""</formula>
    </cfRule>
    <cfRule type="expression" dxfId="8" priority="2">
      <formula>M2&lt;&gt;""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A34A5D-BEFD-455C-9BE6-00A2C92F8522}">
          <x14:formula1>
            <xm:f>OFFSET(Data_thamchieu!$AG$2,0,0,COUNTA(Data_thamchieu!$AG:$AG)-1,1)</xm:f>
          </x14:formula1>
          <xm:sqref>B14:B18 B2:B12</xm:sqref>
        </x14:dataValidation>
        <x14:dataValidation type="list" allowBlank="1" showInputMessage="1" showErrorMessage="1" xr:uid="{D4E185E5-5E16-4FC1-931E-26878DF7C3B0}">
          <x14:formula1>
            <xm:f>OFFSET(Data_thamchieu!$H$2,0,0,COUNTA(Data_thamchieu!$H:$H)-1,1)</xm:f>
          </x14:formula1>
          <xm:sqref>M2:S18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AE09-C6A0-4260-847B-F53FDEBA84DA}">
  <sheetPr>
    <tabColor theme="5" tint="0.79998168889431442"/>
  </sheetPr>
  <dimension ref="A1:U10"/>
  <sheetViews>
    <sheetView workbookViewId="0">
      <selection activeCell="E8" sqref="E8"/>
    </sheetView>
  </sheetViews>
  <sheetFormatPr defaultRowHeight="15" x14ac:dyDescent="0.25"/>
  <cols>
    <col min="1" max="1" width="7.5703125" style="9" bestFit="1" customWidth="1"/>
    <col min="2" max="2" width="12" style="9" bestFit="1" customWidth="1"/>
    <col min="3" max="3" width="22.140625" style="9" bestFit="1" customWidth="1"/>
    <col min="4" max="4" width="30.42578125" style="9" bestFit="1" customWidth="1"/>
    <col min="5" max="5" width="19.5703125" style="9" bestFit="1" customWidth="1"/>
    <col min="6" max="6" width="11.140625" style="9" bestFit="1" customWidth="1"/>
    <col min="7" max="7" width="9.28515625" style="9" bestFit="1" customWidth="1"/>
    <col min="8" max="8" width="31" style="9" bestFit="1" customWidth="1"/>
    <col min="9" max="9" width="7.7109375" style="9" bestFit="1" customWidth="1"/>
    <col min="10" max="10" width="48.140625" style="9" bestFit="1" customWidth="1"/>
    <col min="11" max="11" width="13" style="9" bestFit="1" customWidth="1"/>
    <col min="12" max="12" width="11.5703125" style="9" bestFit="1" customWidth="1"/>
    <col min="13" max="13" width="12.42578125" style="9" bestFit="1" customWidth="1"/>
    <col min="14" max="14" width="9.5703125" style="9" bestFit="1" customWidth="1"/>
    <col min="15" max="15" width="12" style="9" bestFit="1" customWidth="1"/>
    <col min="16" max="16" width="13.7109375" style="9" bestFit="1" customWidth="1"/>
    <col min="17" max="17" width="13" style="9" bestFit="1" customWidth="1"/>
    <col min="18" max="18" width="12.85546875" style="9" bestFit="1" customWidth="1"/>
    <col min="19" max="19" width="14" style="9" bestFit="1" customWidth="1"/>
    <col min="20" max="20" width="22.5703125" style="9" bestFit="1" customWidth="1"/>
    <col min="21" max="16384" width="9.140625" style="9"/>
  </cols>
  <sheetData>
    <row r="1" spans="1:21" x14ac:dyDescent="0.25">
      <c r="A1" s="13" t="s">
        <v>4</v>
      </c>
      <c r="B1" s="13" t="s">
        <v>75</v>
      </c>
      <c r="C1" s="13" t="s">
        <v>232</v>
      </c>
      <c r="D1" s="13" t="s">
        <v>5</v>
      </c>
      <c r="E1" s="13" t="s">
        <v>196</v>
      </c>
      <c r="F1" s="13" t="s">
        <v>127</v>
      </c>
      <c r="G1" s="13" t="s">
        <v>212</v>
      </c>
      <c r="H1" s="13" t="s">
        <v>62</v>
      </c>
      <c r="I1" s="13" t="s">
        <v>208</v>
      </c>
      <c r="J1" s="13" t="s">
        <v>76</v>
      </c>
      <c r="K1" s="13" t="s">
        <v>207</v>
      </c>
      <c r="L1" s="13" t="s">
        <v>199</v>
      </c>
      <c r="M1" s="13" t="s">
        <v>206</v>
      </c>
      <c r="N1" s="13" t="s">
        <v>200</v>
      </c>
      <c r="O1" s="13" t="s">
        <v>201</v>
      </c>
      <c r="P1" s="13" t="s">
        <v>202</v>
      </c>
      <c r="Q1" s="13" t="s">
        <v>203</v>
      </c>
      <c r="R1" s="13" t="s">
        <v>204</v>
      </c>
      <c r="S1" s="13" t="s">
        <v>205</v>
      </c>
      <c r="T1" s="13" t="s">
        <v>1</v>
      </c>
      <c r="U1" s="13" t="s">
        <v>90</v>
      </c>
    </row>
    <row r="2" spans="1:21" x14ac:dyDescent="0.25">
      <c r="A2" s="11">
        <f>IF(XL_THPT_TOAN[[#This Row],[Mã lớp]]="","",ROW()-ROW(XL_THPT_TOAN[[#Headers],[Mã lớp]]))</f>
        <v>1</v>
      </c>
      <c r="B2" s="8" t="s">
        <v>251</v>
      </c>
      <c r="C2" s="10" t="str">
        <f>IF(XL_THPT_TOAN[[#This Row],[Mã lớp]]="","",INDEX(XepLop[[#All],[Tên lớp]],MATCH(XL_THPT_TOAN[[#This Row],[Mã lớp]],XepLop[[#All],[Mã lớp]],0)))</f>
        <v>Toán THPT - Khối 11</v>
      </c>
      <c r="D2" s="10" t="str">
        <f>IF(XL_THPT_TOAN[[#This Row],[Mã lớp]]="","",INDEX(XepLop[[#All],[Mô tả]],MATCH(XL_THPT_TOAN[[#This Row],[Mã lớp]],XepLop[[#All],[Mã lớp]],0)))</f>
        <v>Lịch chuẩn khối 11</v>
      </c>
      <c r="E2" s="10" t="str">
        <f>IF(XL_THPT_TOAN[[#This Row],[Mã HS]]="","",INDEX(Ds_Nguồn[[#All],[Tên học sinh]],MATCH(XL_THPT_TOAN[[#This Row],[Mã HS]],Ds_Nguồn[[#All],[Mã HS]],0)))</f>
        <v>Từ Vũ Phương Nghi</v>
      </c>
      <c r="F2" s="9" t="s">
        <v>156</v>
      </c>
      <c r="G2" s="9" t="str">
        <f>IF(OR(XL_THPT_TOAN[[#This Row],[Mã HS]]="",XL_THPT_TOAN[[#This Row],[Mã lớp]]=""),"",VLOOKUP(XL_THPT_TOAN[[#This Row],[Mã HS]],Ds_Nguồn[[Mã HS]:[Email]],4,0))</f>
        <v>Lớp 11</v>
      </c>
      <c r="H2" s="10" t="str">
        <f>IF(XL_THPT_TOAN[[#This Row],[Mã lớp]]="","",INDEX(Sản_phẩm[[#All],[Môn học]],MATCH(LEFT(XL_THPT_TOAN[[#This Row],[Mã lớp]],2),Sản_phẩm[[#All],[Kí hiệu]],0)))</f>
        <v>Toán - Trung học phổ thông</v>
      </c>
      <c r="I2" s="9" t="str">
        <f>IF(XL_THPT_TOAN[[#This Row],[Mã lớp]]="","",INDEX(XepLop[[#All],[Ca]],MATCH(B2,XepLop[[#All],[Mã lớp]],0)))</f>
        <v>Chiều</v>
      </c>
      <c r="J2" s="10" t="str">
        <f>IF(XL_THPT_TOAN[[#This Row],[Mã lớp]]="","",_xlfn.TEXTJOIN("_",TRUE,INDEX(Data_thamchieu!$AM:$AS,MATCH($B2,Data_thamchieu!$AG:$AG,0),0)))</f>
        <v>Thứ Sáu_Thứ Bảy_Chủ Nhật</v>
      </c>
      <c r="K2" s="9" t="str">
        <f>IF(XL_THPT_TOAN[[#This Row],[Mã lớp]]="","",INDEX(XepLop[[#All],[Giờ đến]],MATCH(XL_THPT_TOAN[[#This Row],[Mã lớp]],XepLop[[#All],[Mã lớp]],0)))</f>
        <v>16h30</v>
      </c>
      <c r="L2" s="9" t="str">
        <f>IF(XL_THPT_TOAN[[#This Row],[Mã lớp]]="","",INDEX(XepLop[[#All],[Giờ về]],MATCH(XL_THPT_TOAN[[#This Row],[Mã lớp]],XepLop[[#All],[Mã lớp]],0)))</f>
        <v>18h30</v>
      </c>
      <c r="Q2" s="9" t="s">
        <v>17</v>
      </c>
      <c r="R2" s="9" t="s">
        <v>17</v>
      </c>
      <c r="S2" s="9" t="s">
        <v>17</v>
      </c>
      <c r="T2" s="10" t="str">
        <f>IF(XL_THPT_TOAN[[#This Row],[Mã lớp]]="","",INDEX(XepLop[[#All],[Phụ trách]],MATCH(XL_THPT_TOAN[[#This Row],[Mã lớp]],XepLop[[#All],[Mã lớp]],0)))</f>
        <v>Đặng Công Danh</v>
      </c>
      <c r="U2" s="9" t="s">
        <v>264</v>
      </c>
    </row>
    <row r="3" spans="1:21" x14ac:dyDescent="0.25">
      <c r="A3" s="11">
        <f>IF(XL_THPT_TOAN[[#This Row],[Mã lớp]]="","",ROW()-ROW(XL_THPT_TOAN[[#Headers],[Mã lớp]]))</f>
        <v>2</v>
      </c>
      <c r="B3" s="8" t="s">
        <v>261</v>
      </c>
      <c r="C3" s="10" t="str">
        <f>IF(XL_THPT_TOAN[[#This Row],[Mã lớp]]="","",INDEX(XepLop[[#All],[Tên lớp]],MATCH(XL_THPT_TOAN[[#This Row],[Mã lớp]],XepLop[[#All],[Mã lớp]],0)))</f>
        <v>Vật lí THPT - Khối 11</v>
      </c>
      <c r="D3" s="10" t="str">
        <f>IF(XL_THPT_TOAN[[#This Row],[Mã lớp]]="","",INDEX(XepLop[[#All],[Mô tả]],MATCH(XL_THPT_TOAN[[#This Row],[Mã lớp]],XepLop[[#All],[Mã lớp]],0)))</f>
        <v>Lớp chuyên Vật Lí - Khối 11</v>
      </c>
      <c r="E3" s="10" t="str">
        <f>IF(XL_THPT_TOAN[[#This Row],[Mã HS]]="","",INDEX(Ds_Nguồn[[#All],[Tên học sinh]],MATCH(XL_THPT_TOAN[[#This Row],[Mã HS]],Ds_Nguồn[[#All],[Mã HS]],0)))</f>
        <v>Từ Vũ Phương Nghi</v>
      </c>
      <c r="F3" s="9" t="s">
        <v>156</v>
      </c>
      <c r="G3" s="9" t="str">
        <f>IF(OR(XL_THPT_TOAN[[#This Row],[Mã HS]]="",XL_THPT_TOAN[[#This Row],[Mã lớp]]=""),"",VLOOKUP(XL_THPT_TOAN[[#This Row],[Mã HS]],Ds_Nguồn[[Mã HS]:[Email]],4,0))</f>
        <v>Lớp 11</v>
      </c>
      <c r="H3" s="10" t="str">
        <f>IF(XL_THPT_TOAN[[#This Row],[Mã lớp]]="","",INDEX(Sản_phẩm[[#All],[Môn học]],MATCH(LEFT(XL_THPT_TOAN[[#This Row],[Mã lớp]],2),Sản_phẩm[[#All],[Kí hiệu]],0)))</f>
        <v>Môn tự chọn trung học phổ thông</v>
      </c>
      <c r="I3" s="9" t="str">
        <f>IF(XL_THPT_TOAN[[#This Row],[Mã lớp]]="","",INDEX(XepLop[[#All],[Ca]],MATCH(B3,XepLop[[#All],[Mã lớp]],0)))</f>
        <v>Chiều</v>
      </c>
      <c r="J3" s="10" t="str">
        <f>IF(XL_THPT_TOAN[[#This Row],[Mã lớp]]="","",_xlfn.TEXTJOIN("_",TRUE,INDEX(Data_thamchieu!$AM:$AS,MATCH($B3,Data_thamchieu!$AG:$AG,0),0)))</f>
        <v>Thứ Hai_Thứ Tư</v>
      </c>
      <c r="K3" s="9" t="str">
        <f>IF(XL_THPT_TOAN[[#This Row],[Mã lớp]]="","",INDEX(XepLop[[#All],[Giờ đến]],MATCH(XL_THPT_TOAN[[#This Row],[Mã lớp]],XepLop[[#All],[Mã lớp]],0)))</f>
        <v>16h30</v>
      </c>
      <c r="L3" s="9" t="str">
        <f>IF(XL_THPT_TOAN[[#This Row],[Mã lớp]]="","",INDEX(XepLop[[#All],[Giờ về]],MATCH(XL_THPT_TOAN[[#This Row],[Mã lớp]],XepLop[[#All],[Mã lớp]],0)))</f>
        <v>20h30</v>
      </c>
      <c r="M3" s="9" t="s">
        <v>17</v>
      </c>
      <c r="O3" s="9" t="s">
        <v>17</v>
      </c>
      <c r="T3" s="10" t="str">
        <f>IF(XL_THPT_TOAN[[#This Row],[Mã lớp]]="","",INDEX(XepLop[[#All],[Phụ trách]],MATCH(XL_THPT_TOAN[[#This Row],[Mã lớp]],XepLop[[#All],[Mã lớp]],0)))</f>
        <v>Đặng Công Danh</v>
      </c>
    </row>
    <row r="4" spans="1:21" x14ac:dyDescent="0.25">
      <c r="A4" s="11">
        <f>IF(XL_THPT_TOAN[[#This Row],[Mã lớp]]="","",ROW()-ROW(XL_THPT_TOAN[[#Headers],[Mã lớp]]))</f>
        <v>3</v>
      </c>
      <c r="B4" s="8" t="s">
        <v>260</v>
      </c>
      <c r="C4" s="10" t="str">
        <f>IF(XL_THPT_TOAN[[#This Row],[Mã lớp]]="","",INDEX(XepLop[[#All],[Tên lớp]],MATCH(XL_THPT_TOAN[[#This Row],[Mã lớp]],XepLop[[#All],[Mã lớp]],0)))</f>
        <v>Phụ đạo anh văn - Cấp 3</v>
      </c>
      <c r="D4" s="10" t="str">
        <f>IF(XL_THPT_TOAN[[#This Row],[Mã lớp]]="","",INDEX(XepLop[[#All],[Mô tả]],MATCH(XL_THPT_TOAN[[#This Row],[Mã lớp]],XepLop[[#All],[Mã lớp]],0)))</f>
        <v>Lớp dành riêng cho Phương Nghi</v>
      </c>
      <c r="E4" s="10" t="str">
        <f>IF(XL_THPT_TOAN[[#This Row],[Mã HS]]="","",INDEX(Ds_Nguồn[[#All],[Tên học sinh]],MATCH(XL_THPT_TOAN[[#This Row],[Mã HS]],Ds_Nguồn[[#All],[Mã HS]],0)))</f>
        <v>Từ Vũ Phương Nghi</v>
      </c>
      <c r="F4" s="9" t="s">
        <v>156</v>
      </c>
      <c r="G4" s="9" t="str">
        <f>IF(OR(XL_THPT_TOAN[[#This Row],[Mã HS]]="",XL_THPT_TOAN[[#This Row],[Mã lớp]]=""),"",VLOOKUP(XL_THPT_TOAN[[#This Row],[Mã HS]],Ds_Nguồn[[Mã HS]:[Email]],4,0))</f>
        <v>Lớp 11</v>
      </c>
      <c r="H4" s="10" t="str">
        <f>IF(XL_THPT_TOAN[[#This Row],[Mã lớp]]="","",INDEX(Sản_phẩm[[#All],[Môn học]],MATCH(LEFT(XL_THPT_TOAN[[#This Row],[Mã lớp]],2),Sản_phẩm[[#All],[Kí hiệu]],0)))</f>
        <v>Phụ đạo trung học phổ thông</v>
      </c>
      <c r="I4" s="9" t="str">
        <f>IF(XL_THPT_TOAN[[#This Row],[Mã lớp]]="","",INDEX(XepLop[[#All],[Ca]],MATCH(B4,XepLop[[#All],[Mã lớp]],0)))</f>
        <v>Chiều</v>
      </c>
      <c r="J4" s="10" t="str">
        <f>IF(XL_THPT_TOAN[[#This Row],[Mã lớp]]="","",_xlfn.TEXTJOIN("_",TRUE,INDEX(Data_thamchieu!$AM:$AS,MATCH($B4,Data_thamchieu!$AG:$AG,0),0)))</f>
        <v>Thứ Bảy_Chủ Nhật</v>
      </c>
      <c r="K4" s="9" t="str">
        <f>IF(XL_THPT_TOAN[[#This Row],[Mã lớp]]="","",INDEX(XepLop[[#All],[Giờ đến]],MATCH(XL_THPT_TOAN[[#This Row],[Mã lớp]],XepLop[[#All],[Mã lớp]],0)))</f>
        <v>16h30</v>
      </c>
      <c r="L4" s="9" t="str">
        <f>IF(XL_THPT_TOAN[[#This Row],[Mã lớp]]="","",INDEX(XepLop[[#All],[Giờ về]],MATCH(XL_THPT_TOAN[[#This Row],[Mã lớp]],XepLop[[#All],[Mã lớp]],0)))</f>
        <v>20h30</v>
      </c>
      <c r="R4" s="9" t="s">
        <v>8</v>
      </c>
      <c r="S4" s="9" t="s">
        <v>8</v>
      </c>
      <c r="T4" s="10" t="str">
        <f>IF(XL_THPT_TOAN[[#This Row],[Mã lớp]]="","",INDEX(XepLop[[#All],[Phụ trách]],MATCH(XL_THPT_TOAN[[#This Row],[Mã lớp]],XepLop[[#All],[Mã lớp]],0)))</f>
        <v>Lê Thành Chuẩn</v>
      </c>
    </row>
    <row r="5" spans="1:21" customFormat="1" x14ac:dyDescent="0.25">
      <c r="A5" s="11">
        <f>IF(XL_THPT_TOAN[[#This Row],[Mã lớp]]="","",ROW()-ROW(XL_THPT_TOAN[[#Headers],[Mã lớp]]))</f>
        <v>4</v>
      </c>
      <c r="B5" s="8" t="s">
        <v>261</v>
      </c>
      <c r="C5" s="10" t="str">
        <f>IF(XL_THPT_TOAN[[#This Row],[Mã lớp]]="","",INDEX(XepLop[[#All],[Tên lớp]],MATCH(XL_THPT_TOAN[[#This Row],[Mã lớp]],XepLop[[#All],[Mã lớp]],0)))</f>
        <v>Vật lí THPT - Khối 11</v>
      </c>
      <c r="D5" s="12" t="str">
        <f>IF(XL_THPT_TOAN[[#This Row],[Mã lớp]]="","",INDEX(XepLop[[#All],[Mô tả]],MATCH(XL_THPT_TOAN[[#This Row],[Mã lớp]],XepLop[[#All],[Mã lớp]],0)))</f>
        <v>Lớp chuyên Vật Lí - Khối 11</v>
      </c>
      <c r="E5" s="10" t="str">
        <f>IF(XL_THPT_TOAN[[#This Row],[Mã HS]]="","",INDEX(Ds_Nguồn[[#All],[Tên học sinh]],MATCH(XL_THPT_TOAN[[#This Row],[Mã HS]],Ds_Nguồn[[#All],[Mã HS]],0)))</f>
        <v>Trần Minh Thư</v>
      </c>
      <c r="F5" s="9" t="s">
        <v>168</v>
      </c>
      <c r="G5" s="8" t="str">
        <f>IF(OR(XL_THPT_TOAN[[#This Row],[Mã HS]]="",XL_THPT_TOAN[[#This Row],[Mã lớp]]=""),"",VLOOKUP(XL_THPT_TOAN[[#This Row],[Mã HS]],Ds_Nguồn[[Mã HS]:[Email]],4,0))</f>
        <v>Lớp 11</v>
      </c>
      <c r="H5" s="12" t="str">
        <f>IF(XL_THPT_TOAN[[#This Row],[Mã lớp]]="","",INDEX(Sản_phẩm[[#All],[Môn học]],MATCH(LEFT(XL_THPT_TOAN[[#This Row],[Mã lớp]],2),Sản_phẩm[[#All],[Kí hiệu]],0)))</f>
        <v>Môn tự chọn trung học phổ thông</v>
      </c>
      <c r="I5" s="8" t="str">
        <f>IF(XL_THPT_TOAN[[#This Row],[Mã lớp]]="","",INDEX(XepLop[[#All],[Ca]],MATCH(B5,XepLop[[#All],[Mã lớp]],0)))</f>
        <v>Chiều</v>
      </c>
      <c r="J5" s="12" t="str">
        <f>IF(XL_THPT_TOAN[[#This Row],[Mã lớp]]="","",_xlfn.TEXTJOIN("_",TRUE,INDEX(Data_thamchieu!$AM:$AS,MATCH($B5,Data_thamchieu!$AG:$AG,0),0)))</f>
        <v>Thứ Hai_Thứ Tư</v>
      </c>
      <c r="K5" s="8" t="str">
        <f>IF(XL_THPT_TOAN[[#This Row],[Mã lớp]]="","",INDEX(XepLop[[#All],[Giờ đến]],MATCH(XL_THPT_TOAN[[#This Row],[Mã lớp]],XepLop[[#All],[Mã lớp]],0)))</f>
        <v>16h30</v>
      </c>
      <c r="L5" s="8" t="str">
        <f>IF(XL_THPT_TOAN[[#This Row],[Mã lớp]]="","",INDEX(XepLop[[#All],[Giờ về]],MATCH(XL_THPT_TOAN[[#This Row],[Mã lớp]],XepLop[[#All],[Mã lớp]],0)))</f>
        <v>20h30</v>
      </c>
      <c r="M5" s="9" t="s">
        <v>17</v>
      </c>
      <c r="N5" s="9"/>
      <c r="O5" s="9" t="s">
        <v>17</v>
      </c>
      <c r="P5" s="9"/>
      <c r="Q5" s="9"/>
      <c r="R5" s="9"/>
      <c r="S5" s="9"/>
      <c r="T5" s="12" t="str">
        <f>IF(XL_THPT_TOAN[[#This Row],[Mã lớp]]="","",INDEX(XepLop[[#All],[Phụ trách]],MATCH(XL_THPT_TOAN[[#This Row],[Mã lớp]],XepLop[[#All],[Mã lớp]],0)))</f>
        <v>Đặng Công Danh</v>
      </c>
      <c r="U5" s="9"/>
    </row>
    <row r="6" spans="1:21" customFormat="1" x14ac:dyDescent="0.25">
      <c r="A6" s="11">
        <f>IF(XL_THPT_TOAN[[#This Row],[Mã lớp]]="","",ROW()-ROW(XL_THPT_TOAN[[#Headers],[Mã lớp]]))</f>
        <v>5</v>
      </c>
      <c r="B6" s="8" t="s">
        <v>251</v>
      </c>
      <c r="C6" s="10" t="str">
        <f>IF(XL_THPT_TOAN[[#This Row],[Mã lớp]]="","",INDEX(XepLop[[#All],[Tên lớp]],MATCH(XL_THPT_TOAN[[#This Row],[Mã lớp]],XepLop[[#All],[Mã lớp]],0)))</f>
        <v>Toán THPT - Khối 11</v>
      </c>
      <c r="D6" s="12" t="str">
        <f>IF(XL_THPT_TOAN[[#This Row],[Mã lớp]]="","",INDEX(XepLop[[#All],[Mô tả]],MATCH(XL_THPT_TOAN[[#This Row],[Mã lớp]],XepLop[[#All],[Mã lớp]],0)))</f>
        <v>Lịch chuẩn khối 11</v>
      </c>
      <c r="E6" s="10" t="str">
        <f>IF(XL_THPT_TOAN[[#This Row],[Mã HS]]="","",INDEX(Ds_Nguồn[[#All],[Tên học sinh]],MATCH(XL_THPT_TOAN[[#This Row],[Mã HS]],Ds_Nguồn[[#All],[Mã HS]],0)))</f>
        <v>Trần Minh Thư</v>
      </c>
      <c r="F6" s="9" t="s">
        <v>168</v>
      </c>
      <c r="G6" s="8" t="str">
        <f>IF(OR(XL_THPT_TOAN[[#This Row],[Mã HS]]="",XL_THPT_TOAN[[#This Row],[Mã lớp]]=""),"",VLOOKUP(XL_THPT_TOAN[[#This Row],[Mã HS]],Ds_Nguồn[[Mã HS]:[Email]],4,0))</f>
        <v>Lớp 11</v>
      </c>
      <c r="H6" s="12" t="str">
        <f>IF(XL_THPT_TOAN[[#This Row],[Mã lớp]]="","",INDEX(Sản_phẩm[[#All],[Môn học]],MATCH(LEFT(XL_THPT_TOAN[[#This Row],[Mã lớp]],2),Sản_phẩm[[#All],[Kí hiệu]],0)))</f>
        <v>Toán - Trung học phổ thông</v>
      </c>
      <c r="I6" s="8" t="str">
        <f>IF(XL_THPT_TOAN[[#This Row],[Mã lớp]]="","",INDEX(XepLop[[#All],[Ca]],MATCH(B6,XepLop[[#All],[Mã lớp]],0)))</f>
        <v>Chiều</v>
      </c>
      <c r="J6" s="12" t="str">
        <f>IF(XL_THPT_TOAN[[#This Row],[Mã lớp]]="","",_xlfn.TEXTJOIN("_",TRUE,INDEX(Data_thamchieu!$AM:$AS,MATCH($B6,Data_thamchieu!$AG:$AG,0),0)))</f>
        <v>Thứ Sáu_Thứ Bảy_Chủ Nhật</v>
      </c>
      <c r="K6" s="8" t="str">
        <f>IF(XL_THPT_TOAN[[#This Row],[Mã lớp]]="","",INDEX(XepLop[[#All],[Giờ đến]],MATCH(XL_THPT_TOAN[[#This Row],[Mã lớp]],XepLop[[#All],[Mã lớp]],0)))</f>
        <v>16h30</v>
      </c>
      <c r="L6" s="8" t="str">
        <f>IF(XL_THPT_TOAN[[#This Row],[Mã lớp]]="","",INDEX(XepLop[[#All],[Giờ về]],MATCH(XL_THPT_TOAN[[#This Row],[Mã lớp]],XepLop[[#All],[Mã lớp]],0)))</f>
        <v>18h30</v>
      </c>
      <c r="M6" s="9"/>
      <c r="N6" s="9"/>
      <c r="O6" s="9"/>
      <c r="P6" s="9"/>
      <c r="Q6" s="9" t="s">
        <v>17</v>
      </c>
      <c r="R6" s="9" t="s">
        <v>17</v>
      </c>
      <c r="S6" s="9" t="s">
        <v>17</v>
      </c>
      <c r="T6" s="12" t="str">
        <f>IF(XL_THPT_TOAN[[#This Row],[Mã lớp]]="","",INDEX(XepLop[[#All],[Phụ trách]],MATCH(XL_THPT_TOAN[[#This Row],[Mã lớp]],XepLop[[#All],[Mã lớp]],0)))</f>
        <v>Đặng Công Danh</v>
      </c>
      <c r="U6" s="9" t="s">
        <v>264</v>
      </c>
    </row>
    <row r="7" spans="1:21" x14ac:dyDescent="0.25">
      <c r="A7" s="11">
        <f>IF(XL_THPT_TOAN[[#This Row],[Mã lớp]]="","",ROW()-ROW(XL_THPT_TOAN[[#Headers],[Mã lớp]]))</f>
        <v>6</v>
      </c>
      <c r="B7" s="8" t="s">
        <v>251</v>
      </c>
      <c r="C7" s="10" t="str">
        <f>IF(XL_THPT_TOAN[[#This Row],[Mã lớp]]="","",INDEX(XepLop[[#All],[Tên lớp]],MATCH(XL_THPT_TOAN[[#This Row],[Mã lớp]],XepLop[[#All],[Mã lớp]],0)))</f>
        <v>Toán THPT - Khối 11</v>
      </c>
      <c r="D7" s="10" t="str">
        <f>IF(XL_THPT_TOAN[[#This Row],[Mã lớp]]="","",INDEX(XepLop[[#All],[Mô tả]],MATCH(XL_THPT_TOAN[[#This Row],[Mã lớp]],XepLop[[#All],[Mã lớp]],0)))</f>
        <v>Lịch chuẩn khối 11</v>
      </c>
      <c r="E7" s="10" t="str">
        <f>IF(XL_THPT_TOAN[[#This Row],[Mã HS]]="","",INDEX(Ds_Nguồn[[#All],[Tên học sinh]],MATCH(XL_THPT_TOAN[[#This Row],[Mã HS]],Ds_Nguồn[[#All],[Mã HS]],0)))</f>
        <v>Hồng Minh Ngọc</v>
      </c>
      <c r="F7" s="9" t="s">
        <v>174</v>
      </c>
      <c r="G7" s="9" t="str">
        <f>IF(OR(XL_THPT_TOAN[[#This Row],[Mã HS]]="",XL_THPT_TOAN[[#This Row],[Mã lớp]]=""),"",VLOOKUP(XL_THPT_TOAN[[#This Row],[Mã HS]],Ds_Nguồn[[Mã HS]:[Email]],4,0))</f>
        <v>Lớp 10</v>
      </c>
      <c r="H7" s="10" t="str">
        <f>IF(XL_THPT_TOAN[[#This Row],[Mã lớp]]="","",INDEX(Sản_phẩm[[#All],[Môn học]],MATCH(LEFT(XL_THPT_TOAN[[#This Row],[Mã lớp]],2),Sản_phẩm[[#All],[Kí hiệu]],0)))</f>
        <v>Toán - Trung học phổ thông</v>
      </c>
      <c r="I7" s="9" t="str">
        <f>IF(XL_THPT_TOAN[[#This Row],[Mã lớp]]="","",INDEX(XepLop[[#All],[Ca]],MATCH(B7,XepLop[[#All],[Mã lớp]],0)))</f>
        <v>Chiều</v>
      </c>
      <c r="J7" s="10" t="str">
        <f>IF(XL_THPT_TOAN[[#This Row],[Mã lớp]]="","",_xlfn.TEXTJOIN("_",TRUE,INDEX(Data_thamchieu!$AM:$AS,MATCH($B7,Data_thamchieu!$AG:$AG,0),0)))</f>
        <v>Thứ Sáu_Thứ Bảy_Chủ Nhật</v>
      </c>
      <c r="K7" s="9" t="str">
        <f>IF(XL_THPT_TOAN[[#This Row],[Mã lớp]]="","",INDEX(XepLop[[#All],[Giờ đến]],MATCH(XL_THPT_TOAN[[#This Row],[Mã lớp]],XepLop[[#All],[Mã lớp]],0)))</f>
        <v>16h30</v>
      </c>
      <c r="L7" s="9" t="str">
        <f>IF(XL_THPT_TOAN[[#This Row],[Mã lớp]]="","",INDEX(XepLop[[#All],[Giờ về]],MATCH(XL_THPT_TOAN[[#This Row],[Mã lớp]],XepLop[[#All],[Mã lớp]],0)))</f>
        <v>18h30</v>
      </c>
      <c r="Q7" s="9" t="s">
        <v>17</v>
      </c>
      <c r="R7" s="9" t="s">
        <v>17</v>
      </c>
      <c r="S7" s="9" t="s">
        <v>17</v>
      </c>
      <c r="T7" s="10" t="str">
        <f>IF(XL_THPT_TOAN[[#This Row],[Mã lớp]]="","",INDEX(XepLop[[#All],[Phụ trách]],MATCH(XL_THPT_TOAN[[#This Row],[Mã lớp]],XepLop[[#All],[Mã lớp]],0)))</f>
        <v>Đặng Công Danh</v>
      </c>
      <c r="U7" s="9" t="s">
        <v>264</v>
      </c>
    </row>
    <row r="8" spans="1:21" customFormat="1" x14ac:dyDescent="0.25">
      <c r="A8" s="11">
        <f>IF(XL_THPT_TOAN[[#This Row],[Mã lớp]]="","",ROW()-ROW(XL_THPT_TOAN[[#Headers],[Mã lớp]]))</f>
        <v>7</v>
      </c>
      <c r="B8" s="8" t="s">
        <v>252</v>
      </c>
      <c r="C8" s="10" t="str">
        <f>IF(XL_THPT_TOAN[[#This Row],[Mã lớp]]="","",INDEX(XepLop[[#All],[Tên lớp]],MATCH(XL_THPT_TOAN[[#This Row],[Mã lớp]],XepLop[[#All],[Mã lớp]],0)))</f>
        <v>Toán THPT - Khối 12</v>
      </c>
      <c r="D8" s="12" t="str">
        <f>IF(XL_THPT_TOAN[[#This Row],[Mã lớp]]="","",INDEX(XepLop[[#All],[Mô tả]],MATCH(XL_THPT_TOAN[[#This Row],[Mã lớp]],XepLop[[#All],[Mã lớp]],0)))</f>
        <v>Lịch chuẩn khối 12</v>
      </c>
      <c r="E8" s="10" t="str">
        <f>IF(XL_THPT_TOAN[[#This Row],[Mã HS]]="","",INDEX(Ds_Nguồn[[#All],[Tên học sinh]],MATCH(XL_THPT_TOAN[[#This Row],[Mã HS]],Ds_Nguồn[[#All],[Mã HS]],0)))</f>
        <v>Trịnh Thiên Kỳ</v>
      </c>
      <c r="F8" s="9" t="s">
        <v>175</v>
      </c>
      <c r="G8" s="8" t="str">
        <f>IF(OR(XL_THPT_TOAN[[#This Row],[Mã HS]]="",XL_THPT_TOAN[[#This Row],[Mã lớp]]=""),"",VLOOKUP(XL_THPT_TOAN[[#This Row],[Mã HS]],Ds_Nguồn[[Mã HS]:[Email]],4,0))</f>
        <v>Lớp 12</v>
      </c>
      <c r="H8" s="12" t="str">
        <f>IF(XL_THPT_TOAN[[#This Row],[Mã lớp]]="","",INDEX(Sản_phẩm[[#All],[Môn học]],MATCH(LEFT(XL_THPT_TOAN[[#This Row],[Mã lớp]],2),Sản_phẩm[[#All],[Kí hiệu]],0)))</f>
        <v>Toán - Trung học phổ thông</v>
      </c>
      <c r="I8" s="8" t="str">
        <f>IF(XL_THPT_TOAN[[#This Row],[Mã lớp]]="","",INDEX(XepLop[[#All],[Ca]],MATCH(B8,XepLop[[#All],[Mã lớp]],0)))</f>
        <v>Tối</v>
      </c>
      <c r="J8" s="12" t="str">
        <f>IF(XL_THPT_TOAN[[#This Row],[Mã lớp]]="","",_xlfn.TEXTJOIN("_",TRUE,INDEX(Data_thamchieu!$AM:$AS,MATCH($B8,Data_thamchieu!$AG:$AG,0),0)))</f>
        <v>Thứ Hai_Thứ Ba_Thứ Tư_Thứ Năm_Thứ Sáu_Thứ Bảy</v>
      </c>
      <c r="K8" s="8" t="str">
        <f>IF(XL_THPT_TOAN[[#This Row],[Mã lớp]]="","",INDEX(XepLop[[#All],[Giờ đến]],MATCH(XL_THPT_TOAN[[#This Row],[Mã lớp]],XepLop[[#All],[Mã lớp]],0)))</f>
        <v>19h00</v>
      </c>
      <c r="L8" s="8" t="str">
        <f>IF(XL_THPT_TOAN[[#This Row],[Mã lớp]]="","",INDEX(XepLop[[#All],[Giờ về]],MATCH(XL_THPT_TOAN[[#This Row],[Mã lớp]],XepLop[[#All],[Mã lớp]],0)))</f>
        <v>20h30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  <c r="R8" s="9" t="s">
        <v>17</v>
      </c>
      <c r="S8" s="9"/>
      <c r="T8" s="12" t="str">
        <f>IF(XL_THPT_TOAN[[#This Row],[Mã lớp]]="","",INDEX(XepLop[[#All],[Phụ trách]],MATCH(XL_THPT_TOAN[[#This Row],[Mã lớp]],XepLop[[#All],[Mã lớp]],0)))</f>
        <v>Đặng Công Danh</v>
      </c>
      <c r="U8" s="9"/>
    </row>
    <row r="9" spans="1:21" x14ac:dyDescent="0.25">
      <c r="A9" s="11">
        <f>IF(XL_THPT_TOAN[[#This Row],[Mã lớp]]="","",ROW()-ROW(XL_THPT_TOAN[[#Headers],[Mã lớp]]))</f>
        <v>8</v>
      </c>
      <c r="B9" s="8" t="s">
        <v>250</v>
      </c>
      <c r="C9" s="10" t="str">
        <f>IF(XL_THPT_TOAN[[#This Row],[Mã lớp]]="","",INDEX(XepLop[[#All],[Tên lớp]],MATCH(XL_THPT_TOAN[[#This Row],[Mã lớp]],XepLop[[#All],[Mã lớp]],0)))</f>
        <v>Toán THPT - Khối 10</v>
      </c>
      <c r="D9" s="10" t="str">
        <f>IF(XL_THPT_TOAN[[#This Row],[Mã lớp]]="","",INDEX(XepLop[[#All],[Mô tả]],MATCH(XL_THPT_TOAN[[#This Row],[Mã lớp]],XepLop[[#All],[Mã lớp]],0)))</f>
        <v>Lịch chuẩn khối 10</v>
      </c>
      <c r="E9" s="10" t="str">
        <f>IF(XL_THPT_TOAN[[#This Row],[Mã HS]]="","",INDEX(Ds_Nguồn[[#All],[Tên học sinh]],MATCH(XL_THPT_TOAN[[#This Row],[Mã HS]],Ds_Nguồn[[#All],[Mã HS]],0)))</f>
        <v>Lỗ Quốc Thịnh</v>
      </c>
      <c r="F9" s="9" t="s">
        <v>157</v>
      </c>
      <c r="G9" s="9" t="str">
        <f>IF(OR(XL_THPT_TOAN[[#This Row],[Mã HS]]="",XL_THPT_TOAN[[#This Row],[Mã lớp]]=""),"",VLOOKUP(XL_THPT_TOAN[[#This Row],[Mã HS]],Ds_Nguồn[[Mã HS]:[Email]],4,0))</f>
        <v>Lớp 9</v>
      </c>
      <c r="H9" s="10" t="str">
        <f>IF(XL_THPT_TOAN[[#This Row],[Mã lớp]]="","",INDEX(Sản_phẩm[[#All],[Môn học]],MATCH(LEFT(XL_THPT_TOAN[[#This Row],[Mã lớp]],2),Sản_phẩm[[#All],[Kí hiệu]],0)))</f>
        <v>Toán - Trung học phổ thông</v>
      </c>
      <c r="I9" s="9" t="str">
        <f>IF(XL_THPT_TOAN[[#This Row],[Mã lớp]]="","",INDEX(XepLop[[#All],[Ca]],MATCH(B9,XepLop[[#All],[Mã lớp]],0)))</f>
        <v>Tối</v>
      </c>
      <c r="J9" s="12" t="str">
        <f>IF(XL_THPT_TOAN[[#This Row],[Mã lớp]]="","",_xlfn.TEXTJOIN("_",TRUE,INDEX(Data_thamchieu!$AM:$AS,MATCH($B9,Data_thamchieu!$AG:$AG,0),0)))</f>
        <v>Thứ Hai_Thứ Tư_Thứ Sáu</v>
      </c>
      <c r="K9" s="9" t="str">
        <f>IF(XL_THPT_TOAN[[#This Row],[Mã lớp]]="","",INDEX(XepLop[[#All],[Giờ đến]],MATCH(XL_THPT_TOAN[[#This Row],[Mã lớp]],XepLop[[#All],[Mã lớp]],0)))</f>
        <v>19h00</v>
      </c>
      <c r="L9" s="9" t="str">
        <f>IF(XL_THPT_TOAN[[#This Row],[Mã lớp]]="","",INDEX(XepLop[[#All],[Giờ về]],MATCH(XL_THPT_TOAN[[#This Row],[Mã lớp]],XepLop[[#All],[Mã lớp]],0)))</f>
        <v>20h30</v>
      </c>
      <c r="M9" s="9" t="s">
        <v>17</v>
      </c>
      <c r="O9" s="9" t="s">
        <v>17</v>
      </c>
      <c r="Q9" s="9" t="s">
        <v>17</v>
      </c>
      <c r="T9" s="10" t="str">
        <f>IF(XL_THPT_TOAN[[#This Row],[Mã lớp]]="","",INDEX(XepLop[[#All],[Phụ trách]],MATCH(XL_THPT_TOAN[[#This Row],[Mã lớp]],XepLop[[#All],[Mã lớp]],0)))</f>
        <v>Đặng Công Danh</v>
      </c>
    </row>
    <row r="10" spans="1:21" x14ac:dyDescent="0.25">
      <c r="A10" s="11">
        <f>IF(XL_THPT_TOAN[[#This Row],[Mã lớp]]="","",ROW()-ROW(XL_THPT_TOAN[[#Headers],[Mã lớp]]))</f>
        <v>9</v>
      </c>
      <c r="B10" s="8" t="s">
        <v>250</v>
      </c>
      <c r="C10" s="10" t="str">
        <f>IF(XL_THPT_TOAN[[#This Row],[Mã lớp]]="","",INDEX(XepLop[[#All],[Tên lớp]],MATCH(XL_THPT_TOAN[[#This Row],[Mã lớp]],XepLop[[#All],[Mã lớp]],0)))</f>
        <v>Toán THPT - Khối 10</v>
      </c>
      <c r="D10" s="10" t="str">
        <f>IF(XL_THPT_TOAN[[#This Row],[Mã lớp]]="","",INDEX(XepLop[[#All],[Mô tả]],MATCH(XL_THPT_TOAN[[#This Row],[Mã lớp]],XepLop[[#All],[Mã lớp]],0)))</f>
        <v>Lịch chuẩn khối 10</v>
      </c>
      <c r="E10" s="10" t="str">
        <f>IF(XL_THPT_TOAN[[#This Row],[Mã HS]]="","",INDEX(Ds_Nguồn[[#All],[Tên học sinh]],MATCH(XL_THPT_TOAN[[#This Row],[Mã HS]],Ds_Nguồn[[#All],[Mã HS]],0)))</f>
        <v>Nguyễn Mạnh Khổng</v>
      </c>
      <c r="F10" s="9" t="s">
        <v>159</v>
      </c>
      <c r="G10" s="9" t="str">
        <f>IF(OR(XL_THPT_TOAN[[#This Row],[Mã HS]]="",XL_THPT_TOAN[[#This Row],[Mã lớp]]=""),"",VLOOKUP(XL_THPT_TOAN[[#This Row],[Mã HS]],Ds_Nguồn[[Mã HS]:[Email]],4,0))</f>
        <v>Lớp 9</v>
      </c>
      <c r="H10" s="10" t="str">
        <f>IF(XL_THPT_TOAN[[#This Row],[Mã lớp]]="","",INDEX(Sản_phẩm[[#All],[Môn học]],MATCH(LEFT(XL_THPT_TOAN[[#This Row],[Mã lớp]],2),Sản_phẩm[[#All],[Kí hiệu]],0)))</f>
        <v>Toán - Trung học phổ thông</v>
      </c>
      <c r="I10" s="9" t="str">
        <f>IF(XL_THPT_TOAN[[#This Row],[Mã lớp]]="","",INDEX(XepLop[[#All],[Ca]],MATCH(B10,XepLop[[#All],[Mã lớp]],0)))</f>
        <v>Tối</v>
      </c>
      <c r="J10" s="12" t="str">
        <f>IF(XL_THPT_TOAN[[#This Row],[Mã lớp]]="","",_xlfn.TEXTJOIN("_",TRUE,INDEX(Data_thamchieu!$AM:$AS,MATCH($B10,Data_thamchieu!$AG:$AG,0),0)))</f>
        <v>Thứ Hai_Thứ Tư_Thứ Sáu</v>
      </c>
      <c r="K10" s="9" t="str">
        <f>IF(XL_THPT_TOAN[[#This Row],[Mã lớp]]="","",INDEX(XepLop[[#All],[Giờ đến]],MATCH(XL_THPT_TOAN[[#This Row],[Mã lớp]],XepLop[[#All],[Mã lớp]],0)))</f>
        <v>19h00</v>
      </c>
      <c r="L10" s="9" t="str">
        <f>IF(XL_THPT_TOAN[[#This Row],[Mã lớp]]="","",INDEX(XepLop[[#All],[Giờ về]],MATCH(XL_THPT_TOAN[[#This Row],[Mã lớp]],XepLop[[#All],[Mã lớp]],0)))</f>
        <v>20h30</v>
      </c>
      <c r="M10" s="9" t="s">
        <v>17</v>
      </c>
      <c r="O10" s="9" t="s">
        <v>17</v>
      </c>
      <c r="Q10" s="9" t="s">
        <v>17</v>
      </c>
      <c r="T10" s="10" t="str">
        <f>IF(XL_THPT_TOAN[[#This Row],[Mã lớp]]="","",INDEX(XepLop[[#All],[Phụ trách]],MATCH(XL_THPT_TOAN[[#This Row],[Mã lớp]],XepLop[[#All],[Mã lớp]],0)))</f>
        <v>Đặng Công Danh</v>
      </c>
    </row>
  </sheetData>
  <conditionalFormatting sqref="M2:S10">
    <cfRule type="expression" dxfId="7" priority="1">
      <formula>M2=""</formula>
    </cfRule>
    <cfRule type="expression" dxfId="6" priority="2">
      <formula>M2&lt;&gt;""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C095E6-79E7-45A7-B71A-2636D63AD267}">
          <x14:formula1>
            <xm:f>OFFSET(Data_thamchieu!$AG$2,0,0,COUNTA(Data_thamchieu!$AG:$AG)-1,1)</xm:f>
          </x14:formula1>
          <xm:sqref>B2:B10</xm:sqref>
        </x14:dataValidation>
        <x14:dataValidation type="list" allowBlank="1" showInputMessage="1" showErrorMessage="1" xr:uid="{A139364B-1316-48BE-87FB-5FA52DF19ED1}">
          <x14:formula1>
            <xm:f>OFFSET(Data_thamchieu!$H$2,0,0,COUNTA(Data_thamchieu!$H:$H)-1,1)</xm:f>
          </x14:formula1>
          <xm:sqref>M2:S10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3647-83D0-457D-B449-401651F76173}">
  <sheetPr>
    <tabColor theme="8" tint="-0.499984740745262"/>
  </sheetPr>
  <dimension ref="A1:U12"/>
  <sheetViews>
    <sheetView workbookViewId="0"/>
  </sheetViews>
  <sheetFormatPr defaultRowHeight="15" x14ac:dyDescent="0.25"/>
  <cols>
    <col min="1" max="1" width="7.5703125" style="9" bestFit="1" customWidth="1"/>
    <col min="2" max="2" width="12" style="9" bestFit="1" customWidth="1"/>
    <col min="3" max="3" width="15.85546875" style="9" bestFit="1" customWidth="1"/>
    <col min="4" max="4" width="18.85546875" style="9" bestFit="1" customWidth="1"/>
    <col min="5" max="5" width="24.28515625" style="9" bestFit="1" customWidth="1"/>
    <col min="6" max="6" width="11.140625" style="9" bestFit="1" customWidth="1"/>
    <col min="7" max="7" width="9.28515625" style="9" bestFit="1" customWidth="1"/>
    <col min="8" max="8" width="20.85546875" style="9" bestFit="1" customWidth="1"/>
    <col min="9" max="9" width="7.7109375" style="9" bestFit="1" customWidth="1"/>
    <col min="10" max="10" width="23.5703125" style="9" bestFit="1" customWidth="1"/>
    <col min="11" max="11" width="13" style="9" bestFit="1" customWidth="1"/>
    <col min="12" max="12" width="11.5703125" style="9" bestFit="1" customWidth="1"/>
    <col min="13" max="13" width="12.42578125" style="9" bestFit="1" customWidth="1"/>
    <col min="14" max="14" width="9.5703125" style="9" bestFit="1" customWidth="1"/>
    <col min="15" max="15" width="12" style="9" bestFit="1" customWidth="1"/>
    <col min="16" max="16" width="13.7109375" style="9" bestFit="1" customWidth="1"/>
    <col min="17" max="17" width="13" style="9" bestFit="1" customWidth="1"/>
    <col min="18" max="18" width="12.85546875" style="9" bestFit="1" customWidth="1"/>
    <col min="19" max="19" width="14" style="9" bestFit="1" customWidth="1"/>
    <col min="20" max="20" width="22.5703125" style="9" bestFit="1" customWidth="1"/>
    <col min="21" max="16384" width="9.140625" style="9"/>
  </cols>
  <sheetData>
    <row r="1" spans="1:21" x14ac:dyDescent="0.25">
      <c r="A1" s="13" t="s">
        <v>4</v>
      </c>
      <c r="B1" s="13" t="s">
        <v>75</v>
      </c>
      <c r="C1" s="13" t="s">
        <v>232</v>
      </c>
      <c r="D1" s="13" t="s">
        <v>5</v>
      </c>
      <c r="E1" s="13" t="s">
        <v>196</v>
      </c>
      <c r="F1" s="13" t="s">
        <v>127</v>
      </c>
      <c r="G1" s="13" t="s">
        <v>212</v>
      </c>
      <c r="H1" s="13" t="s">
        <v>62</v>
      </c>
      <c r="I1" s="13" t="s">
        <v>208</v>
      </c>
      <c r="J1" s="13" t="s">
        <v>76</v>
      </c>
      <c r="K1" s="13" t="s">
        <v>207</v>
      </c>
      <c r="L1" s="13" t="s">
        <v>199</v>
      </c>
      <c r="M1" s="13" t="s">
        <v>206</v>
      </c>
      <c r="N1" s="13" t="s">
        <v>200</v>
      </c>
      <c r="O1" s="13" t="s">
        <v>201</v>
      </c>
      <c r="P1" s="13" t="s">
        <v>202</v>
      </c>
      <c r="Q1" s="13" t="s">
        <v>203</v>
      </c>
      <c r="R1" s="13" t="s">
        <v>204</v>
      </c>
      <c r="S1" s="13" t="s">
        <v>205</v>
      </c>
      <c r="T1" s="13" t="s">
        <v>1</v>
      </c>
      <c r="U1" s="13" t="s">
        <v>90</v>
      </c>
    </row>
    <row r="2" spans="1:21" x14ac:dyDescent="0.25">
      <c r="A2" s="11">
        <f>IF(XL_TIEUHOC_AV[[#This Row],[Mã lớp]]="","",ROW()-ROW(XL_TIEUHOC_AV[[#Headers],[Mã lớp]]))</f>
        <v>1</v>
      </c>
      <c r="B2" s="8" t="s">
        <v>265</v>
      </c>
      <c r="C2" s="10" t="str">
        <f>IF(XL_TIEUHOC_AV[[#This Row],[Mã lớp]]="","",INDEX(XepLop[[#All],[Tên lớp]],MATCH(XL_TIEUHOC_AV[[#This Row],[Mã lớp]],XepLop[[#All],[Mã lớp]],0)))</f>
        <v>Anh văn tiểu học</v>
      </c>
      <c r="D2" s="10" t="str">
        <f>IF(XL_TIEUHOC_AV[[#This Row],[Mã lớp]]="","",INDEX(XepLop[[#All],[Mô tả]],MATCH(XL_TIEUHOC_AV[[#This Row],[Mã lớp]],XepLop[[#All],[Mã lớp]],0)))</f>
        <v>Lớp của cô Thúy Bảo</v>
      </c>
      <c r="E2" s="10" t="str">
        <f>IF(XL_TIEUHOC_AV[[#This Row],[Mã HS]]="","",INDEX(Ds_Nguồn[[#All],[Tên học sinh]],MATCH(XL_TIEUHOC_AV[[#This Row],[Mã HS]],Ds_Nguồn[[#All],[Mã HS]],0)))</f>
        <v>Nguyễn Lý Bảo Hân</v>
      </c>
      <c r="F2" s="9" t="s">
        <v>163</v>
      </c>
      <c r="G2" s="9" t="str">
        <f>IF(OR(XL_TIEUHOC_AV[[#This Row],[Mã HS]]="",XL_TIEUHOC_AV[[#This Row],[Mã lớp]]=""),"",VLOOKUP(XL_TIEUHOC_AV[[#This Row],[Mã HS]],Ds_Nguồn[[Mã HS]:[Email]],4,0))</f>
        <v>Lớp 4</v>
      </c>
      <c r="H2" s="10" t="str">
        <f>IF(XL_TIEUHOC_AV[[#This Row],[Mã lớp]]="","",INDEX(Sản_phẩm[[#All],[Môn học]],MATCH(LEFT(XL_TIEUHOC_AV[[#This Row],[Mã lớp]],2),Sản_phẩm[[#All],[Kí hiệu]],0)))</f>
        <v>Anh văn - Tiểu học</v>
      </c>
      <c r="I2" s="9" t="str">
        <f>IF(XL_TIEUHOC_AV[[#This Row],[Mã lớp]]="","",INDEX(XepLop[[#All],[Ca]],MATCH(B2,XepLop[[#All],[Mã lớp]],0)))</f>
        <v>Tối</v>
      </c>
      <c r="J2" s="10" t="str">
        <f>IF(XL_TIEUHOC_AV[[#This Row],[Mã lớp]]="","",_xlfn.TEXTJOIN("_",TRUE,INDEX(Data_thamchieu!$AM:$AS,MATCH($B2,Data_thamchieu!$AG:$AG,0),0)))</f>
        <v>Thứ Hai_Thứ Tư</v>
      </c>
      <c r="K2" s="9" t="str">
        <f>IF(XL_TIEUHOC_AV[[#This Row],[Mã lớp]]="","",INDEX(XepLop[[#All],[Giờ đến]],MATCH(XL_TIEUHOC_AV[[#This Row],[Mã lớp]],XepLop[[#All],[Mã lớp]],0)))</f>
        <v>19h00</v>
      </c>
      <c r="L2" s="9" t="str">
        <f>IF(XL_TIEUHOC_AV[[#This Row],[Mã lớp]]="","",INDEX(XepLop[[#All],[Giờ về]],MATCH(XL_TIEUHOC_AV[[#This Row],[Mã lớp]],XepLop[[#All],[Mã lớp]],0)))</f>
        <v>20h30</v>
      </c>
      <c r="M2" s="9" t="s">
        <v>72</v>
      </c>
      <c r="O2" s="9" t="s">
        <v>72</v>
      </c>
      <c r="T2" s="10" t="str">
        <f>IF(XL_TIEUHOC_AV[[#This Row],[Mã lớp]]="","",INDEX(XepLop[[#All],[Phụ trách]],MATCH(XL_TIEUHOC_AV[[#This Row],[Mã lớp]],XepLop[[#All],[Mã lớp]],0)))</f>
        <v>Phan Thúy Bảo</v>
      </c>
    </row>
    <row r="3" spans="1:21" x14ac:dyDescent="0.25">
      <c r="A3" s="11">
        <f>IF(XL_TIEUHOC_AV[[#This Row],[Mã lớp]]="","",ROW()-ROW(XL_TIEUHOC_AV[[#Headers],[Mã lớp]]))</f>
        <v>2</v>
      </c>
      <c r="B3" s="8" t="s">
        <v>265</v>
      </c>
      <c r="C3" s="10" t="str">
        <f>IF(XL_TIEUHOC_AV[[#This Row],[Mã lớp]]="","",INDEX(XepLop[[#All],[Tên lớp]],MATCH(XL_TIEUHOC_AV[[#This Row],[Mã lớp]],XepLop[[#All],[Mã lớp]],0)))</f>
        <v>Anh văn tiểu học</v>
      </c>
      <c r="D3" s="10" t="str">
        <f>IF(XL_TIEUHOC_AV[[#This Row],[Mã lớp]]="","",INDEX(XepLop[[#All],[Mô tả]],MATCH(XL_TIEUHOC_AV[[#This Row],[Mã lớp]],XepLop[[#All],[Mã lớp]],0)))</f>
        <v>Lớp của cô Thúy Bảo</v>
      </c>
      <c r="E3" s="10" t="str">
        <f>IF(XL_TIEUHOC_AV[[#This Row],[Mã HS]]="","",INDEX(Ds_Nguồn[[#All],[Tên học sinh]],MATCH(XL_TIEUHOC_AV[[#This Row],[Mã HS]],Ds_Nguồn[[#All],[Mã HS]],0)))</f>
        <v>Phan Văn Hào</v>
      </c>
      <c r="F3" s="9" t="s">
        <v>171</v>
      </c>
      <c r="G3" s="9" t="str">
        <f>IF(OR(XL_TIEUHOC_AV[[#This Row],[Mã HS]]="",XL_TIEUHOC_AV[[#This Row],[Mã lớp]]=""),"",VLOOKUP(XL_TIEUHOC_AV[[#This Row],[Mã HS]],Ds_Nguồn[[Mã HS]:[Email]],4,0))</f>
        <v>Lớp 2</v>
      </c>
      <c r="H3" s="10" t="str">
        <f>IF(XL_TIEUHOC_AV[[#This Row],[Mã lớp]]="","",INDEX(Sản_phẩm[[#All],[Môn học]],MATCH(LEFT(XL_TIEUHOC_AV[[#This Row],[Mã lớp]],2),Sản_phẩm[[#All],[Kí hiệu]],0)))</f>
        <v>Anh văn - Tiểu học</v>
      </c>
      <c r="I3" s="9" t="str">
        <f>IF(XL_TIEUHOC_AV[[#This Row],[Mã lớp]]="","",INDEX(XepLop[[#All],[Ca]],MATCH(B3,XepLop[[#All],[Mã lớp]],0)))</f>
        <v>Tối</v>
      </c>
      <c r="J3" s="10" t="str">
        <f>IF(XL_TIEUHOC_AV[[#This Row],[Mã lớp]]="","",_xlfn.TEXTJOIN("_",TRUE,INDEX(Data_thamchieu!$AM:$AS,MATCH($B3,Data_thamchieu!$AG:$AG,0),0)))</f>
        <v>Thứ Hai_Thứ Tư</v>
      </c>
      <c r="K3" s="9" t="str">
        <f>IF(XL_TIEUHOC_AV[[#This Row],[Mã lớp]]="","",INDEX(XepLop[[#All],[Giờ đến]],MATCH(XL_TIEUHOC_AV[[#This Row],[Mã lớp]],XepLop[[#All],[Mã lớp]],0)))</f>
        <v>19h00</v>
      </c>
      <c r="L3" s="9" t="str">
        <f>IF(XL_TIEUHOC_AV[[#This Row],[Mã lớp]]="","",INDEX(XepLop[[#All],[Giờ về]],MATCH(XL_TIEUHOC_AV[[#This Row],[Mã lớp]],XepLop[[#All],[Mã lớp]],0)))</f>
        <v>20h30</v>
      </c>
      <c r="M3" s="9" t="s">
        <v>72</v>
      </c>
      <c r="O3" s="9" t="s">
        <v>72</v>
      </c>
      <c r="T3" s="10" t="str">
        <f>IF(XL_TIEUHOC_AV[[#This Row],[Mã lớp]]="","",INDEX(XepLop[[#All],[Phụ trách]],MATCH(XL_TIEUHOC_AV[[#This Row],[Mã lớp]],XepLop[[#All],[Mã lớp]],0)))</f>
        <v>Phan Thúy Bảo</v>
      </c>
    </row>
    <row r="4" spans="1:21" x14ac:dyDescent="0.25">
      <c r="A4" s="11">
        <f>IF(XL_TIEUHOC_AV[[#This Row],[Mã lớp]]="","",ROW()-ROW(XL_TIEUHOC_AV[[#Headers],[Mã lớp]]))</f>
        <v>3</v>
      </c>
      <c r="B4" s="8" t="s">
        <v>265</v>
      </c>
      <c r="C4" s="10" t="str">
        <f>IF(XL_TIEUHOC_AV[[#This Row],[Mã lớp]]="","",INDEX(XepLop[[#All],[Tên lớp]],MATCH(XL_TIEUHOC_AV[[#This Row],[Mã lớp]],XepLop[[#All],[Mã lớp]],0)))</f>
        <v>Anh văn tiểu học</v>
      </c>
      <c r="D4" s="10" t="str">
        <f>IF(XL_TIEUHOC_AV[[#This Row],[Mã lớp]]="","",INDEX(XepLop[[#All],[Mô tả]],MATCH(XL_TIEUHOC_AV[[#This Row],[Mã lớp]],XepLop[[#All],[Mã lớp]],0)))</f>
        <v>Lớp của cô Thúy Bảo</v>
      </c>
      <c r="E4" s="10" t="str">
        <f>IF(XL_TIEUHOC_AV[[#This Row],[Mã HS]]="","",INDEX(Ds_Nguồn[[#All],[Tên học sinh]],MATCH(XL_TIEUHOC_AV[[#This Row],[Mã HS]],Ds_Nguồn[[#All],[Mã HS]],0)))</f>
        <v>Trần Huỳnh Trung Nhân</v>
      </c>
      <c r="F4" s="8" t="s">
        <v>142</v>
      </c>
      <c r="G4" s="9" t="str">
        <f>IF(OR(XL_TIEUHOC_AV[[#This Row],[Mã HS]]="",XL_TIEUHOC_AV[[#This Row],[Mã lớp]]=""),"",VLOOKUP(XL_TIEUHOC_AV[[#This Row],[Mã HS]],Ds_Nguồn[[Mã HS]:[Email]],4,0))</f>
        <v>Lớp 4</v>
      </c>
      <c r="H4" s="10" t="str">
        <f>IF(XL_TIEUHOC_AV[[#This Row],[Mã lớp]]="","",INDEX(Sản_phẩm[[#All],[Môn học]],MATCH(LEFT(XL_TIEUHOC_AV[[#This Row],[Mã lớp]],2),Sản_phẩm[[#All],[Kí hiệu]],0)))</f>
        <v>Anh văn - Tiểu học</v>
      </c>
      <c r="I4" s="9" t="str">
        <f>IF(XL_TIEUHOC_AV[[#This Row],[Mã lớp]]="","",INDEX(XepLop[[#All],[Ca]],MATCH(B4,XepLop[[#All],[Mã lớp]],0)))</f>
        <v>Tối</v>
      </c>
      <c r="J4" s="10" t="str">
        <f>IF(XL_TIEUHOC_AV[[#This Row],[Mã lớp]]="","",_xlfn.TEXTJOIN("_",TRUE,INDEX(Data_thamchieu!$AM:$AS,MATCH($B4,Data_thamchieu!$AG:$AG,0),0)))</f>
        <v>Thứ Hai_Thứ Tư</v>
      </c>
      <c r="K4" s="9" t="str">
        <f>IF(XL_TIEUHOC_AV[[#This Row],[Mã lớp]]="","",INDEX(XepLop[[#All],[Giờ đến]],MATCH(XL_TIEUHOC_AV[[#This Row],[Mã lớp]],XepLop[[#All],[Mã lớp]],0)))</f>
        <v>19h00</v>
      </c>
      <c r="L4" s="9" t="str">
        <f>IF(XL_TIEUHOC_AV[[#This Row],[Mã lớp]]="","",INDEX(XepLop[[#All],[Giờ về]],MATCH(XL_TIEUHOC_AV[[#This Row],[Mã lớp]],XepLop[[#All],[Mã lớp]],0)))</f>
        <v>20h30</v>
      </c>
      <c r="M4" s="9" t="s">
        <v>72</v>
      </c>
      <c r="O4" s="9" t="s">
        <v>72</v>
      </c>
      <c r="T4" s="10" t="str">
        <f>IF(XL_TIEUHOC_AV[[#This Row],[Mã lớp]]="","",INDEX(XepLop[[#All],[Phụ trách]],MATCH(XL_TIEUHOC_AV[[#This Row],[Mã lớp]],XepLop[[#All],[Mã lớp]],0)))</f>
        <v>Phan Thúy Bảo</v>
      </c>
    </row>
    <row r="5" spans="1:21" customFormat="1" x14ac:dyDescent="0.25">
      <c r="A5" s="11">
        <f>IF(XL_TIEUHOC_AV[[#This Row],[Mã lớp]]="","",ROW()-ROW(XL_TIEUHOC_AV[[#Headers],[Mã lớp]]))</f>
        <v>4</v>
      </c>
      <c r="B5" s="8" t="s">
        <v>265</v>
      </c>
      <c r="C5" s="12" t="str">
        <f>IF(XL_TIEUHOC_AV[[#This Row],[Mã lớp]]="","",INDEX(XepLop[[#All],[Tên lớp]],MATCH(XL_TIEUHOC_AV[[#This Row],[Mã lớp]],XepLop[[#All],[Mã lớp]],0)))</f>
        <v>Anh văn tiểu học</v>
      </c>
      <c r="D5" s="12" t="str">
        <f>IF(XL_TIEUHOC_AV[[#This Row],[Mã lớp]]="","",INDEX(XepLop[[#All],[Mô tả]],MATCH(XL_TIEUHOC_AV[[#This Row],[Mã lớp]],XepLop[[#All],[Mã lớp]],0)))</f>
        <v>Lớp của cô Thúy Bảo</v>
      </c>
      <c r="E5" s="10" t="str">
        <f>IF(XL_TIEUHOC_AV[[#This Row],[Mã HS]]="","",INDEX(Ds_Nguồn[[#All],[Tên học sinh]],MATCH(XL_TIEUHOC_AV[[#This Row],[Mã HS]],Ds_Nguồn[[#All],[Mã HS]],0)))</f>
        <v>Phạm Lê Hoàng Dương</v>
      </c>
      <c r="F5" s="9" t="s">
        <v>146</v>
      </c>
      <c r="G5" s="9" t="str">
        <f>IF(OR(XL_TIEUHOC_AV[[#This Row],[Mã HS]]="",XL_TIEUHOC_AV[[#This Row],[Mã lớp]]=""),"",VLOOKUP(XL_TIEUHOC_AV[[#This Row],[Mã HS]],Ds_Nguồn[[Mã HS]:[Email]],4,0))</f>
        <v>Lớp 4</v>
      </c>
      <c r="H5" s="12" t="str">
        <f>IF(XL_TIEUHOC_AV[[#This Row],[Mã lớp]]="","",INDEX(Sản_phẩm[[#All],[Môn học]],MATCH(LEFT(XL_TIEUHOC_AV[[#This Row],[Mã lớp]],2),Sản_phẩm[[#All],[Kí hiệu]],0)))</f>
        <v>Anh văn - Tiểu học</v>
      </c>
      <c r="I5" s="8" t="str">
        <f>IF(XL_TIEUHOC_AV[[#This Row],[Mã lớp]]="","",INDEX(XepLop[[#All],[Ca]],MATCH(B5,XepLop[[#All],[Mã lớp]],0)))</f>
        <v>Tối</v>
      </c>
      <c r="J5" s="12" t="str">
        <f>IF(XL_TIEUHOC_AV[[#This Row],[Mã lớp]]="","",_xlfn.TEXTJOIN("_",TRUE,INDEX(Data_thamchieu!$AM:$AS,MATCH($B5,Data_thamchieu!$AG:$AG,0),0)))</f>
        <v>Thứ Hai_Thứ Tư</v>
      </c>
      <c r="K5" s="8" t="str">
        <f>IF(XL_TIEUHOC_AV[[#This Row],[Mã lớp]]="","",INDEX(XepLop[[#All],[Giờ đến]],MATCH(XL_TIEUHOC_AV[[#This Row],[Mã lớp]],XepLop[[#All],[Mã lớp]],0)))</f>
        <v>19h00</v>
      </c>
      <c r="L5" s="8" t="str">
        <f>IF(XL_TIEUHOC_AV[[#This Row],[Mã lớp]]="","",INDEX(XepLop[[#All],[Giờ về]],MATCH(XL_TIEUHOC_AV[[#This Row],[Mã lớp]],XepLop[[#All],[Mã lớp]],0)))</f>
        <v>20h30</v>
      </c>
      <c r="M5" s="9" t="s">
        <v>72</v>
      </c>
      <c r="N5" s="9"/>
      <c r="O5" s="9" t="s">
        <v>72</v>
      </c>
      <c r="P5" s="9"/>
      <c r="Q5" s="9"/>
      <c r="R5" s="9"/>
      <c r="S5" s="9"/>
      <c r="T5" s="12" t="str">
        <f>IF(XL_TIEUHOC_AV[[#This Row],[Mã lớp]]="","",INDEX(XepLop[[#All],[Phụ trách]],MATCH(XL_TIEUHOC_AV[[#This Row],[Mã lớp]],XepLop[[#All],[Mã lớp]],0)))</f>
        <v>Phan Thúy Bảo</v>
      </c>
      <c r="U5" s="9"/>
    </row>
    <row r="6" spans="1:21" customFormat="1" x14ac:dyDescent="0.25">
      <c r="A6" s="11">
        <f>IF(XL_TIEUHOC_AV[[#This Row],[Mã lớp]]="","",ROW()-ROW(XL_TIEUHOC_AV[[#Headers],[Mã lớp]]))</f>
        <v>5</v>
      </c>
      <c r="B6" s="8" t="s">
        <v>265</v>
      </c>
      <c r="C6" s="12" t="str">
        <f>IF(XL_TIEUHOC_AV[[#This Row],[Mã lớp]]="","",INDEX(XepLop[[#All],[Tên lớp]],MATCH(XL_TIEUHOC_AV[[#This Row],[Mã lớp]],XepLop[[#All],[Mã lớp]],0)))</f>
        <v>Anh văn tiểu học</v>
      </c>
      <c r="D6" s="12" t="str">
        <f>IF(XL_TIEUHOC_AV[[#This Row],[Mã lớp]]="","",INDEX(XepLop[[#All],[Mô tả]],MATCH(XL_TIEUHOC_AV[[#This Row],[Mã lớp]],XepLop[[#All],[Mã lớp]],0)))</f>
        <v>Lớp của cô Thúy Bảo</v>
      </c>
      <c r="E6" s="10" t="str">
        <f>IF(XL_TIEUHOC_AV[[#This Row],[Mã HS]]="","",INDEX(Ds_Nguồn[[#All],[Tên học sinh]],MATCH(XL_TIEUHOC_AV[[#This Row],[Mã HS]],Ds_Nguồn[[#All],[Mã HS]],0)))</f>
        <v>Huỳnh Lê Anh Thư</v>
      </c>
      <c r="F6" s="8" t="s">
        <v>147</v>
      </c>
      <c r="G6" s="9" t="str">
        <f>IF(OR(XL_TIEUHOC_AV[[#This Row],[Mã HS]]="",XL_TIEUHOC_AV[[#This Row],[Mã lớp]]=""),"",VLOOKUP(XL_TIEUHOC_AV[[#This Row],[Mã HS]],Ds_Nguồn[[Mã HS]:[Email]],4,0))</f>
        <v>Lớp 4</v>
      </c>
      <c r="H6" s="12" t="str">
        <f>IF(XL_TIEUHOC_AV[[#This Row],[Mã lớp]]="","",INDEX(Sản_phẩm[[#All],[Môn học]],MATCH(LEFT(XL_TIEUHOC_AV[[#This Row],[Mã lớp]],2),Sản_phẩm[[#All],[Kí hiệu]],0)))</f>
        <v>Anh văn - Tiểu học</v>
      </c>
      <c r="I6" s="8" t="str">
        <f>IF(XL_TIEUHOC_AV[[#This Row],[Mã lớp]]="","",INDEX(XepLop[[#All],[Ca]],MATCH(B6,XepLop[[#All],[Mã lớp]],0)))</f>
        <v>Tối</v>
      </c>
      <c r="J6" s="12" t="str">
        <f>IF(XL_TIEUHOC_AV[[#This Row],[Mã lớp]]="","",_xlfn.TEXTJOIN("_",TRUE,INDEX(Data_thamchieu!$AM:$AS,MATCH($B6,Data_thamchieu!$AG:$AG,0),0)))</f>
        <v>Thứ Hai_Thứ Tư</v>
      </c>
      <c r="K6" s="8" t="str">
        <f>IF(XL_TIEUHOC_AV[[#This Row],[Mã lớp]]="","",INDEX(XepLop[[#All],[Giờ đến]],MATCH(XL_TIEUHOC_AV[[#This Row],[Mã lớp]],XepLop[[#All],[Mã lớp]],0)))</f>
        <v>19h00</v>
      </c>
      <c r="L6" s="8" t="str">
        <f>IF(XL_TIEUHOC_AV[[#This Row],[Mã lớp]]="","",INDEX(XepLop[[#All],[Giờ về]],MATCH(XL_TIEUHOC_AV[[#This Row],[Mã lớp]],XepLop[[#All],[Mã lớp]],0)))</f>
        <v>20h30</v>
      </c>
      <c r="M6" s="9" t="s">
        <v>72</v>
      </c>
      <c r="N6" s="9"/>
      <c r="O6" s="9" t="s">
        <v>72</v>
      </c>
      <c r="P6" s="9"/>
      <c r="Q6" s="9"/>
      <c r="R6" s="9"/>
      <c r="S6" s="9"/>
      <c r="T6" s="12" t="str">
        <f>IF(XL_TIEUHOC_AV[[#This Row],[Mã lớp]]="","",INDEX(XepLop[[#All],[Phụ trách]],MATCH(XL_TIEUHOC_AV[[#This Row],[Mã lớp]],XepLop[[#All],[Mã lớp]],0)))</f>
        <v>Phan Thúy Bảo</v>
      </c>
      <c r="U6" s="9"/>
    </row>
    <row r="7" spans="1:21" x14ac:dyDescent="0.25">
      <c r="A7" s="11">
        <f>IF(XL_TIEUHOC_AV[[#This Row],[Mã lớp]]="","",ROW()-ROW(XL_TIEUHOC_AV[[#Headers],[Mã lớp]]))</f>
        <v>6</v>
      </c>
      <c r="B7" s="8" t="s">
        <v>265</v>
      </c>
      <c r="C7" s="10" t="str">
        <f>IF(XL_TIEUHOC_AV[[#This Row],[Mã lớp]]="","",INDEX(XepLop[[#All],[Tên lớp]],MATCH(XL_TIEUHOC_AV[[#This Row],[Mã lớp]],XepLop[[#All],[Mã lớp]],0)))</f>
        <v>Anh văn tiểu học</v>
      </c>
      <c r="D7" s="10" t="str">
        <f>IF(XL_TIEUHOC_AV[[#This Row],[Mã lớp]]="","",INDEX(XepLop[[#All],[Mô tả]],MATCH(XL_TIEUHOC_AV[[#This Row],[Mã lớp]],XepLop[[#All],[Mã lớp]],0)))</f>
        <v>Lớp của cô Thúy Bảo</v>
      </c>
      <c r="E7" s="10" t="str">
        <f>IF(XL_TIEUHOC_AV[[#This Row],[Mã HS]]="","",INDEX(Ds_Nguồn[[#All],[Tên học sinh]],MATCH(XL_TIEUHOC_AV[[#This Row],[Mã HS]],Ds_Nguồn[[#All],[Mã HS]],0)))</f>
        <v>Nguyễn Mai Xuân Trúc</v>
      </c>
      <c r="F7" s="9" t="s">
        <v>153</v>
      </c>
      <c r="G7" s="9" t="str">
        <f>IF(OR(XL_TIEUHOC_AV[[#This Row],[Mã HS]]="",XL_TIEUHOC_AV[[#This Row],[Mã lớp]]=""),"",VLOOKUP(XL_TIEUHOC_AV[[#This Row],[Mã HS]],Ds_Nguồn[[Mã HS]:[Email]],4,0))</f>
        <v>Lớp 4</v>
      </c>
      <c r="H7" s="10" t="str">
        <f>IF(XL_TIEUHOC_AV[[#This Row],[Mã lớp]]="","",INDEX(Sản_phẩm[[#All],[Môn học]],MATCH(LEFT(XL_TIEUHOC_AV[[#This Row],[Mã lớp]],2),Sản_phẩm[[#All],[Kí hiệu]],0)))</f>
        <v>Anh văn - Tiểu học</v>
      </c>
      <c r="I7" s="9" t="str">
        <f>IF(XL_TIEUHOC_AV[[#This Row],[Mã lớp]]="","",INDEX(XepLop[[#All],[Ca]],MATCH(B7,XepLop[[#All],[Mã lớp]],0)))</f>
        <v>Tối</v>
      </c>
      <c r="J7" s="10" t="str">
        <f>IF(XL_TIEUHOC_AV[[#This Row],[Mã lớp]]="","",_xlfn.TEXTJOIN("_",TRUE,INDEX(Data_thamchieu!$AM:$AS,MATCH($B7,Data_thamchieu!$AG:$AG,0),0)))</f>
        <v>Thứ Hai_Thứ Tư</v>
      </c>
      <c r="K7" s="9" t="str">
        <f>IF(XL_TIEUHOC_AV[[#This Row],[Mã lớp]]="","",INDEX(XepLop[[#All],[Giờ đến]],MATCH(XL_TIEUHOC_AV[[#This Row],[Mã lớp]],XepLop[[#All],[Mã lớp]],0)))</f>
        <v>19h00</v>
      </c>
      <c r="L7" s="9" t="str">
        <f>IF(XL_TIEUHOC_AV[[#This Row],[Mã lớp]]="","",INDEX(XepLop[[#All],[Giờ về]],MATCH(XL_TIEUHOC_AV[[#This Row],[Mã lớp]],XepLop[[#All],[Mã lớp]],0)))</f>
        <v>20h30</v>
      </c>
      <c r="M7" s="9" t="s">
        <v>72</v>
      </c>
      <c r="O7" s="9" t="s">
        <v>72</v>
      </c>
      <c r="T7" s="10" t="str">
        <f>IF(XL_TIEUHOC_AV[[#This Row],[Mã lớp]]="","",INDEX(XepLop[[#All],[Phụ trách]],MATCH(XL_TIEUHOC_AV[[#This Row],[Mã lớp]],XepLop[[#All],[Mã lớp]],0)))</f>
        <v>Phan Thúy Bảo</v>
      </c>
    </row>
    <row r="8" spans="1:21" customFormat="1" x14ac:dyDescent="0.25">
      <c r="A8" s="11">
        <f>IF(XL_TIEUHOC_AV[[#This Row],[Mã lớp]]="","",ROW()-ROW(XL_TIEUHOC_AV[[#Headers],[Mã lớp]]))</f>
        <v>7</v>
      </c>
      <c r="B8" s="8" t="s">
        <v>265</v>
      </c>
      <c r="C8" s="12" t="str">
        <f>IF(XL_TIEUHOC_AV[[#This Row],[Mã lớp]]="","",INDEX(XepLop[[#All],[Tên lớp]],MATCH(XL_TIEUHOC_AV[[#This Row],[Mã lớp]],XepLop[[#All],[Mã lớp]],0)))</f>
        <v>Anh văn tiểu học</v>
      </c>
      <c r="D8" s="12" t="str">
        <f>IF(XL_TIEUHOC_AV[[#This Row],[Mã lớp]]="","",INDEX(XepLop[[#All],[Mô tả]],MATCH(XL_TIEUHOC_AV[[#This Row],[Mã lớp]],XepLop[[#All],[Mã lớp]],0)))</f>
        <v>Lớp của cô Thúy Bảo</v>
      </c>
      <c r="E8" s="10" t="str">
        <f>IF(XL_TIEUHOC_AV[[#This Row],[Mã HS]]="","",INDEX(Ds_Nguồn[[#All],[Tên học sinh]],MATCH(XL_TIEUHOC_AV[[#This Row],[Mã HS]],Ds_Nguồn[[#All],[Mã HS]],0)))</f>
        <v>Nguyễn Ngọc Phương Vy</v>
      </c>
      <c r="F8" s="9" t="s">
        <v>155</v>
      </c>
      <c r="G8" s="9" t="str">
        <f>IF(OR(XL_TIEUHOC_AV[[#This Row],[Mã HS]]="",XL_TIEUHOC_AV[[#This Row],[Mã lớp]]=""),"",VLOOKUP(XL_TIEUHOC_AV[[#This Row],[Mã HS]],Ds_Nguồn[[Mã HS]:[Email]],4,0))</f>
        <v>Lớp 4</v>
      </c>
      <c r="H8" s="12" t="str">
        <f>IF(XL_TIEUHOC_AV[[#This Row],[Mã lớp]]="","",INDEX(Sản_phẩm[[#All],[Môn học]],MATCH(LEFT(XL_TIEUHOC_AV[[#This Row],[Mã lớp]],2),Sản_phẩm[[#All],[Kí hiệu]],0)))</f>
        <v>Anh văn - Tiểu học</v>
      </c>
      <c r="I8" s="8" t="str">
        <f>IF(XL_TIEUHOC_AV[[#This Row],[Mã lớp]]="","",INDEX(XepLop[[#All],[Ca]],MATCH(B8,XepLop[[#All],[Mã lớp]],0)))</f>
        <v>Tối</v>
      </c>
      <c r="J8" s="12" t="str">
        <f>IF(XL_TIEUHOC_AV[[#This Row],[Mã lớp]]="","",_xlfn.TEXTJOIN("_",TRUE,INDEX(Data_thamchieu!$AM:$AS,MATCH($B8,Data_thamchieu!$AG:$AG,0),0)))</f>
        <v>Thứ Hai_Thứ Tư</v>
      </c>
      <c r="K8" s="8" t="str">
        <f>IF(XL_TIEUHOC_AV[[#This Row],[Mã lớp]]="","",INDEX(XepLop[[#All],[Giờ đến]],MATCH(XL_TIEUHOC_AV[[#This Row],[Mã lớp]],XepLop[[#All],[Mã lớp]],0)))</f>
        <v>19h00</v>
      </c>
      <c r="L8" s="8" t="str">
        <f>IF(XL_TIEUHOC_AV[[#This Row],[Mã lớp]]="","",INDEX(XepLop[[#All],[Giờ về]],MATCH(XL_TIEUHOC_AV[[#This Row],[Mã lớp]],XepLop[[#All],[Mã lớp]],0)))</f>
        <v>20h30</v>
      </c>
      <c r="M8" s="9" t="s">
        <v>72</v>
      </c>
      <c r="N8" s="9"/>
      <c r="O8" s="9" t="s">
        <v>72</v>
      </c>
      <c r="P8" s="9"/>
      <c r="Q8" s="9"/>
      <c r="R8" s="9"/>
      <c r="S8" s="9"/>
      <c r="T8" s="12" t="str">
        <f>IF(XL_TIEUHOC_AV[[#This Row],[Mã lớp]]="","",INDEX(XepLop[[#All],[Phụ trách]],MATCH(XL_TIEUHOC_AV[[#This Row],[Mã lớp]],XepLop[[#All],[Mã lớp]],0)))</f>
        <v>Phan Thúy Bảo</v>
      </c>
      <c r="U8" s="9"/>
    </row>
    <row r="9" spans="1:21" x14ac:dyDescent="0.25">
      <c r="A9" s="11">
        <f>IF(XL_TIEUHOC_AV[[#This Row],[Mã lớp]]="","",ROW()-ROW(XL_TIEUHOC_AV[[#Headers],[Mã lớp]]))</f>
        <v>8</v>
      </c>
      <c r="B9" s="8" t="s">
        <v>265</v>
      </c>
      <c r="C9" s="10" t="str">
        <f>IF(XL_TIEUHOC_AV[[#This Row],[Mã lớp]]="","",INDEX(XepLop[[#All],[Tên lớp]],MATCH(XL_TIEUHOC_AV[[#This Row],[Mã lớp]],XepLop[[#All],[Mã lớp]],0)))</f>
        <v>Anh văn tiểu học</v>
      </c>
      <c r="D9" s="10" t="str">
        <f>IF(XL_TIEUHOC_AV[[#This Row],[Mã lớp]]="","",INDEX(XepLop[[#All],[Mô tả]],MATCH(XL_TIEUHOC_AV[[#This Row],[Mã lớp]],XepLop[[#All],[Mã lớp]],0)))</f>
        <v>Lớp của cô Thúy Bảo</v>
      </c>
      <c r="E9" s="10" t="str">
        <f>IF(XL_TIEUHOC_AV[[#This Row],[Mã HS]]="","",INDEX(Ds_Nguồn[[#All],[Tên học sinh]],MATCH(XL_TIEUHOC_AV[[#This Row],[Mã HS]],Ds_Nguồn[[#All],[Mã HS]],0)))</f>
        <v>Trần Kiến Văn</v>
      </c>
      <c r="F9" s="8" t="s">
        <v>166</v>
      </c>
      <c r="G9" s="9" t="str">
        <f>IF(OR(XL_TIEUHOC_AV[[#This Row],[Mã HS]]="",XL_TIEUHOC_AV[[#This Row],[Mã lớp]]=""),"",VLOOKUP(XL_TIEUHOC_AV[[#This Row],[Mã HS]],Ds_Nguồn[[Mã HS]:[Email]],4,0))</f>
        <v>Lớp 4</v>
      </c>
      <c r="H9" s="10" t="str">
        <f>IF(XL_TIEUHOC_AV[[#This Row],[Mã lớp]]="","",INDEX(Sản_phẩm[[#All],[Môn học]],MATCH(LEFT(XL_TIEUHOC_AV[[#This Row],[Mã lớp]],2),Sản_phẩm[[#All],[Kí hiệu]],0)))</f>
        <v>Anh văn - Tiểu học</v>
      </c>
      <c r="I9" s="9" t="str">
        <f>IF(XL_TIEUHOC_AV[[#This Row],[Mã lớp]]="","",INDEX(XepLop[[#All],[Ca]],MATCH(B9,XepLop[[#All],[Mã lớp]],0)))</f>
        <v>Tối</v>
      </c>
      <c r="J9" s="12" t="str">
        <f>IF(XL_TIEUHOC_AV[[#This Row],[Mã lớp]]="","",_xlfn.TEXTJOIN("_",TRUE,INDEX(Data_thamchieu!$AM:$AS,MATCH($B9,Data_thamchieu!$AG:$AG,0),0)))</f>
        <v>Thứ Hai_Thứ Tư</v>
      </c>
      <c r="K9" s="9" t="str">
        <f>IF(XL_TIEUHOC_AV[[#This Row],[Mã lớp]]="","",INDEX(XepLop[[#All],[Giờ đến]],MATCH(XL_TIEUHOC_AV[[#This Row],[Mã lớp]],XepLop[[#All],[Mã lớp]],0)))</f>
        <v>19h00</v>
      </c>
      <c r="L9" s="9" t="str">
        <f>IF(XL_TIEUHOC_AV[[#This Row],[Mã lớp]]="","",INDEX(XepLop[[#All],[Giờ về]],MATCH(XL_TIEUHOC_AV[[#This Row],[Mã lớp]],XepLop[[#All],[Mã lớp]],0)))</f>
        <v>20h30</v>
      </c>
      <c r="M9" s="9" t="s">
        <v>72</v>
      </c>
      <c r="O9" s="9" t="s">
        <v>72</v>
      </c>
      <c r="T9" s="10" t="str">
        <f>IF(XL_TIEUHOC_AV[[#This Row],[Mã lớp]]="","",INDEX(XepLop[[#All],[Phụ trách]],MATCH(XL_TIEUHOC_AV[[#This Row],[Mã lớp]],XepLop[[#All],[Mã lớp]],0)))</f>
        <v>Phan Thúy Bảo</v>
      </c>
    </row>
    <row r="10" spans="1:21" x14ac:dyDescent="0.25">
      <c r="A10" s="11">
        <f>IF(XL_TIEUHOC_AV[[#This Row],[Mã lớp]]="","",ROW()-ROW(XL_TIEUHOC_AV[[#Headers],[Mã lớp]]))</f>
        <v>9</v>
      </c>
      <c r="B10" s="8" t="s">
        <v>265</v>
      </c>
      <c r="C10" s="10" t="str">
        <f>IF(XL_TIEUHOC_AV[[#This Row],[Mã lớp]]="","",INDEX(XepLop[[#All],[Tên lớp]],MATCH(XL_TIEUHOC_AV[[#This Row],[Mã lớp]],XepLop[[#All],[Mã lớp]],0)))</f>
        <v>Anh văn tiểu học</v>
      </c>
      <c r="D10" s="10" t="str">
        <f>IF(XL_TIEUHOC_AV[[#This Row],[Mã lớp]]="","",INDEX(XepLop[[#All],[Mô tả]],MATCH(XL_TIEUHOC_AV[[#This Row],[Mã lớp]],XepLop[[#All],[Mã lớp]],0)))</f>
        <v>Lớp của cô Thúy Bảo</v>
      </c>
      <c r="E10" s="10" t="str">
        <f>IF(XL_TIEUHOC_AV[[#This Row],[Mã HS]]="","",INDEX(Ds_Nguồn[[#All],[Tên học sinh]],MATCH(XL_TIEUHOC_AV[[#This Row],[Mã HS]],Ds_Nguồn[[#All],[Mã HS]],0)))</f>
        <v>Lê Bảo Trân</v>
      </c>
      <c r="F10" s="9" t="s">
        <v>178</v>
      </c>
      <c r="G10" s="9" t="str">
        <f>IF(OR(XL_TIEUHOC_AV[[#This Row],[Mã HS]]="",XL_TIEUHOC_AV[[#This Row],[Mã lớp]]=""),"",VLOOKUP(XL_TIEUHOC_AV[[#This Row],[Mã HS]],Ds_Nguồn[[Mã HS]:[Email]],4,0))</f>
        <v>Lớp 4</v>
      </c>
      <c r="H10" s="10" t="str">
        <f>IF(XL_TIEUHOC_AV[[#This Row],[Mã lớp]]="","",INDEX(Sản_phẩm[[#All],[Môn học]],MATCH(LEFT(XL_TIEUHOC_AV[[#This Row],[Mã lớp]],2),Sản_phẩm[[#All],[Kí hiệu]],0)))</f>
        <v>Anh văn - Tiểu học</v>
      </c>
      <c r="I10" s="9" t="str">
        <f>IF(XL_TIEUHOC_AV[[#This Row],[Mã lớp]]="","",INDEX(XepLop[[#All],[Ca]],MATCH(B10,XepLop[[#All],[Mã lớp]],0)))</f>
        <v>Tối</v>
      </c>
      <c r="J10" s="12" t="str">
        <f>IF(XL_TIEUHOC_AV[[#This Row],[Mã lớp]]="","",_xlfn.TEXTJOIN("_",TRUE,INDEX(Data_thamchieu!$AM:$AS,MATCH($B10,Data_thamchieu!$AG:$AG,0),0)))</f>
        <v>Thứ Hai_Thứ Tư</v>
      </c>
      <c r="K10" s="9" t="str">
        <f>IF(XL_TIEUHOC_AV[[#This Row],[Mã lớp]]="","",INDEX(XepLop[[#All],[Giờ đến]],MATCH(XL_TIEUHOC_AV[[#This Row],[Mã lớp]],XepLop[[#All],[Mã lớp]],0)))</f>
        <v>19h00</v>
      </c>
      <c r="L10" s="9" t="str">
        <f>IF(XL_TIEUHOC_AV[[#This Row],[Mã lớp]]="","",INDEX(XepLop[[#All],[Giờ về]],MATCH(XL_TIEUHOC_AV[[#This Row],[Mã lớp]],XepLop[[#All],[Mã lớp]],0)))</f>
        <v>20h30</v>
      </c>
      <c r="M10" s="9" t="s">
        <v>72</v>
      </c>
      <c r="O10" s="9" t="s">
        <v>72</v>
      </c>
      <c r="T10" s="10" t="str">
        <f>IF(XL_TIEUHOC_AV[[#This Row],[Mã lớp]]="","",INDEX(XepLop[[#All],[Phụ trách]],MATCH(XL_TIEUHOC_AV[[#This Row],[Mã lớp]],XepLop[[#All],[Mã lớp]],0)))</f>
        <v>Phan Thúy Bảo</v>
      </c>
    </row>
    <row r="11" spans="1:21" x14ac:dyDescent="0.25">
      <c r="A11" s="11">
        <f>IF(XL_TIEUHOC_AV[[#This Row],[Mã lớp]]="","",ROW()-ROW(XL_TIEUHOC_AV[[#Headers],[Mã lớp]]))</f>
        <v>10</v>
      </c>
      <c r="B11" s="8" t="s">
        <v>265</v>
      </c>
      <c r="C11" s="10" t="str">
        <f>IF(XL_TIEUHOC_AV[[#This Row],[Mã lớp]]="","",INDEX(XepLop[[#All],[Tên lớp]],MATCH(XL_TIEUHOC_AV[[#This Row],[Mã lớp]],XepLop[[#All],[Mã lớp]],0)))</f>
        <v>Anh văn tiểu học</v>
      </c>
      <c r="D11" s="10" t="str">
        <f>IF(XL_TIEUHOC_AV[[#This Row],[Mã lớp]]="","",INDEX(XepLop[[#All],[Mô tả]],MATCH(XL_TIEUHOC_AV[[#This Row],[Mã lớp]],XepLop[[#All],[Mã lớp]],0)))</f>
        <v>Lớp của cô Thúy Bảo</v>
      </c>
      <c r="E11" s="10" t="str">
        <f>IF(XL_TIEUHOC_AV[[#This Row],[Mã HS]]="","",INDEX(Ds_Nguồn[[#All],[Tên học sinh]],MATCH(XL_TIEUHOC_AV[[#This Row],[Mã HS]],Ds_Nguồn[[#All],[Mã HS]],0)))</f>
        <v>Hoàng Hà Phương</v>
      </c>
      <c r="F11" s="8" t="s">
        <v>182</v>
      </c>
      <c r="G11" s="9" t="str">
        <f>IF(OR(XL_TIEUHOC_AV[[#This Row],[Mã HS]]="",XL_TIEUHOC_AV[[#This Row],[Mã lớp]]=""),"",VLOOKUP(XL_TIEUHOC_AV[[#This Row],[Mã HS]],Ds_Nguồn[[Mã HS]:[Email]],4,0))</f>
        <v>Lớp 2</v>
      </c>
      <c r="H11" s="10" t="str">
        <f>IF(XL_TIEUHOC_AV[[#This Row],[Mã lớp]]="","",INDEX(Sản_phẩm[[#All],[Môn học]],MATCH(LEFT(XL_TIEUHOC_AV[[#This Row],[Mã lớp]],2),Sản_phẩm[[#All],[Kí hiệu]],0)))</f>
        <v>Anh văn - Tiểu học</v>
      </c>
      <c r="I11" s="9" t="str">
        <f>IF(XL_TIEUHOC_AV[[#This Row],[Mã lớp]]="","",INDEX(XepLop[[#All],[Ca]],MATCH(B11,XepLop[[#All],[Mã lớp]],0)))</f>
        <v>Tối</v>
      </c>
      <c r="J11" s="12" t="str">
        <f>IF(XL_TIEUHOC_AV[[#This Row],[Mã lớp]]="","",_xlfn.TEXTJOIN("_",TRUE,INDEX(Data_thamchieu!$AM:$AS,MATCH($B11,Data_thamchieu!$AG:$AG,0),0)))</f>
        <v>Thứ Hai_Thứ Tư</v>
      </c>
      <c r="K11" s="9" t="str">
        <f>IF(XL_TIEUHOC_AV[[#This Row],[Mã lớp]]="","",INDEX(XepLop[[#All],[Giờ đến]],MATCH(XL_TIEUHOC_AV[[#This Row],[Mã lớp]],XepLop[[#All],[Mã lớp]],0)))</f>
        <v>19h00</v>
      </c>
      <c r="L11" s="9" t="str">
        <f>IF(XL_TIEUHOC_AV[[#This Row],[Mã lớp]]="","",INDEX(XepLop[[#All],[Giờ về]],MATCH(XL_TIEUHOC_AV[[#This Row],[Mã lớp]],XepLop[[#All],[Mã lớp]],0)))</f>
        <v>20h30</v>
      </c>
      <c r="M11" s="9" t="s">
        <v>72</v>
      </c>
      <c r="O11" s="9" t="s">
        <v>72</v>
      </c>
      <c r="T11" s="10" t="str">
        <f>IF(XL_TIEUHOC_AV[[#This Row],[Mã lớp]]="","",INDEX(XepLop[[#All],[Phụ trách]],MATCH(XL_TIEUHOC_AV[[#This Row],[Mã lớp]],XepLop[[#All],[Mã lớp]],0)))</f>
        <v>Phan Thúy Bảo</v>
      </c>
    </row>
    <row r="12" spans="1:21" x14ac:dyDescent="0.25">
      <c r="A12" s="11">
        <f>IF(XL_TIEUHOC_AV[[#This Row],[Mã lớp]]="","",ROW()-ROW(XL_TIEUHOC_AV[[#Headers],[Mã lớp]]))</f>
        <v>11</v>
      </c>
      <c r="B12" s="8" t="s">
        <v>265</v>
      </c>
      <c r="C12" s="10" t="str">
        <f>IF(XL_TIEUHOC_AV[[#This Row],[Mã lớp]]="","",INDEX(XepLop[[#All],[Tên lớp]],MATCH(XL_TIEUHOC_AV[[#This Row],[Mã lớp]],XepLop[[#All],[Mã lớp]],0)))</f>
        <v>Anh văn tiểu học</v>
      </c>
      <c r="D12" s="10" t="str">
        <f>IF(XL_TIEUHOC_AV[[#This Row],[Mã lớp]]="","",INDEX(XepLop[[#All],[Mô tả]],MATCH(XL_TIEUHOC_AV[[#This Row],[Mã lớp]],XepLop[[#All],[Mã lớp]],0)))</f>
        <v>Lớp của cô Thúy Bảo</v>
      </c>
      <c r="E12" s="10" t="str">
        <f>IF(XL_TIEUHOC_AV[[#This Row],[Mã HS]]="","",INDEX(Ds_Nguồn[[#All],[Tên học sinh]],MATCH(XL_TIEUHOC_AV[[#This Row],[Mã HS]],Ds_Nguồn[[#All],[Mã HS]],0)))</f>
        <v>Nguyễn Xuân Tân</v>
      </c>
      <c r="F12" s="8" t="s">
        <v>185</v>
      </c>
      <c r="G12" s="9" t="str">
        <f>IF(OR(XL_TIEUHOC_AV[[#This Row],[Mã HS]]="",XL_TIEUHOC_AV[[#This Row],[Mã lớp]]=""),"",VLOOKUP(XL_TIEUHOC_AV[[#This Row],[Mã HS]],Ds_Nguồn[[Mã HS]:[Email]],4,0))</f>
        <v>Lớp 1</v>
      </c>
      <c r="H12" s="10" t="str">
        <f>IF(XL_TIEUHOC_AV[[#This Row],[Mã lớp]]="","",INDEX(Sản_phẩm[[#All],[Môn học]],MATCH(LEFT(XL_TIEUHOC_AV[[#This Row],[Mã lớp]],2),Sản_phẩm[[#All],[Kí hiệu]],0)))</f>
        <v>Anh văn - Tiểu học</v>
      </c>
      <c r="I12" s="9" t="str">
        <f>IF(XL_TIEUHOC_AV[[#This Row],[Mã lớp]]="","",INDEX(XepLop[[#All],[Ca]],MATCH(B12,XepLop[[#All],[Mã lớp]],0)))</f>
        <v>Tối</v>
      </c>
      <c r="J12" s="12" t="str">
        <f>IF(XL_TIEUHOC_AV[[#This Row],[Mã lớp]]="","",_xlfn.TEXTJOIN("_",TRUE,INDEX(Data_thamchieu!$AM:$AS,MATCH($B12,Data_thamchieu!$AG:$AG,0),0)))</f>
        <v>Thứ Hai_Thứ Tư</v>
      </c>
      <c r="K12" s="9" t="str">
        <f>IF(XL_TIEUHOC_AV[[#This Row],[Mã lớp]]="","",INDEX(XepLop[[#All],[Giờ đến]],MATCH(XL_TIEUHOC_AV[[#This Row],[Mã lớp]],XepLop[[#All],[Mã lớp]],0)))</f>
        <v>19h00</v>
      </c>
      <c r="L12" s="9" t="str">
        <f>IF(XL_TIEUHOC_AV[[#This Row],[Mã lớp]]="","",INDEX(XepLop[[#All],[Giờ về]],MATCH(XL_TIEUHOC_AV[[#This Row],[Mã lớp]],XepLop[[#All],[Mã lớp]],0)))</f>
        <v>20h30</v>
      </c>
      <c r="M12" s="9" t="s">
        <v>72</v>
      </c>
      <c r="O12" s="9" t="s">
        <v>72</v>
      </c>
      <c r="T12" s="10" t="str">
        <f>IF(XL_TIEUHOC_AV[[#This Row],[Mã lớp]]="","",INDEX(XepLop[[#All],[Phụ trách]],MATCH(XL_TIEUHOC_AV[[#This Row],[Mã lớp]],XepLop[[#All],[Mã lớp]],0)))</f>
        <v>Phan Thúy Bảo</v>
      </c>
    </row>
  </sheetData>
  <phoneticPr fontId="2" type="noConversion"/>
  <conditionalFormatting sqref="M2:S12">
    <cfRule type="expression" dxfId="5" priority="1">
      <formula>M2=""</formula>
    </cfRule>
    <cfRule type="expression" dxfId="4" priority="2">
      <formula>M2&lt;&gt;""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F9E7D4-D874-42DA-8D17-932D1F9EC0E7}">
          <x14:formula1>
            <xm:f>OFFSET(Data_thamchieu!$AG$2,0,0,COUNTA(Data_thamchieu!$AG:$AG)-1,1)</xm:f>
          </x14:formula1>
          <xm:sqref>B2:B12</xm:sqref>
        </x14:dataValidation>
        <x14:dataValidation type="list" allowBlank="1" showInputMessage="1" showErrorMessage="1" xr:uid="{1FD56444-9046-4AF3-BDD6-3347DEB93F8F}">
          <x14:formula1>
            <xm:f>OFFSET(Data_thamchieu!$H$2,0,0,COUNTA(Data_thamchieu!$H:$H)-1,1)</xm:f>
          </x14:formula1>
          <xm:sqref>M2:S12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6744-9EC4-4713-BBE9-D07F0206A179}">
  <sheetPr>
    <tabColor theme="8" tint="-0.249977111117893"/>
  </sheetPr>
  <dimension ref="A1:U17"/>
  <sheetViews>
    <sheetView topLeftCell="F1" workbookViewId="0">
      <selection activeCell="M2" sqref="M2:S2"/>
    </sheetView>
  </sheetViews>
  <sheetFormatPr defaultRowHeight="15" x14ac:dyDescent="0.25"/>
  <cols>
    <col min="1" max="1" width="7.5703125" style="9" bestFit="1" customWidth="1"/>
    <col min="2" max="2" width="12" style="9" bestFit="1" customWidth="1"/>
    <col min="3" max="3" width="13.140625" style="9" customWidth="1"/>
    <col min="4" max="4" width="18.28515625" style="9" bestFit="1" customWidth="1"/>
    <col min="5" max="5" width="25.5703125" style="9" bestFit="1" customWidth="1"/>
    <col min="6" max="6" width="11.140625" style="9" bestFit="1" customWidth="1"/>
    <col min="7" max="7" width="9.28515625" style="9" bestFit="1" customWidth="1"/>
    <col min="8" max="8" width="20.85546875" style="9" bestFit="1" customWidth="1"/>
    <col min="9" max="9" width="7.7109375" style="9" bestFit="1" customWidth="1"/>
    <col min="10" max="10" width="23.5703125" style="9" bestFit="1" customWidth="1"/>
    <col min="11" max="11" width="13" style="9" bestFit="1" customWidth="1"/>
    <col min="12" max="12" width="11.5703125" style="9" bestFit="1" customWidth="1"/>
    <col min="13" max="13" width="12.42578125" style="9" bestFit="1" customWidth="1"/>
    <col min="14" max="14" width="9.5703125" style="9" bestFit="1" customWidth="1"/>
    <col min="15" max="15" width="12" style="9" bestFit="1" customWidth="1"/>
    <col min="16" max="16" width="13.7109375" style="9" bestFit="1" customWidth="1"/>
    <col min="17" max="17" width="13" style="9" bestFit="1" customWidth="1"/>
    <col min="18" max="18" width="12.85546875" style="9" bestFit="1" customWidth="1"/>
    <col min="19" max="19" width="14" style="9" bestFit="1" customWidth="1"/>
    <col min="20" max="20" width="22.5703125" style="9" bestFit="1" customWidth="1"/>
    <col min="21" max="16384" width="9.140625" style="9"/>
  </cols>
  <sheetData>
    <row r="1" spans="1:21" x14ac:dyDescent="0.25">
      <c r="A1" s="13" t="s">
        <v>4</v>
      </c>
      <c r="B1" s="13" t="s">
        <v>75</v>
      </c>
      <c r="C1" s="13" t="s">
        <v>232</v>
      </c>
      <c r="D1" s="13" t="s">
        <v>5</v>
      </c>
      <c r="E1" s="13" t="s">
        <v>196</v>
      </c>
      <c r="F1" s="13" t="s">
        <v>127</v>
      </c>
      <c r="G1" s="13" t="s">
        <v>212</v>
      </c>
      <c r="H1" s="13" t="s">
        <v>62</v>
      </c>
      <c r="I1" s="13" t="s">
        <v>208</v>
      </c>
      <c r="J1" s="13" t="s">
        <v>76</v>
      </c>
      <c r="K1" s="13" t="s">
        <v>207</v>
      </c>
      <c r="L1" s="13" t="s">
        <v>199</v>
      </c>
      <c r="M1" s="13" t="s">
        <v>206</v>
      </c>
      <c r="N1" s="13" t="s">
        <v>200</v>
      </c>
      <c r="O1" s="13" t="s">
        <v>201</v>
      </c>
      <c r="P1" s="13" t="s">
        <v>202</v>
      </c>
      <c r="Q1" s="13" t="s">
        <v>203</v>
      </c>
      <c r="R1" s="13" t="s">
        <v>204</v>
      </c>
      <c r="S1" s="13" t="s">
        <v>205</v>
      </c>
      <c r="T1" s="13" t="s">
        <v>1</v>
      </c>
      <c r="U1" s="13" t="s">
        <v>90</v>
      </c>
    </row>
    <row r="2" spans="1:21" x14ac:dyDescent="0.25">
      <c r="A2" s="11">
        <f>IF(XL_THCS_AV[[#This Row],[Mã lớp]]="","",ROW()-ROW(XL_THCS_AV[[#Headers],[Mã lớp]]))</f>
        <v>1</v>
      </c>
      <c r="B2" s="8" t="s">
        <v>266</v>
      </c>
      <c r="C2" s="10" t="str">
        <f>IF(XL_THCS_AV[[#This Row],[Mã lớp]]="","",INDEX(XepLop[[#All],[Tên lớp]],MATCH(XL_THCS_AV[[#This Row],[Mã lớp]],XepLop[[#All],[Mã lớp]],0)))</f>
        <v>Anh văn THCS - Khối 6 7</v>
      </c>
      <c r="D2" s="10" t="str">
        <f>IF(XL_THCS_AV[[#This Row],[Mã lớp]]="","",INDEX(XepLop[[#All],[Mô tả]],MATCH(XL_THCS_AV[[#This Row],[Mã lớp]],XepLop[[#All],[Mã lớp]],0)))</f>
        <v>Lớp của cô Thùy Mỵ</v>
      </c>
      <c r="E2" s="10" t="str">
        <f>IF(XL_THCS_AV[[#This Row],[Mã HS]]="","",INDEX(Ds_Nguồn[[#All],[Tên học sinh]],MATCH(XL_THCS_AV[[#This Row],[Mã HS]],Ds_Nguồn[[#All],[Mã HS]],0)))</f>
        <v>Hồng Minh Phát</v>
      </c>
      <c r="F2" s="8" t="s">
        <v>140</v>
      </c>
      <c r="G2" s="9" t="str">
        <f>IF(OR(XL_THCS_AV[[#This Row],[Mã HS]]="",XL_THCS_AV[[#This Row],[Mã lớp]]=""),"",VLOOKUP(XL_THCS_AV[[#This Row],[Mã HS]],Ds_Nguồn[[Mã HS]:[Email]],4,0))</f>
        <v>Lớp 6</v>
      </c>
      <c r="H2" s="10" t="str">
        <f>IF(XL_THCS_AV[[#This Row],[Mã lớp]]="","",INDEX(Sản_phẩm[[#All],[Môn học]],MATCH(LEFT(XL_THCS_AV[[#This Row],[Mã lớp]],2),Sản_phẩm[[#All],[Kí hiệu]],0)))</f>
        <v>Anh văn - Trung học cơ sở</v>
      </c>
      <c r="I2" s="9" t="str">
        <f>IF(XL_THCS_AV[[#This Row],[Mã lớp]]="","",INDEX(XepLop[[#All],[Ca]],MATCH(B2,XepLop[[#All],[Mã lớp]],0)))</f>
        <v>Tối</v>
      </c>
      <c r="J2" s="10" t="str">
        <f>IF(XL_THCS_AV[[#This Row],[Mã lớp]]="","",_xlfn.TEXTJOIN("_",TRUE,INDEX(Data_thamchieu!$AM:$AS,MATCH($B2,Data_thamchieu!$AG:$AG,0),0)))</f>
        <v>Thứ Ba_Thứ Năm</v>
      </c>
      <c r="K2" s="9" t="str">
        <f>IF(XL_THCS_AV[[#This Row],[Mã lớp]]="","",INDEX(XepLop[[#All],[Giờ đến]],MATCH(XL_THCS_AV[[#This Row],[Mã lớp]],XepLop[[#All],[Mã lớp]],0)))</f>
        <v>19h00</v>
      </c>
      <c r="L2" s="9" t="str">
        <f>IF(XL_THCS_AV[[#This Row],[Mã lớp]]="","",INDEX(XepLop[[#All],[Giờ về]],MATCH(XL_THCS_AV[[#This Row],[Mã lớp]],XepLop[[#All],[Mã lớp]],0)))</f>
        <v>20h30</v>
      </c>
      <c r="T2" s="10" t="str">
        <f>IF(XL_THCS_AV[[#This Row],[Mã lớp]]="","",INDEX(XepLop[[#All],[Phụ trách]],MATCH(XL_THCS_AV[[#This Row],[Mã lớp]],XepLop[[#All],[Mã lớp]],0)))</f>
        <v>Trần Thùy Mỵ</v>
      </c>
    </row>
    <row r="3" spans="1:21" x14ac:dyDescent="0.25">
      <c r="A3" s="11">
        <f>IF(XL_THCS_AV[[#This Row],[Mã lớp]]="","",ROW()-ROW(XL_THCS_AV[[#Headers],[Mã lớp]]))</f>
        <v>2</v>
      </c>
      <c r="B3" s="8" t="s">
        <v>271</v>
      </c>
      <c r="C3" s="10" t="str">
        <f>IF(XL_THCS_AV[[#This Row],[Mã lớp]]="","",INDEX(XepLop[[#All],[Tên lớp]],MATCH(XL_THCS_AV[[#This Row],[Mã lớp]],XepLop[[#All],[Mã lớp]],0)))</f>
        <v>Anh văn THCS - Khối 8 9</v>
      </c>
      <c r="D3" s="10" t="str">
        <f>IF(XL_THCS_AV[[#This Row],[Mã lớp]]="","",INDEX(XepLop[[#All],[Mô tả]],MATCH(XL_THCS_AV[[#This Row],[Mã lớp]],XepLop[[#All],[Mã lớp]],0)))</f>
        <v>Lớp của cô Anh Đào</v>
      </c>
      <c r="E3" s="10" t="str">
        <f>IF(XL_THCS_AV[[#This Row],[Mã HS]]="","",INDEX(Ds_Nguồn[[#All],[Tên học sinh]],MATCH(XL_THCS_AV[[#This Row],[Mã HS]],Ds_Nguồn[[#All],[Mã HS]],0)))</f>
        <v>Trần Huỳnh Trung Nghĩa</v>
      </c>
      <c r="F3" s="8" t="s">
        <v>143</v>
      </c>
      <c r="G3" s="9" t="str">
        <f>IF(OR(XL_THCS_AV[[#This Row],[Mã HS]]="",XL_THCS_AV[[#This Row],[Mã lớp]]=""),"",VLOOKUP(XL_THCS_AV[[#This Row],[Mã HS]],Ds_Nguồn[[Mã HS]:[Email]],4,0))</f>
        <v>Lớp 8</v>
      </c>
      <c r="H3" s="10" t="str">
        <f>IF(XL_THCS_AV[[#This Row],[Mã lớp]]="","",INDEX(Sản_phẩm[[#All],[Môn học]],MATCH(LEFT(XL_THCS_AV[[#This Row],[Mã lớp]],2),Sản_phẩm[[#All],[Kí hiệu]],0)))</f>
        <v>Anh văn - Trung học cơ sở</v>
      </c>
      <c r="I3" s="9" t="str">
        <f>IF(XL_THCS_AV[[#This Row],[Mã lớp]]="","",INDEX(XepLop[[#All],[Ca]],MATCH(B3,XepLop[[#All],[Mã lớp]],0)))</f>
        <v>Tối</v>
      </c>
      <c r="J3" s="10" t="str">
        <f>IF(XL_THCS_AV[[#This Row],[Mã lớp]]="","",_xlfn.TEXTJOIN("_",TRUE,INDEX(Data_thamchieu!$AM:$AS,MATCH($B3,Data_thamchieu!$AG:$AG,0),0)))</f>
        <v>Thứ Ba_Thứ Năm</v>
      </c>
      <c r="K3" s="9" t="str">
        <f>IF(XL_THCS_AV[[#This Row],[Mã lớp]]="","",INDEX(XepLop[[#All],[Giờ đến]],MATCH(XL_THCS_AV[[#This Row],[Mã lớp]],XepLop[[#All],[Mã lớp]],0)))</f>
        <v>19h00</v>
      </c>
      <c r="L3" s="9" t="str">
        <f>IF(XL_THCS_AV[[#This Row],[Mã lớp]]="","",INDEX(XepLop[[#All],[Giờ về]],MATCH(XL_THCS_AV[[#This Row],[Mã lớp]],XepLop[[#All],[Mã lớp]],0)))</f>
        <v>20h30</v>
      </c>
      <c r="N3" s="9" t="s">
        <v>24</v>
      </c>
      <c r="P3" s="9" t="s">
        <v>24</v>
      </c>
      <c r="T3" s="10" t="str">
        <f>IF(XL_THCS_AV[[#This Row],[Mã lớp]]="","",INDEX(XepLop[[#All],[Phụ trách]],MATCH(XL_THCS_AV[[#This Row],[Mã lớp]],XepLop[[#All],[Mã lớp]],0)))</f>
        <v>Đào Nguyễn Anh Đào</v>
      </c>
    </row>
    <row r="4" spans="1:21" x14ac:dyDescent="0.25">
      <c r="A4" s="11">
        <f>IF(XL_THCS_AV[[#This Row],[Mã lớp]]="","",ROW()-ROW(XL_THCS_AV[[#Headers],[Mã lớp]]))</f>
        <v>3</v>
      </c>
      <c r="B4" s="8" t="s">
        <v>271</v>
      </c>
      <c r="C4" s="10" t="str">
        <f>IF(XL_THCS_AV[[#This Row],[Mã lớp]]="","",INDEX(XepLop[[#All],[Tên lớp]],MATCH(XL_THCS_AV[[#This Row],[Mã lớp]],XepLop[[#All],[Mã lớp]],0)))</f>
        <v>Anh văn THCS - Khối 8 9</v>
      </c>
      <c r="D4" s="10" t="str">
        <f>IF(XL_THCS_AV[[#This Row],[Mã lớp]]="","",INDEX(XepLop[[#All],[Mô tả]],MATCH(XL_THCS_AV[[#This Row],[Mã lớp]],XepLop[[#All],[Mã lớp]],0)))</f>
        <v>Lớp của cô Anh Đào</v>
      </c>
      <c r="E4" s="10" t="str">
        <f>IF(XL_THCS_AV[[#This Row],[Mã HS]]="","",INDEX(Ds_Nguồn[[#All],[Tên học sinh]],MATCH(XL_THCS_AV[[#This Row],[Mã HS]],Ds_Nguồn[[#All],[Mã HS]],0)))</f>
        <v>Huỳnh Lê Ngọc Như</v>
      </c>
      <c r="F4" s="8" t="s">
        <v>148</v>
      </c>
      <c r="G4" s="9" t="str">
        <f>IF(OR(XL_THCS_AV[[#This Row],[Mã HS]]="",XL_THCS_AV[[#This Row],[Mã lớp]]=""),"",VLOOKUP(XL_THCS_AV[[#This Row],[Mã HS]],Ds_Nguồn[[Mã HS]:[Email]],4,0))</f>
        <v>Lớp 8</v>
      </c>
      <c r="H4" s="10" t="str">
        <f>IF(XL_THCS_AV[[#This Row],[Mã lớp]]="","",INDEX(Sản_phẩm[[#All],[Môn học]],MATCH(LEFT(XL_THCS_AV[[#This Row],[Mã lớp]],2),Sản_phẩm[[#All],[Kí hiệu]],0)))</f>
        <v>Anh văn - Trung học cơ sở</v>
      </c>
      <c r="I4" s="9" t="str">
        <f>IF(XL_THCS_AV[[#This Row],[Mã lớp]]="","",INDEX(XepLop[[#All],[Ca]],MATCH(B4,XepLop[[#All],[Mã lớp]],0)))</f>
        <v>Tối</v>
      </c>
      <c r="J4" s="10" t="str">
        <f>IF(XL_THCS_AV[[#This Row],[Mã lớp]]="","",_xlfn.TEXTJOIN("_",TRUE,INDEX(Data_thamchieu!$AM:$AS,MATCH($B4,Data_thamchieu!$AG:$AG,0),0)))</f>
        <v>Thứ Ba_Thứ Năm</v>
      </c>
      <c r="K4" s="9" t="str">
        <f>IF(XL_THCS_AV[[#This Row],[Mã lớp]]="","",INDEX(XepLop[[#All],[Giờ đến]],MATCH(XL_THCS_AV[[#This Row],[Mã lớp]],XepLop[[#All],[Mã lớp]],0)))</f>
        <v>19h00</v>
      </c>
      <c r="L4" s="9" t="str">
        <f>IF(XL_THCS_AV[[#This Row],[Mã lớp]]="","",INDEX(XepLop[[#All],[Giờ về]],MATCH(XL_THCS_AV[[#This Row],[Mã lớp]],XepLop[[#All],[Mã lớp]],0)))</f>
        <v>20h30</v>
      </c>
      <c r="N4" s="9" t="s">
        <v>24</v>
      </c>
      <c r="P4" s="9" t="s">
        <v>24</v>
      </c>
      <c r="T4" s="10" t="str">
        <f>IF(XL_THCS_AV[[#This Row],[Mã lớp]]="","",INDEX(XepLop[[#All],[Phụ trách]],MATCH(XL_THCS_AV[[#This Row],[Mã lớp]],XepLop[[#All],[Mã lớp]],0)))</f>
        <v>Đào Nguyễn Anh Đào</v>
      </c>
    </row>
    <row r="5" spans="1:21" customFormat="1" x14ac:dyDescent="0.25">
      <c r="A5" s="11">
        <f>IF(XL_THCS_AV[[#This Row],[Mã lớp]]="","",ROW()-ROW(XL_THCS_AV[[#Headers],[Mã lớp]]))</f>
        <v>4</v>
      </c>
      <c r="B5" s="8" t="s">
        <v>271</v>
      </c>
      <c r="C5" s="12" t="str">
        <f>IF(XL_THCS_AV[[#This Row],[Mã lớp]]="","",INDEX(XepLop[[#All],[Tên lớp]],MATCH(XL_THCS_AV[[#This Row],[Mã lớp]],XepLop[[#All],[Mã lớp]],0)))</f>
        <v>Anh văn THCS - Khối 8 9</v>
      </c>
      <c r="D5" s="12" t="str">
        <f>IF(XL_THCS_AV[[#This Row],[Mã lớp]]="","",INDEX(XepLop[[#All],[Mô tả]],MATCH(XL_THCS_AV[[#This Row],[Mã lớp]],XepLop[[#All],[Mã lớp]],0)))</f>
        <v>Lớp của cô Anh Đào</v>
      </c>
      <c r="E5" s="10" t="str">
        <f>IF(XL_THCS_AV[[#This Row],[Mã HS]]="","",INDEX(Ds_Nguồn[[#All],[Tên học sinh]],MATCH(XL_THCS_AV[[#This Row],[Mã HS]],Ds_Nguồn[[#All],[Mã HS]],0)))</f>
        <v>Đinh Việt Quốc Trang</v>
      </c>
      <c r="F5" s="8" t="s">
        <v>149</v>
      </c>
      <c r="G5" s="8" t="str">
        <f>IF(OR(XL_THCS_AV[[#This Row],[Mã HS]]="",XL_THCS_AV[[#This Row],[Mã lớp]]=""),"",VLOOKUP(XL_THCS_AV[[#This Row],[Mã HS]],Ds_Nguồn[[Mã HS]:[Email]],4,0))</f>
        <v>Lớp 8</v>
      </c>
      <c r="H5" s="12" t="str">
        <f>IF(XL_THCS_AV[[#This Row],[Mã lớp]]="","",INDEX(Sản_phẩm[[#All],[Môn học]],MATCH(LEFT(XL_THCS_AV[[#This Row],[Mã lớp]],2),Sản_phẩm[[#All],[Kí hiệu]],0)))</f>
        <v>Anh văn - Trung học cơ sở</v>
      </c>
      <c r="I5" s="8" t="str">
        <f>IF(XL_THCS_AV[[#This Row],[Mã lớp]]="","",INDEX(XepLop[[#All],[Ca]],MATCH(B5,XepLop[[#All],[Mã lớp]],0)))</f>
        <v>Tối</v>
      </c>
      <c r="J5" s="12" t="str">
        <f>IF(XL_THCS_AV[[#This Row],[Mã lớp]]="","",_xlfn.TEXTJOIN("_",TRUE,INDEX(Data_thamchieu!$AM:$AS,MATCH($B5,Data_thamchieu!$AG:$AG,0),0)))</f>
        <v>Thứ Ba_Thứ Năm</v>
      </c>
      <c r="K5" s="8" t="str">
        <f>IF(XL_THCS_AV[[#This Row],[Mã lớp]]="","",INDEX(XepLop[[#All],[Giờ đến]],MATCH(XL_THCS_AV[[#This Row],[Mã lớp]],XepLop[[#All],[Mã lớp]],0)))</f>
        <v>19h00</v>
      </c>
      <c r="L5" s="8" t="str">
        <f>IF(XL_THCS_AV[[#This Row],[Mã lớp]]="","",INDEX(XepLop[[#All],[Giờ về]],MATCH(XL_THCS_AV[[#This Row],[Mã lớp]],XepLop[[#All],[Mã lớp]],0)))</f>
        <v>20h30</v>
      </c>
      <c r="M5" s="9"/>
      <c r="N5" s="9" t="s">
        <v>24</v>
      </c>
      <c r="O5" s="9"/>
      <c r="P5" s="9" t="s">
        <v>24</v>
      </c>
      <c r="Q5" s="9"/>
      <c r="R5" s="9"/>
      <c r="S5" s="9"/>
      <c r="T5" s="12" t="str">
        <f>IF(XL_THCS_AV[[#This Row],[Mã lớp]]="","",INDEX(XepLop[[#All],[Phụ trách]],MATCH(XL_THCS_AV[[#This Row],[Mã lớp]],XepLop[[#All],[Mã lớp]],0)))</f>
        <v>Đào Nguyễn Anh Đào</v>
      </c>
      <c r="U5" s="9"/>
    </row>
    <row r="6" spans="1:21" customFormat="1" x14ac:dyDescent="0.25">
      <c r="A6" s="11">
        <f>IF(XL_THCS_AV[[#This Row],[Mã lớp]]="","",ROW()-ROW(XL_THCS_AV[[#Headers],[Mã lớp]]))</f>
        <v>5</v>
      </c>
      <c r="B6" s="8" t="s">
        <v>271</v>
      </c>
      <c r="C6" s="12" t="str">
        <f>IF(XL_THCS_AV[[#This Row],[Mã lớp]]="","",INDEX(XepLop[[#All],[Tên lớp]],MATCH(XL_THCS_AV[[#This Row],[Mã lớp]],XepLop[[#All],[Mã lớp]],0)))</f>
        <v>Anh văn THCS - Khối 8 9</v>
      </c>
      <c r="D6" s="12" t="str">
        <f>IF(XL_THCS_AV[[#This Row],[Mã lớp]]="","",INDEX(XepLop[[#All],[Mô tả]],MATCH(XL_THCS_AV[[#This Row],[Mã lớp]],XepLop[[#All],[Mã lớp]],0)))</f>
        <v>Lớp của cô Anh Đào</v>
      </c>
      <c r="E6" s="10" t="str">
        <f>IF(XL_THCS_AV[[#This Row],[Mã HS]]="","",INDEX(Ds_Nguồn[[#All],[Tên học sinh]],MATCH(XL_THCS_AV[[#This Row],[Mã HS]],Ds_Nguồn[[#All],[Mã HS]],0)))</f>
        <v>Nguyễn Lý Thiên Kim</v>
      </c>
      <c r="F6" s="8" t="s">
        <v>151</v>
      </c>
      <c r="G6" s="8" t="str">
        <f>IF(OR(XL_THCS_AV[[#This Row],[Mã HS]]="",XL_THCS_AV[[#This Row],[Mã lớp]]=""),"",VLOOKUP(XL_THCS_AV[[#This Row],[Mã HS]],Ds_Nguồn[[Mã HS]:[Email]],4,0))</f>
        <v>Lớp 8</v>
      </c>
      <c r="H6" s="12" t="str">
        <f>IF(XL_THCS_AV[[#This Row],[Mã lớp]]="","",INDEX(Sản_phẩm[[#All],[Môn học]],MATCH(LEFT(XL_THCS_AV[[#This Row],[Mã lớp]],2),Sản_phẩm[[#All],[Kí hiệu]],0)))</f>
        <v>Anh văn - Trung học cơ sở</v>
      </c>
      <c r="I6" s="8" t="str">
        <f>IF(XL_THCS_AV[[#This Row],[Mã lớp]]="","",INDEX(XepLop[[#All],[Ca]],MATCH(B6,XepLop[[#All],[Mã lớp]],0)))</f>
        <v>Tối</v>
      </c>
      <c r="J6" s="12" t="str">
        <f>IF(XL_THCS_AV[[#This Row],[Mã lớp]]="","",_xlfn.TEXTJOIN("_",TRUE,INDEX(Data_thamchieu!$AM:$AS,MATCH($B6,Data_thamchieu!$AG:$AG,0),0)))</f>
        <v>Thứ Ba_Thứ Năm</v>
      </c>
      <c r="K6" s="8" t="str">
        <f>IF(XL_THCS_AV[[#This Row],[Mã lớp]]="","",INDEX(XepLop[[#All],[Giờ đến]],MATCH(XL_THCS_AV[[#This Row],[Mã lớp]],XepLop[[#All],[Mã lớp]],0)))</f>
        <v>19h00</v>
      </c>
      <c r="L6" s="8" t="str">
        <f>IF(XL_THCS_AV[[#This Row],[Mã lớp]]="","",INDEX(XepLop[[#All],[Giờ về]],MATCH(XL_THCS_AV[[#This Row],[Mã lớp]],XepLop[[#All],[Mã lớp]],0)))</f>
        <v>20h30</v>
      </c>
      <c r="M6" s="9"/>
      <c r="N6" s="9" t="s">
        <v>24</v>
      </c>
      <c r="O6" s="9"/>
      <c r="P6" s="9" t="s">
        <v>24</v>
      </c>
      <c r="Q6" s="9"/>
      <c r="R6" s="9"/>
      <c r="S6" s="9"/>
      <c r="T6" s="12" t="str">
        <f>IF(XL_THCS_AV[[#This Row],[Mã lớp]]="","",INDEX(XepLop[[#All],[Phụ trách]],MATCH(XL_THCS_AV[[#This Row],[Mã lớp]],XepLop[[#All],[Mã lớp]],0)))</f>
        <v>Đào Nguyễn Anh Đào</v>
      </c>
      <c r="U6" s="9"/>
    </row>
    <row r="7" spans="1:21" x14ac:dyDescent="0.25">
      <c r="A7" s="11">
        <f>IF(XL_THCS_AV[[#This Row],[Mã lớp]]="","",ROW()-ROW(XL_THCS_AV[[#Headers],[Mã lớp]]))</f>
        <v>6</v>
      </c>
      <c r="B7" s="8" t="s">
        <v>266</v>
      </c>
      <c r="C7" s="10" t="str">
        <f>IF(XL_THCS_AV[[#This Row],[Mã lớp]]="","",INDEX(XepLop[[#All],[Tên lớp]],MATCH(XL_THCS_AV[[#This Row],[Mã lớp]],XepLop[[#All],[Mã lớp]],0)))</f>
        <v>Anh văn THCS - Khối 6 7</v>
      </c>
      <c r="D7" s="10" t="str">
        <f>IF(XL_THCS_AV[[#This Row],[Mã lớp]]="","",INDEX(XepLop[[#All],[Mô tả]],MATCH(XL_THCS_AV[[#This Row],[Mã lớp]],XepLop[[#All],[Mã lớp]],0)))</f>
        <v>Lớp của cô Thùy Mỵ</v>
      </c>
      <c r="E7" s="10" t="str">
        <f>IF(XL_THCS_AV[[#This Row],[Mã HS]]="","",INDEX(Ds_Nguồn[[#All],[Tên học sinh]],MATCH(XL_THCS_AV[[#This Row],[Mã HS]],Ds_Nguồn[[#All],[Mã HS]],0)))</f>
        <v>Nguyễn Lý Thiên Phúc</v>
      </c>
      <c r="F7" s="8" t="s">
        <v>152</v>
      </c>
      <c r="G7" s="9" t="str">
        <f>IF(OR(XL_THCS_AV[[#This Row],[Mã HS]]="",XL_THCS_AV[[#This Row],[Mã lớp]]=""),"",VLOOKUP(XL_THCS_AV[[#This Row],[Mã HS]],Ds_Nguồn[[Mã HS]:[Email]],4,0))</f>
        <v>Lớp 6</v>
      </c>
      <c r="H7" s="10" t="str">
        <f>IF(XL_THCS_AV[[#This Row],[Mã lớp]]="","",INDEX(Sản_phẩm[[#All],[Môn học]],MATCH(LEFT(XL_THCS_AV[[#This Row],[Mã lớp]],2),Sản_phẩm[[#All],[Kí hiệu]],0)))</f>
        <v>Anh văn - Trung học cơ sở</v>
      </c>
      <c r="I7" s="9" t="str">
        <f>IF(XL_THCS_AV[[#This Row],[Mã lớp]]="","",INDEX(XepLop[[#All],[Ca]],MATCH(B7,XepLop[[#All],[Mã lớp]],0)))</f>
        <v>Tối</v>
      </c>
      <c r="J7" s="10" t="str">
        <f>IF(XL_THCS_AV[[#This Row],[Mã lớp]]="","",_xlfn.TEXTJOIN("_",TRUE,INDEX(Data_thamchieu!$AM:$AS,MATCH($B7,Data_thamchieu!$AG:$AG,0),0)))</f>
        <v>Thứ Ba_Thứ Năm</v>
      </c>
      <c r="K7" s="9" t="str">
        <f>IF(XL_THCS_AV[[#This Row],[Mã lớp]]="","",INDEX(XepLop[[#All],[Giờ đến]],MATCH(XL_THCS_AV[[#This Row],[Mã lớp]],XepLop[[#All],[Mã lớp]],0)))</f>
        <v>19h00</v>
      </c>
      <c r="L7" s="9" t="str">
        <f>IF(XL_THCS_AV[[#This Row],[Mã lớp]]="","",INDEX(XepLop[[#All],[Giờ về]],MATCH(XL_THCS_AV[[#This Row],[Mã lớp]],XepLop[[#All],[Mã lớp]],0)))</f>
        <v>20h30</v>
      </c>
      <c r="T7" s="10" t="str">
        <f>IF(XL_THCS_AV[[#This Row],[Mã lớp]]="","",INDEX(XepLop[[#All],[Phụ trách]],MATCH(XL_THCS_AV[[#This Row],[Mã lớp]],XepLop[[#All],[Mã lớp]],0)))</f>
        <v>Trần Thùy Mỵ</v>
      </c>
    </row>
    <row r="8" spans="1:21" customFormat="1" x14ac:dyDescent="0.25">
      <c r="A8" s="11">
        <f>IF(XL_THCS_AV[[#This Row],[Mã lớp]]="","",ROW()-ROW(XL_THCS_AV[[#Headers],[Mã lớp]]))</f>
        <v>7</v>
      </c>
      <c r="B8" s="8" t="s">
        <v>266</v>
      </c>
      <c r="C8" s="12" t="str">
        <f>IF(XL_THCS_AV[[#This Row],[Mã lớp]]="","",INDEX(XepLop[[#All],[Tên lớp]],MATCH(XL_THCS_AV[[#This Row],[Mã lớp]],XepLop[[#All],[Mã lớp]],0)))</f>
        <v>Anh văn THCS - Khối 6 7</v>
      </c>
      <c r="D8" s="12" t="str">
        <f>IF(XL_THCS_AV[[#This Row],[Mã lớp]]="","",INDEX(XepLop[[#All],[Mô tả]],MATCH(XL_THCS_AV[[#This Row],[Mã lớp]],XepLop[[#All],[Mã lớp]],0)))</f>
        <v>Lớp của cô Thùy Mỵ</v>
      </c>
      <c r="E8" s="10" t="str">
        <f>IF(XL_THCS_AV[[#This Row],[Mã HS]]="","",INDEX(Ds_Nguồn[[#All],[Tên học sinh]],MATCH(XL_THCS_AV[[#This Row],[Mã HS]],Ds_Nguồn[[#All],[Mã HS]],0)))</f>
        <v>Bùi Phan Thiên Phú</v>
      </c>
      <c r="F8" s="8" t="s">
        <v>154</v>
      </c>
      <c r="G8" s="8" t="str">
        <f>IF(OR(XL_THCS_AV[[#This Row],[Mã HS]]="",XL_THCS_AV[[#This Row],[Mã lớp]]=""),"",VLOOKUP(XL_THCS_AV[[#This Row],[Mã HS]],Ds_Nguồn[[Mã HS]:[Email]],4,0))</f>
        <v>Lớp 6</v>
      </c>
      <c r="H8" s="12" t="str">
        <f>IF(XL_THCS_AV[[#This Row],[Mã lớp]]="","",INDEX(Sản_phẩm[[#All],[Môn học]],MATCH(LEFT(XL_THCS_AV[[#This Row],[Mã lớp]],2),Sản_phẩm[[#All],[Kí hiệu]],0)))</f>
        <v>Anh văn - Trung học cơ sở</v>
      </c>
      <c r="I8" s="8" t="str">
        <f>IF(XL_THCS_AV[[#This Row],[Mã lớp]]="","",INDEX(XepLop[[#All],[Ca]],MATCH(B8,XepLop[[#All],[Mã lớp]],0)))</f>
        <v>Tối</v>
      </c>
      <c r="J8" s="12" t="str">
        <f>IF(XL_THCS_AV[[#This Row],[Mã lớp]]="","",_xlfn.TEXTJOIN("_",TRUE,INDEX(Data_thamchieu!$AM:$AS,MATCH($B8,Data_thamchieu!$AG:$AG,0),0)))</f>
        <v>Thứ Ba_Thứ Năm</v>
      </c>
      <c r="K8" s="8" t="str">
        <f>IF(XL_THCS_AV[[#This Row],[Mã lớp]]="","",INDEX(XepLop[[#All],[Giờ đến]],MATCH(XL_THCS_AV[[#This Row],[Mã lớp]],XepLop[[#All],[Mã lớp]],0)))</f>
        <v>19h00</v>
      </c>
      <c r="L8" s="8" t="str">
        <f>IF(XL_THCS_AV[[#This Row],[Mã lớp]]="","",INDEX(XepLop[[#All],[Giờ về]],MATCH(XL_THCS_AV[[#This Row],[Mã lớp]],XepLop[[#All],[Mã lớp]],0)))</f>
        <v>20h30</v>
      </c>
      <c r="M8" s="9"/>
      <c r="N8" s="9"/>
      <c r="O8" s="9"/>
      <c r="P8" s="9"/>
      <c r="Q8" s="9"/>
      <c r="R8" s="9"/>
      <c r="S8" s="9"/>
      <c r="T8" s="12" t="str">
        <f>IF(XL_THCS_AV[[#This Row],[Mã lớp]]="","",INDEX(XepLop[[#All],[Phụ trách]],MATCH(XL_THCS_AV[[#This Row],[Mã lớp]],XepLop[[#All],[Mã lớp]],0)))</f>
        <v>Trần Thùy Mỵ</v>
      </c>
      <c r="U8" s="9"/>
    </row>
    <row r="9" spans="1:21" x14ac:dyDescent="0.25">
      <c r="A9" s="11">
        <f>IF(XL_THCS_AV[[#This Row],[Mã lớp]]="","",ROW()-ROW(XL_THCS_AV[[#Headers],[Mã lớp]]))</f>
        <v>8</v>
      </c>
      <c r="B9" s="8" t="s">
        <v>266</v>
      </c>
      <c r="C9" s="10" t="str">
        <f>IF(XL_THCS_AV[[#This Row],[Mã lớp]]="","",INDEX(XepLop[[#All],[Tên lớp]],MATCH(XL_THCS_AV[[#This Row],[Mã lớp]],XepLop[[#All],[Mã lớp]],0)))</f>
        <v>Anh văn THCS - Khối 6 7</v>
      </c>
      <c r="D9" s="10" t="str">
        <f>IF(XL_THCS_AV[[#This Row],[Mã lớp]]="","",INDEX(XepLop[[#All],[Mô tả]],MATCH(XL_THCS_AV[[#This Row],[Mã lớp]],XepLop[[#All],[Mã lớp]],0)))</f>
        <v>Lớp của cô Thùy Mỵ</v>
      </c>
      <c r="E9" s="10" t="str">
        <f>IF(XL_THCS_AV[[#This Row],[Mã HS]]="","",INDEX(Ds_Nguồn[[#All],[Tên học sinh]],MATCH(XL_THCS_AV[[#This Row],[Mã HS]],Ds_Nguồn[[#All],[Mã HS]],0)))</f>
        <v>Nguyễn Hữu Vinh</v>
      </c>
      <c r="F9" s="8" t="s">
        <v>158</v>
      </c>
      <c r="G9" s="9" t="str">
        <f>IF(OR(XL_THCS_AV[[#This Row],[Mã HS]]="",XL_THCS_AV[[#This Row],[Mã lớp]]=""),"",VLOOKUP(XL_THCS_AV[[#This Row],[Mã HS]],Ds_Nguồn[[Mã HS]:[Email]],4,0))</f>
        <v>Lớp 6</v>
      </c>
      <c r="H9" s="10" t="str">
        <f>IF(XL_THCS_AV[[#This Row],[Mã lớp]]="","",INDEX(Sản_phẩm[[#All],[Môn học]],MATCH(LEFT(XL_THCS_AV[[#This Row],[Mã lớp]],2),Sản_phẩm[[#All],[Kí hiệu]],0)))</f>
        <v>Anh văn - Trung học cơ sở</v>
      </c>
      <c r="I9" s="9" t="str">
        <f>IF(XL_THCS_AV[[#This Row],[Mã lớp]]="","",INDEX(XepLop[[#All],[Ca]],MATCH(B9,XepLop[[#All],[Mã lớp]],0)))</f>
        <v>Tối</v>
      </c>
      <c r="J9" s="12" t="str">
        <f>IF(XL_THCS_AV[[#This Row],[Mã lớp]]="","",_xlfn.TEXTJOIN("_",TRUE,INDEX(Data_thamchieu!$AM:$AS,MATCH($B9,Data_thamchieu!$AG:$AG,0),0)))</f>
        <v>Thứ Ba_Thứ Năm</v>
      </c>
      <c r="K9" s="9" t="str">
        <f>IF(XL_THCS_AV[[#This Row],[Mã lớp]]="","",INDEX(XepLop[[#All],[Giờ đến]],MATCH(XL_THCS_AV[[#This Row],[Mã lớp]],XepLop[[#All],[Mã lớp]],0)))</f>
        <v>19h00</v>
      </c>
      <c r="L9" s="9" t="str">
        <f>IF(XL_THCS_AV[[#This Row],[Mã lớp]]="","",INDEX(XepLop[[#All],[Giờ về]],MATCH(XL_THCS_AV[[#This Row],[Mã lớp]],XepLop[[#All],[Mã lớp]],0)))</f>
        <v>20h30</v>
      </c>
      <c r="T9" s="10" t="str">
        <f>IF(XL_THCS_AV[[#This Row],[Mã lớp]]="","",INDEX(XepLop[[#All],[Phụ trách]],MATCH(XL_THCS_AV[[#This Row],[Mã lớp]],XepLop[[#All],[Mã lớp]],0)))</f>
        <v>Trần Thùy Mỵ</v>
      </c>
    </row>
    <row r="10" spans="1:21" x14ac:dyDescent="0.25">
      <c r="A10" s="11">
        <f>IF(XL_THCS_AV[[#This Row],[Mã lớp]]="","",ROW()-ROW(XL_THCS_AV[[#Headers],[Mã lớp]]))</f>
        <v>9</v>
      </c>
      <c r="B10" s="8" t="s">
        <v>271</v>
      </c>
      <c r="C10" s="10" t="str">
        <f>IF(XL_THCS_AV[[#This Row],[Mã lớp]]="","",INDEX(XepLop[[#All],[Tên lớp]],MATCH(XL_THCS_AV[[#This Row],[Mã lớp]],XepLop[[#All],[Mã lớp]],0)))</f>
        <v>Anh văn THCS - Khối 8 9</v>
      </c>
      <c r="D10" s="10" t="str">
        <f>IF(XL_THCS_AV[[#This Row],[Mã lớp]]="","",INDEX(XepLop[[#All],[Mô tả]],MATCH(XL_THCS_AV[[#This Row],[Mã lớp]],XepLop[[#All],[Mã lớp]],0)))</f>
        <v>Lớp của cô Anh Đào</v>
      </c>
      <c r="E10" s="10" t="str">
        <f>IF(XL_THCS_AV[[#This Row],[Mã HS]]="","",INDEX(Ds_Nguồn[[#All],[Tên học sinh]],MATCH(XL_THCS_AV[[#This Row],[Mã HS]],Ds_Nguồn[[#All],[Mã HS]],0)))</f>
        <v>Trần Đăng Khoa</v>
      </c>
      <c r="F10" s="8" t="s">
        <v>172</v>
      </c>
      <c r="G10" s="9" t="str">
        <f>IF(OR(XL_THCS_AV[[#This Row],[Mã HS]]="",XL_THCS_AV[[#This Row],[Mã lớp]]=""),"",VLOOKUP(XL_THCS_AV[[#This Row],[Mã HS]],Ds_Nguồn[[Mã HS]:[Email]],4,0))</f>
        <v>Lớp 8</v>
      </c>
      <c r="H10" s="10" t="str">
        <f>IF(XL_THCS_AV[[#This Row],[Mã lớp]]="","",INDEX(Sản_phẩm[[#All],[Môn học]],MATCH(LEFT(XL_THCS_AV[[#This Row],[Mã lớp]],2),Sản_phẩm[[#All],[Kí hiệu]],0)))</f>
        <v>Anh văn - Trung học cơ sở</v>
      </c>
      <c r="I10" s="9" t="str">
        <f>IF(XL_THCS_AV[[#This Row],[Mã lớp]]="","",INDEX(XepLop[[#All],[Ca]],MATCH(B10,XepLop[[#All],[Mã lớp]],0)))</f>
        <v>Tối</v>
      </c>
      <c r="J10" s="12" t="str">
        <f>IF(XL_THCS_AV[[#This Row],[Mã lớp]]="","",_xlfn.TEXTJOIN("_",TRUE,INDEX(Data_thamchieu!$AM:$AS,MATCH($B10,Data_thamchieu!$AG:$AG,0),0)))</f>
        <v>Thứ Ba_Thứ Năm</v>
      </c>
      <c r="K10" s="9" t="str">
        <f>IF(XL_THCS_AV[[#This Row],[Mã lớp]]="","",INDEX(XepLop[[#All],[Giờ đến]],MATCH(XL_THCS_AV[[#This Row],[Mã lớp]],XepLop[[#All],[Mã lớp]],0)))</f>
        <v>19h00</v>
      </c>
      <c r="L10" s="9" t="str">
        <f>IF(XL_THCS_AV[[#This Row],[Mã lớp]]="","",INDEX(XepLop[[#All],[Giờ về]],MATCH(XL_THCS_AV[[#This Row],[Mã lớp]],XepLop[[#All],[Mã lớp]],0)))</f>
        <v>20h30</v>
      </c>
      <c r="N10" s="9" t="s">
        <v>24</v>
      </c>
      <c r="P10" s="9" t="s">
        <v>24</v>
      </c>
      <c r="T10" s="10" t="str">
        <f>IF(XL_THCS_AV[[#This Row],[Mã lớp]]="","",INDEX(XepLop[[#All],[Phụ trách]],MATCH(XL_THCS_AV[[#This Row],[Mã lớp]],XepLop[[#All],[Mã lớp]],0)))</f>
        <v>Đào Nguyễn Anh Đào</v>
      </c>
    </row>
    <row r="11" spans="1:21" x14ac:dyDescent="0.25">
      <c r="A11" s="11">
        <f>IF(XL_THCS_AV[[#This Row],[Mã lớp]]="","",ROW()-ROW(XL_THCS_AV[[#Headers],[Mã lớp]]))</f>
        <v>10</v>
      </c>
      <c r="B11" s="8" t="s">
        <v>266</v>
      </c>
      <c r="C11" s="10" t="str">
        <f>IF(XL_THCS_AV[[#This Row],[Mã lớp]]="","",INDEX(XepLop[[#All],[Tên lớp]],MATCH(XL_THCS_AV[[#This Row],[Mã lớp]],XepLop[[#All],[Mã lớp]],0)))</f>
        <v>Anh văn THCS - Khối 6 7</v>
      </c>
      <c r="D11" s="10" t="str">
        <f>IF(XL_THCS_AV[[#This Row],[Mã lớp]]="","",INDEX(XepLop[[#All],[Mô tả]],MATCH(XL_THCS_AV[[#This Row],[Mã lớp]],XepLop[[#All],[Mã lớp]],0)))</f>
        <v>Lớp của cô Thùy Mỵ</v>
      </c>
      <c r="E11" s="10" t="str">
        <f>IF(XL_THCS_AV[[#This Row],[Mã HS]]="","",INDEX(Ds_Nguồn[[#All],[Tên học sinh]],MATCH(XL_THCS_AV[[#This Row],[Mã HS]],Ds_Nguồn[[#All],[Mã HS]],0)))</f>
        <v>Hoàng Hà Chi</v>
      </c>
      <c r="F11" s="8" t="s">
        <v>183</v>
      </c>
      <c r="G11" s="9" t="str">
        <f>IF(OR(XL_THCS_AV[[#This Row],[Mã HS]]="",XL_THCS_AV[[#This Row],[Mã lớp]]=""),"",VLOOKUP(XL_THCS_AV[[#This Row],[Mã HS]],Ds_Nguồn[[Mã HS]:[Email]],4,0))</f>
        <v>Lớp 6</v>
      </c>
      <c r="H11" s="10" t="str">
        <f>IF(XL_THCS_AV[[#This Row],[Mã lớp]]="","",INDEX(Sản_phẩm[[#All],[Môn học]],MATCH(LEFT(XL_THCS_AV[[#This Row],[Mã lớp]],2),Sản_phẩm[[#All],[Kí hiệu]],0)))</f>
        <v>Anh văn - Trung học cơ sở</v>
      </c>
      <c r="I11" s="9" t="str">
        <f>IF(XL_THCS_AV[[#This Row],[Mã lớp]]="","",INDEX(XepLop[[#All],[Ca]],MATCH(B11,XepLop[[#All],[Mã lớp]],0)))</f>
        <v>Tối</v>
      </c>
      <c r="J11" s="12" t="str">
        <f>IF(XL_THCS_AV[[#This Row],[Mã lớp]]="","",_xlfn.TEXTJOIN("_",TRUE,INDEX(Data_thamchieu!$AM:$AS,MATCH($B11,Data_thamchieu!$AG:$AG,0),0)))</f>
        <v>Thứ Ba_Thứ Năm</v>
      </c>
      <c r="K11" s="9" t="str">
        <f>IF(XL_THCS_AV[[#This Row],[Mã lớp]]="","",INDEX(XepLop[[#All],[Giờ đến]],MATCH(XL_THCS_AV[[#This Row],[Mã lớp]],XepLop[[#All],[Mã lớp]],0)))</f>
        <v>19h00</v>
      </c>
      <c r="L11" s="9" t="str">
        <f>IF(XL_THCS_AV[[#This Row],[Mã lớp]]="","",INDEX(XepLop[[#All],[Giờ về]],MATCH(XL_THCS_AV[[#This Row],[Mã lớp]],XepLop[[#All],[Mã lớp]],0)))</f>
        <v>20h30</v>
      </c>
      <c r="T11" s="10" t="str">
        <f>IF(XL_THCS_AV[[#This Row],[Mã lớp]]="","",INDEX(XepLop[[#All],[Phụ trách]],MATCH(XL_THCS_AV[[#This Row],[Mã lớp]],XepLop[[#All],[Mã lớp]],0)))</f>
        <v>Trần Thùy Mỵ</v>
      </c>
    </row>
    <row r="12" spans="1:21" x14ac:dyDescent="0.25">
      <c r="A12" s="11">
        <f>IF(XL_THCS_AV[[#This Row],[Mã lớp]]="","",ROW()-ROW(XL_THCS_AV[[#Headers],[Mã lớp]]))</f>
        <v>11</v>
      </c>
      <c r="B12" s="8" t="s">
        <v>271</v>
      </c>
      <c r="C12" s="10" t="str">
        <f>IF(XL_THCS_AV[[#This Row],[Mã lớp]]="","",INDEX(XepLop[[#All],[Tên lớp]],MATCH(XL_THCS_AV[[#This Row],[Mã lớp]],XepLop[[#All],[Mã lớp]],0)))</f>
        <v>Anh văn THCS - Khối 8 9</v>
      </c>
      <c r="D12" s="10" t="str">
        <f>IF(XL_THCS_AV[[#This Row],[Mã lớp]]="","",INDEX(XepLop[[#All],[Mô tả]],MATCH(XL_THCS_AV[[#This Row],[Mã lớp]],XepLop[[#All],[Mã lớp]],0)))</f>
        <v>Lớp của cô Anh Đào</v>
      </c>
      <c r="E12" s="10" t="str">
        <f>IF(XL_THCS_AV[[#This Row],[Mã HS]]="","",INDEX(Ds_Nguồn[[#All],[Tên học sinh]],MATCH(XL_THCS_AV[[#This Row],[Mã HS]],Ds_Nguồn[[#All],[Mã HS]],0)))</f>
        <v>Đinh Việt Quốc Trang</v>
      </c>
      <c r="F12" s="8" t="s">
        <v>149</v>
      </c>
      <c r="G12" s="9" t="str">
        <f>IF(OR(XL_THCS_AV[[#This Row],[Mã HS]]="",XL_THCS_AV[[#This Row],[Mã lớp]]=""),"",VLOOKUP(XL_THCS_AV[[#This Row],[Mã HS]],Ds_Nguồn[[Mã HS]:[Email]],4,0))</f>
        <v>Lớp 8</v>
      </c>
      <c r="H12" s="10" t="str">
        <f>IF(XL_THCS_AV[[#This Row],[Mã lớp]]="","",INDEX(Sản_phẩm[[#All],[Môn học]],MATCH(LEFT(XL_THCS_AV[[#This Row],[Mã lớp]],2),Sản_phẩm[[#All],[Kí hiệu]],0)))</f>
        <v>Anh văn - Trung học cơ sở</v>
      </c>
      <c r="I12" s="9" t="str">
        <f>IF(XL_THCS_AV[[#This Row],[Mã lớp]]="","",INDEX(XepLop[[#All],[Ca]],MATCH(B12,XepLop[[#All],[Mã lớp]],0)))</f>
        <v>Tối</v>
      </c>
      <c r="J12" s="12" t="str">
        <f>IF(XL_THCS_AV[[#This Row],[Mã lớp]]="","",_xlfn.TEXTJOIN("_",TRUE,INDEX(Data_thamchieu!$AM:$AS,MATCH($B12,Data_thamchieu!$AG:$AG,0),0)))</f>
        <v>Thứ Ba_Thứ Năm</v>
      </c>
      <c r="K12" s="9" t="str">
        <f>IF(XL_THCS_AV[[#This Row],[Mã lớp]]="","",INDEX(XepLop[[#All],[Giờ đến]],MATCH(XL_THCS_AV[[#This Row],[Mã lớp]],XepLop[[#All],[Mã lớp]],0)))</f>
        <v>19h00</v>
      </c>
      <c r="L12" s="9" t="str">
        <f>IF(XL_THCS_AV[[#This Row],[Mã lớp]]="","",INDEX(XepLop[[#All],[Giờ về]],MATCH(XL_THCS_AV[[#This Row],[Mã lớp]],XepLop[[#All],[Mã lớp]],0)))</f>
        <v>20h30</v>
      </c>
      <c r="N12" s="9" t="s">
        <v>24</v>
      </c>
      <c r="P12" s="9" t="s">
        <v>24</v>
      </c>
      <c r="T12" s="10" t="str">
        <f>IF(XL_THCS_AV[[#This Row],[Mã lớp]]="","",INDEX(XepLop[[#All],[Phụ trách]],MATCH(XL_THCS_AV[[#This Row],[Mã lớp]],XepLop[[#All],[Mã lớp]],0)))</f>
        <v>Đào Nguyễn Anh Đào</v>
      </c>
    </row>
    <row r="13" spans="1:21" customFormat="1" x14ac:dyDescent="0.25">
      <c r="A13" s="11">
        <f>IF(XL_THCS_AV[[#This Row],[Mã lớp]]="","",ROW()-ROW(XL_THCS_AV[[#Headers],[Mã lớp]]))</f>
        <v>12</v>
      </c>
      <c r="B13" s="8" t="s">
        <v>266</v>
      </c>
      <c r="C13" s="12" t="str">
        <f>IF(XL_THCS_AV[[#This Row],[Mã lớp]]="","",INDEX(XepLop[[#All],[Tên lớp]],MATCH(XL_THCS_AV[[#This Row],[Mã lớp]],XepLop[[#All],[Mã lớp]],0)))</f>
        <v>Anh văn THCS - Khối 6 7</v>
      </c>
      <c r="D13" s="12" t="str">
        <f>IF(XL_THCS_AV[[#This Row],[Mã lớp]]="","",INDEX(XepLop[[#All],[Mô tả]],MATCH(XL_THCS_AV[[#This Row],[Mã lớp]],XepLop[[#All],[Mã lớp]],0)))</f>
        <v>Lớp của cô Thùy Mỵ</v>
      </c>
      <c r="E13" s="10" t="str">
        <f>IF(XL_THCS_AV[[#This Row],[Mã HS]]="","",INDEX(Ds_Nguồn[[#All],[Tên học sinh]],MATCH(XL_THCS_AV[[#This Row],[Mã HS]],Ds_Nguồn[[#All],[Mã HS]],0)))</f>
        <v>Lê Thị Xuân Nhi</v>
      </c>
      <c r="F13" s="8" t="s">
        <v>173</v>
      </c>
      <c r="G13" s="8" t="str">
        <f>IF(OR(XL_THCS_AV[[#This Row],[Mã HS]]="",XL_THCS_AV[[#This Row],[Mã lớp]]=""),"",VLOOKUP(XL_THCS_AV[[#This Row],[Mã HS]],Ds_Nguồn[[Mã HS]:[Email]],4,0))</f>
        <v>Lớp 6</v>
      </c>
      <c r="H13" s="12" t="str">
        <f>IF(XL_THCS_AV[[#This Row],[Mã lớp]]="","",INDEX(Sản_phẩm[[#All],[Môn học]],MATCH(LEFT(XL_THCS_AV[[#This Row],[Mã lớp]],2),Sản_phẩm[[#All],[Kí hiệu]],0)))</f>
        <v>Anh văn - Trung học cơ sở</v>
      </c>
      <c r="I13" s="9" t="str">
        <f>IF(XL_THCS_AV[[#This Row],[Mã lớp]]="","",INDEX(XepLop[[#All],[Ca]],MATCH(B13,XepLop[[#All],[Mã lớp]],0)))</f>
        <v>Tối</v>
      </c>
      <c r="J13" s="12" t="str">
        <f>IF(XL_THCS_AV[[#This Row],[Mã lớp]]="","",_xlfn.TEXTJOIN("_",TRUE,INDEX(Data_thamchieu!$AM:$AS,MATCH($B13,Data_thamchieu!$AG:$AG,0),0)))</f>
        <v>Thứ Ba_Thứ Năm</v>
      </c>
      <c r="K13" s="8" t="str">
        <f>IF(XL_THCS_AV[[#This Row],[Mã lớp]]="","",INDEX(XepLop[[#All],[Giờ đến]],MATCH(XL_THCS_AV[[#This Row],[Mã lớp]],XepLop[[#All],[Mã lớp]],0)))</f>
        <v>19h00</v>
      </c>
      <c r="L13" s="8" t="str">
        <f>IF(XL_THCS_AV[[#This Row],[Mã lớp]]="","",INDEX(XepLop[[#All],[Giờ về]],MATCH(XL_THCS_AV[[#This Row],[Mã lớp]],XepLop[[#All],[Mã lớp]],0)))</f>
        <v>20h30</v>
      </c>
      <c r="M13" s="9"/>
      <c r="N13" s="9"/>
      <c r="O13" s="9"/>
      <c r="P13" s="9"/>
      <c r="Q13" s="9"/>
      <c r="R13" s="9"/>
      <c r="S13" s="9"/>
      <c r="T13" s="12" t="str">
        <f>IF(XL_THCS_AV[[#This Row],[Mã lớp]]="","",INDEX(XepLop[[#All],[Phụ trách]],MATCH(XL_THCS_AV[[#This Row],[Mã lớp]],XepLop[[#All],[Mã lớp]],0)))</f>
        <v>Trần Thùy Mỵ</v>
      </c>
      <c r="U13" s="9"/>
    </row>
    <row r="14" spans="1:21" customFormat="1" x14ac:dyDescent="0.25">
      <c r="A14" s="11">
        <f>IF(XL_THCS_AV[[#This Row],[Mã lớp]]="","",ROW()-ROW(XL_THCS_AV[[#Headers],[Mã lớp]]))</f>
        <v>13</v>
      </c>
      <c r="B14" s="8" t="s">
        <v>266</v>
      </c>
      <c r="C14" s="12" t="str">
        <f>IF(XL_THCS_AV[[#This Row],[Mã lớp]]="","",INDEX(XepLop[[#All],[Tên lớp]],MATCH(XL_THCS_AV[[#This Row],[Mã lớp]],XepLop[[#All],[Mã lớp]],0)))</f>
        <v>Anh văn THCS - Khối 6 7</v>
      </c>
      <c r="D14" s="12" t="str">
        <f>IF(XL_THCS_AV[[#This Row],[Mã lớp]]="","",INDEX(XepLop[[#All],[Mô tả]],MATCH(XL_THCS_AV[[#This Row],[Mã lớp]],XepLop[[#All],[Mã lớp]],0)))</f>
        <v>Lớp của cô Thùy Mỵ</v>
      </c>
      <c r="E14" s="10" t="str">
        <f>IF(XL_THCS_AV[[#This Row],[Mã HS]]="","",INDEX(Ds_Nguồn[[#All],[Tên học sinh]],MATCH(XL_THCS_AV[[#This Row],[Mã HS]],Ds_Nguồn[[#All],[Mã HS]],0)))</f>
        <v>Nguyễn Đặng Ánh Dương</v>
      </c>
      <c r="F14" s="8" t="s">
        <v>177</v>
      </c>
      <c r="G14" s="8" t="str">
        <f>IF(OR(XL_THCS_AV[[#This Row],[Mã HS]]="",XL_THCS_AV[[#This Row],[Mã lớp]]=""),"",VLOOKUP(XL_THCS_AV[[#This Row],[Mã HS]],Ds_Nguồn[[Mã HS]:[Email]],4,0))</f>
        <v>Lớp 5</v>
      </c>
      <c r="H14" s="12" t="str">
        <f>IF(XL_THCS_AV[[#This Row],[Mã lớp]]="","",INDEX(Sản_phẩm[[#All],[Môn học]],MATCH(LEFT(XL_THCS_AV[[#This Row],[Mã lớp]],2),Sản_phẩm[[#All],[Kí hiệu]],0)))</f>
        <v>Anh văn - Trung học cơ sở</v>
      </c>
      <c r="I14" s="9" t="str">
        <f>IF(XL_THCS_AV[[#This Row],[Mã lớp]]="","",INDEX(XepLop[[#All],[Ca]],MATCH(B14,XepLop[[#All],[Mã lớp]],0)))</f>
        <v>Tối</v>
      </c>
      <c r="J14" s="12" t="str">
        <f>IF(XL_THCS_AV[[#This Row],[Mã lớp]]="","",_xlfn.TEXTJOIN("_",TRUE,INDEX(Data_thamchieu!$AM:$AS,MATCH($B14,Data_thamchieu!$AG:$AG,0),0)))</f>
        <v>Thứ Ba_Thứ Năm</v>
      </c>
      <c r="K14" s="8" t="str">
        <f>IF(XL_THCS_AV[[#This Row],[Mã lớp]]="","",INDEX(XepLop[[#All],[Giờ đến]],MATCH(XL_THCS_AV[[#This Row],[Mã lớp]],XepLop[[#All],[Mã lớp]],0)))</f>
        <v>19h00</v>
      </c>
      <c r="L14" s="8" t="str">
        <f>IF(XL_THCS_AV[[#This Row],[Mã lớp]]="","",INDEX(XepLop[[#All],[Giờ về]],MATCH(XL_THCS_AV[[#This Row],[Mã lớp]],XepLop[[#All],[Mã lớp]],0)))</f>
        <v>20h30</v>
      </c>
      <c r="M14" s="9"/>
      <c r="N14" s="9"/>
      <c r="O14" s="9"/>
      <c r="P14" s="9"/>
      <c r="Q14" s="9"/>
      <c r="R14" s="9"/>
      <c r="S14" s="9"/>
      <c r="T14" s="12" t="str">
        <f>IF(XL_THCS_AV[[#This Row],[Mã lớp]]="","",INDEX(XepLop[[#All],[Phụ trách]],MATCH(XL_THCS_AV[[#This Row],[Mã lớp]],XepLop[[#All],[Mã lớp]],0)))</f>
        <v>Trần Thùy Mỵ</v>
      </c>
      <c r="U14" s="9"/>
    </row>
    <row r="15" spans="1:21" customFormat="1" x14ac:dyDescent="0.25">
      <c r="A15" s="11">
        <f>IF(XL_THCS_AV[[#This Row],[Mã lớp]]="","",ROW()-ROW(XL_THCS_AV[[#Headers],[Mã lớp]]))</f>
        <v>14</v>
      </c>
      <c r="B15" s="8" t="s">
        <v>266</v>
      </c>
      <c r="C15" s="12" t="str">
        <f>IF(XL_THCS_AV[[#This Row],[Mã lớp]]="","",INDEX(XepLop[[#All],[Tên lớp]],MATCH(XL_THCS_AV[[#This Row],[Mã lớp]],XepLop[[#All],[Mã lớp]],0)))</f>
        <v>Anh văn THCS - Khối 6 7</v>
      </c>
      <c r="D15" s="12" t="str">
        <f>IF(XL_THCS_AV[[#This Row],[Mã lớp]]="","",INDEX(XepLop[[#All],[Mô tả]],MATCH(XL_THCS_AV[[#This Row],[Mã lớp]],XepLop[[#All],[Mã lớp]],0)))</f>
        <v>Lớp của cô Thùy Mỵ</v>
      </c>
      <c r="E15" s="10" t="str">
        <f>IF(XL_THCS_AV[[#This Row],[Mã HS]]="","",INDEX(Ds_Nguồn[[#All],[Tên học sinh]],MATCH(XL_THCS_AV[[#This Row],[Mã HS]],Ds_Nguồn[[#All],[Mã HS]],0)))</f>
        <v>Vũ Võ Minh Hoàng</v>
      </c>
      <c r="F15" s="8" t="s">
        <v>179</v>
      </c>
      <c r="G15" s="8" t="str">
        <f>IF(OR(XL_THCS_AV[[#This Row],[Mã HS]]="",XL_THCS_AV[[#This Row],[Mã lớp]]=""),"",VLOOKUP(XL_THCS_AV[[#This Row],[Mã HS]],Ds_Nguồn[[Mã HS]:[Email]],4,0))</f>
        <v>Lớp 7</v>
      </c>
      <c r="H15" s="12" t="str">
        <f>IF(XL_THCS_AV[[#This Row],[Mã lớp]]="","",INDEX(Sản_phẩm[[#All],[Môn học]],MATCH(LEFT(XL_THCS_AV[[#This Row],[Mã lớp]],2),Sản_phẩm[[#All],[Kí hiệu]],0)))</f>
        <v>Anh văn - Trung học cơ sở</v>
      </c>
      <c r="I15" s="9" t="str">
        <f>IF(XL_THCS_AV[[#This Row],[Mã lớp]]="","",INDEX(XepLop[[#All],[Ca]],MATCH(B15,XepLop[[#All],[Mã lớp]],0)))</f>
        <v>Tối</v>
      </c>
      <c r="J15" s="12" t="str">
        <f>IF(XL_THCS_AV[[#This Row],[Mã lớp]]="","",_xlfn.TEXTJOIN("_",TRUE,INDEX(Data_thamchieu!$AM:$AS,MATCH($B15,Data_thamchieu!$AG:$AG,0),0)))</f>
        <v>Thứ Ba_Thứ Năm</v>
      </c>
      <c r="K15" s="8" t="str">
        <f>IF(XL_THCS_AV[[#This Row],[Mã lớp]]="","",INDEX(XepLop[[#All],[Giờ đến]],MATCH(XL_THCS_AV[[#This Row],[Mã lớp]],XepLop[[#All],[Mã lớp]],0)))</f>
        <v>19h00</v>
      </c>
      <c r="L15" s="8" t="str">
        <f>IF(XL_THCS_AV[[#This Row],[Mã lớp]]="","",INDEX(XepLop[[#All],[Giờ về]],MATCH(XL_THCS_AV[[#This Row],[Mã lớp]],XepLop[[#All],[Mã lớp]],0)))</f>
        <v>20h30</v>
      </c>
      <c r="M15" s="9"/>
      <c r="N15" s="9"/>
      <c r="O15" s="9"/>
      <c r="P15" s="9"/>
      <c r="Q15" s="9"/>
      <c r="R15" s="9"/>
      <c r="S15" s="9"/>
      <c r="T15" s="12" t="str">
        <f>IF(XL_THCS_AV[[#This Row],[Mã lớp]]="","",INDEX(XepLop[[#All],[Phụ trách]],MATCH(XL_THCS_AV[[#This Row],[Mã lớp]],XepLop[[#All],[Mã lớp]],0)))</f>
        <v>Trần Thùy Mỵ</v>
      </c>
      <c r="U15" s="9"/>
    </row>
    <row r="16" spans="1:21" x14ac:dyDescent="0.25">
      <c r="A16" s="11">
        <f>IF(XL_THCS_AV[[#This Row],[Mã lớp]]="","",ROW()-ROW(XL_THCS_AV[[#Headers],[Mã lớp]]))</f>
        <v>15</v>
      </c>
      <c r="B16" s="8" t="s">
        <v>271</v>
      </c>
      <c r="C16" s="10" t="str">
        <f>IF(XL_THCS_AV[[#This Row],[Mã lớp]]="","",INDEX(XepLop[[#All],[Tên lớp]],MATCH(XL_THCS_AV[[#This Row],[Mã lớp]],XepLop[[#All],[Mã lớp]],0)))</f>
        <v>Anh văn THCS - Khối 8 9</v>
      </c>
      <c r="D16" s="10" t="str">
        <f>IF(XL_THCS_AV[[#This Row],[Mã lớp]]="","",INDEX(XepLop[[#All],[Mô tả]],MATCH(XL_THCS_AV[[#This Row],[Mã lớp]],XepLop[[#All],[Mã lớp]],0)))</f>
        <v>Lớp của cô Anh Đào</v>
      </c>
      <c r="E16" s="10" t="str">
        <f>IF(XL_THCS_AV[[#This Row],[Mã HS]]="","",INDEX(Ds_Nguồn[[#All],[Tên học sinh]],MATCH(XL_THCS_AV[[#This Row],[Mã HS]],Ds_Nguồn[[#All],[Mã HS]],0)))</f>
        <v>Nguyễn Đặng Thùy Dương</v>
      </c>
      <c r="F16" s="8" t="s">
        <v>160</v>
      </c>
      <c r="G16" s="9" t="str">
        <f>IF(OR(XL_THCS_AV[[#This Row],[Mã HS]]="",XL_THCS_AV[[#This Row],[Mã lớp]]=""),"",VLOOKUP(XL_THCS_AV[[#This Row],[Mã HS]],Ds_Nguồn[[Mã HS]:[Email]],4,0))</f>
        <v>Lớp 8</v>
      </c>
      <c r="H16" s="10" t="str">
        <f>IF(XL_THCS_AV[[#This Row],[Mã lớp]]="","",INDEX(Sản_phẩm[[#All],[Môn học]],MATCH(LEFT(XL_THCS_AV[[#This Row],[Mã lớp]],2),Sản_phẩm[[#All],[Kí hiệu]],0)))</f>
        <v>Anh văn - Trung học cơ sở</v>
      </c>
      <c r="I16" s="9" t="str">
        <f>IF(XL_THCS_AV[[#This Row],[Mã lớp]]="","",INDEX(XepLop[[#All],[Ca]],MATCH(B16,XepLop[[#All],[Mã lớp]],0)))</f>
        <v>Tối</v>
      </c>
      <c r="J16" s="12" t="str">
        <f>IF(XL_THCS_AV[[#This Row],[Mã lớp]]="","",_xlfn.TEXTJOIN("_",TRUE,INDEX(Data_thamchieu!$AM:$AS,MATCH($B16,Data_thamchieu!$AG:$AG,0),0)))</f>
        <v>Thứ Ba_Thứ Năm</v>
      </c>
      <c r="K16" s="9" t="str">
        <f>IF(XL_THCS_AV[[#This Row],[Mã lớp]]="","",INDEX(XepLop[[#All],[Giờ đến]],MATCH(XL_THCS_AV[[#This Row],[Mã lớp]],XepLop[[#All],[Mã lớp]],0)))</f>
        <v>19h00</v>
      </c>
      <c r="L16" s="9" t="str">
        <f>IF(XL_THCS_AV[[#This Row],[Mã lớp]]="","",INDEX(XepLop[[#All],[Giờ về]],MATCH(XL_THCS_AV[[#This Row],[Mã lớp]],XepLop[[#All],[Mã lớp]],0)))</f>
        <v>20h30</v>
      </c>
      <c r="N16" s="9" t="s">
        <v>24</v>
      </c>
      <c r="P16" s="9" t="s">
        <v>24</v>
      </c>
      <c r="T16" s="10" t="str">
        <f>IF(XL_THCS_AV[[#This Row],[Mã lớp]]="","",INDEX(XepLop[[#All],[Phụ trách]],MATCH(XL_THCS_AV[[#This Row],[Mã lớp]],XepLop[[#All],[Mã lớp]],0)))</f>
        <v>Đào Nguyễn Anh Đào</v>
      </c>
    </row>
    <row r="17" spans="1:20" x14ac:dyDescent="0.25">
      <c r="A17" s="9">
        <f>IF(XL_THCS_AV[[#This Row],[Mã lớp]]="","",ROW()-ROW(XL_THCS_AV[[#Headers],[Mã lớp]]))</f>
        <v>16</v>
      </c>
      <c r="B17" s="8" t="s">
        <v>266</v>
      </c>
      <c r="C17" s="10" t="str">
        <f>IF(XL_THCS_AV[[#This Row],[Mã lớp]]="","",INDEX(XepLop[[#All],[Tên lớp]],MATCH(XL_THCS_AV[[#This Row],[Mã lớp]],XepLop[[#All],[Mã lớp]],0)))</f>
        <v>Anh văn THCS - Khối 6 7</v>
      </c>
      <c r="D17" s="10" t="str">
        <f>IF(XL_THCS_AV[[#This Row],[Mã lớp]]="","",INDEX(XepLop[[#All],[Mô tả]],MATCH(XL_THCS_AV[[#This Row],[Mã lớp]],XepLop[[#All],[Mã lớp]],0)))</f>
        <v>Lớp của cô Thùy Mỵ</v>
      </c>
      <c r="E17" s="10" t="str">
        <f>IF(XL_THCS_AV[[#This Row],[Mã HS]]="","",INDEX(Ds_Nguồn[[#All],[Tên học sinh]],MATCH(XL_THCS_AV[[#This Row],[Mã HS]],Ds_Nguồn[[#All],[Mã HS]],0)))</f>
        <v>Đinh Việt Thiên Trang</v>
      </c>
      <c r="F17" s="8" t="s">
        <v>150</v>
      </c>
      <c r="G17" s="9" t="str">
        <f>IF(OR(XL_THCS_AV[[#This Row],[Mã HS]]="",XL_THCS_AV[[#This Row],[Mã lớp]]=""),"",VLOOKUP(XL_THCS_AV[[#This Row],[Mã HS]],Ds_Nguồn[[Mã HS]:[Email]],4,0))</f>
        <v>Lớp 5</v>
      </c>
      <c r="H17" s="10" t="str">
        <f>IF(XL_THCS_AV[[#This Row],[Mã lớp]]="","",INDEX(Sản_phẩm[[#All],[Môn học]],MATCH(LEFT(XL_THCS_AV[[#This Row],[Mã lớp]],2),Sản_phẩm[[#All],[Kí hiệu]],0)))</f>
        <v>Anh văn - Trung học cơ sở</v>
      </c>
      <c r="I17" s="9" t="str">
        <f>IF(XL_THCS_AV[[#This Row],[Mã lớp]]="","",INDEX(XepLop[[#All],[Ca]],MATCH(B17,XepLop[[#All],[Mã lớp]],0)))</f>
        <v>Tối</v>
      </c>
      <c r="J17" s="15" t="str">
        <f>IF(XL_THCS_AV[[#This Row],[Mã lớp]]="","",_xlfn.TEXTJOIN("_",TRUE,INDEX(Data_thamchieu!$AM:$AS,MATCH($B17,Data_thamchieu!$AG:$AG,0),0)))</f>
        <v>Thứ Ba_Thứ Năm</v>
      </c>
      <c r="K17" s="9" t="str">
        <f>IF(XL_THCS_AV[[#This Row],[Mã lớp]]="","",INDEX(XepLop[[#All],[Giờ đến]],MATCH(XL_THCS_AV[[#This Row],[Mã lớp]],XepLop[[#All],[Mã lớp]],0)))</f>
        <v>19h00</v>
      </c>
      <c r="L17" s="9" t="str">
        <f>IF(XL_THCS_AV[[#This Row],[Mã lớp]]="","",INDEX(XepLop[[#All],[Giờ về]],MATCH(XL_THCS_AV[[#This Row],[Mã lớp]],XepLop[[#All],[Mã lớp]],0)))</f>
        <v>20h30</v>
      </c>
      <c r="T17" s="10" t="str">
        <f>IF(XL_THCS_AV[[#This Row],[Mã lớp]]="","",INDEX(XepLop[[#All],[Phụ trách]],MATCH(XL_THCS_AV[[#This Row],[Mã lớp]],XepLop[[#All],[Mã lớp]],0)))</f>
        <v>Trần Thùy Mỵ</v>
      </c>
    </row>
  </sheetData>
  <conditionalFormatting sqref="M2:S17">
    <cfRule type="expression" dxfId="3" priority="1">
      <formula>M2=""</formula>
    </cfRule>
    <cfRule type="expression" dxfId="2" priority="2">
      <formula>M2&lt;&gt;""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932088-00C8-480A-866E-431B0F10F880}">
          <x14:formula1>
            <xm:f>OFFSET(Data_thamchieu!$AG$2,0,0,COUNTA(Data_thamchieu!$AG:$AG)-1,1)</xm:f>
          </x14:formula1>
          <xm:sqref>B2:B17</xm:sqref>
        </x14:dataValidation>
        <x14:dataValidation type="list" allowBlank="1" showInputMessage="1" showErrorMessage="1" xr:uid="{0CCD5B08-7AED-4B30-95A7-1DA9315FDE14}">
          <x14:formula1>
            <xm:f>OFFSET(Data_thamchieu!$H$2,0,0,COUNTA(Data_thamchieu!$H:$H)-1,1)</xm:f>
          </x14:formula1>
          <xm:sqref>M2:S17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5318D-66AA-4C11-B0BA-E4C639C2C5D7}">
  <sheetPr>
    <tabColor theme="8" tint="0.59999389629810485"/>
  </sheetPr>
  <dimension ref="A1:X73"/>
  <sheetViews>
    <sheetView workbookViewId="0">
      <selection activeCell="G29" sqref="G29"/>
    </sheetView>
  </sheetViews>
  <sheetFormatPr defaultRowHeight="15" x14ac:dyDescent="0.25"/>
  <cols>
    <col min="1" max="1" width="5.28515625" style="9" bestFit="1" customWidth="1"/>
    <col min="2" max="2" width="9.7109375" style="9" bestFit="1" customWidth="1"/>
    <col min="3" max="3" width="22.140625" style="9" bestFit="1" customWidth="1"/>
    <col min="4" max="4" width="36.42578125" style="9" bestFit="1" customWidth="1"/>
    <col min="5" max="5" width="24.28515625" style="9" bestFit="1" customWidth="1"/>
    <col min="6" max="6" width="8.85546875" style="9" bestFit="1" customWidth="1"/>
    <col min="7" max="7" width="9.28515625" style="9" bestFit="1" customWidth="1"/>
    <col min="8" max="8" width="31" style="9" bestFit="1" customWidth="1"/>
    <col min="9" max="9" width="7.7109375" style="9" bestFit="1" customWidth="1"/>
    <col min="10" max="10" width="48.140625" style="9" bestFit="1" customWidth="1"/>
    <col min="11" max="11" width="13" style="9" bestFit="1" customWidth="1"/>
    <col min="12" max="12" width="11.5703125" style="9" bestFit="1" customWidth="1"/>
    <col min="13" max="13" width="10.140625" style="9" bestFit="1" customWidth="1"/>
    <col min="14" max="14" width="9.42578125" style="9" bestFit="1" customWidth="1"/>
    <col min="15" max="15" width="12" style="9" bestFit="1" customWidth="1"/>
    <col min="16" max="16" width="11.42578125" style="9" bestFit="1" customWidth="1"/>
    <col min="17" max="17" width="10.7109375" style="9" bestFit="1" customWidth="1"/>
    <col min="18" max="18" width="10.5703125" style="9" bestFit="1" customWidth="1"/>
    <col min="19" max="19" width="14" style="9" bestFit="1" customWidth="1"/>
    <col min="20" max="20" width="22.5703125" style="9" bestFit="1" customWidth="1"/>
    <col min="21" max="21" width="10" style="9" bestFit="1" customWidth="1"/>
    <col min="22" max="22" width="8.28515625" style="9" bestFit="1" customWidth="1"/>
    <col min="23" max="23" width="9.85546875" style="9" bestFit="1" customWidth="1"/>
    <col min="24" max="25" width="8.28515625" style="9" bestFit="1" customWidth="1"/>
    <col min="26" max="26" width="31" style="9" bestFit="1" customWidth="1"/>
    <col min="27" max="27" width="8.28515625" style="9" bestFit="1" customWidth="1"/>
    <col min="28" max="28" width="48.140625" style="9" bestFit="1" customWidth="1"/>
    <col min="29" max="30" width="10.7109375" style="9" bestFit="1" customWidth="1"/>
    <col min="31" max="31" width="8.140625" style="9" bestFit="1" customWidth="1"/>
    <col min="32" max="32" width="14.42578125" style="9" bestFit="1" customWidth="1"/>
    <col min="33" max="33" width="10.140625" style="9" bestFit="1" customWidth="1"/>
    <col min="34" max="34" width="14.42578125" style="9" bestFit="1" customWidth="1"/>
    <col min="35" max="35" width="7.85546875" style="9" bestFit="1" customWidth="1"/>
    <col min="36" max="37" width="14.42578125" style="9" bestFit="1" customWidth="1"/>
    <col min="38" max="38" width="23.5703125" style="9" bestFit="1" customWidth="1"/>
    <col min="39" max="40" width="14.42578125" style="9" bestFit="1" customWidth="1"/>
    <col min="41" max="16384" width="9.140625" style="9"/>
  </cols>
  <sheetData>
    <row r="1" spans="1:24" x14ac:dyDescent="0.25">
      <c r="A1" t="s">
        <v>4</v>
      </c>
      <c r="B1" t="s">
        <v>75</v>
      </c>
      <c r="C1" s="9" t="s">
        <v>232</v>
      </c>
      <c r="D1" t="s">
        <v>5</v>
      </c>
      <c r="E1" t="s">
        <v>196</v>
      </c>
      <c r="F1" t="s">
        <v>127</v>
      </c>
      <c r="G1" t="s">
        <v>212</v>
      </c>
      <c r="H1" s="9" t="s">
        <v>62</v>
      </c>
      <c r="I1" s="9" t="s">
        <v>208</v>
      </c>
      <c r="J1" t="s">
        <v>76</v>
      </c>
      <c r="K1" s="9" t="s">
        <v>207</v>
      </c>
      <c r="L1" s="9" t="s">
        <v>199</v>
      </c>
      <c r="M1" t="s">
        <v>206</v>
      </c>
      <c r="N1" t="s">
        <v>200</v>
      </c>
      <c r="O1" s="9" t="s">
        <v>201</v>
      </c>
      <c r="P1" t="s">
        <v>202</v>
      </c>
      <c r="Q1" t="s">
        <v>203</v>
      </c>
      <c r="R1" t="s">
        <v>204</v>
      </c>
      <c r="S1" s="9" t="s">
        <v>205</v>
      </c>
      <c r="T1" t="s">
        <v>1</v>
      </c>
      <c r="U1" t="s">
        <v>90</v>
      </c>
      <c r="V1" t="s">
        <v>296</v>
      </c>
      <c r="W1" t="s">
        <v>297</v>
      </c>
      <c r="X1"/>
    </row>
    <row r="2" spans="1:24" x14ac:dyDescent="0.25">
      <c r="A2">
        <v>1</v>
      </c>
      <c r="B2" t="s">
        <v>198</v>
      </c>
      <c r="C2" s="9" t="s">
        <v>38</v>
      </c>
      <c r="D2" t="s">
        <v>211</v>
      </c>
      <c r="E2" t="s">
        <v>18</v>
      </c>
      <c r="F2" t="s">
        <v>138</v>
      </c>
      <c r="G2" t="s">
        <v>274</v>
      </c>
      <c r="H2" s="9" t="s">
        <v>38</v>
      </c>
      <c r="I2" s="9" t="s">
        <v>197</v>
      </c>
      <c r="J2" t="s">
        <v>287</v>
      </c>
      <c r="K2" s="9" t="s">
        <v>209</v>
      </c>
      <c r="L2" s="9" t="s">
        <v>210</v>
      </c>
      <c r="M2" s="9" t="s">
        <v>31</v>
      </c>
      <c r="O2" s="9" t="s">
        <v>31</v>
      </c>
      <c r="Q2" s="9" t="s">
        <v>21</v>
      </c>
      <c r="T2" t="s">
        <v>64</v>
      </c>
      <c r="U2"/>
      <c r="V2">
        <v>1</v>
      </c>
      <c r="W2">
        <v>0</v>
      </c>
      <c r="X2"/>
    </row>
    <row r="3" spans="1:24" x14ac:dyDescent="0.25">
      <c r="A3">
        <v>2</v>
      </c>
      <c r="B3" t="s">
        <v>213</v>
      </c>
      <c r="C3" s="9" t="s">
        <v>38</v>
      </c>
      <c r="D3" t="s">
        <v>214</v>
      </c>
      <c r="E3" t="s">
        <v>91</v>
      </c>
      <c r="F3" t="s">
        <v>139</v>
      </c>
      <c r="G3" t="s">
        <v>275</v>
      </c>
      <c r="H3" s="9" t="s">
        <v>38</v>
      </c>
      <c r="I3" s="9" t="s">
        <v>197</v>
      </c>
      <c r="J3" t="s">
        <v>288</v>
      </c>
      <c r="K3" s="9" t="s">
        <v>209</v>
      </c>
      <c r="L3" s="9" t="s">
        <v>210</v>
      </c>
      <c r="N3" s="9" t="s">
        <v>12</v>
      </c>
      <c r="P3" s="9" t="s">
        <v>12</v>
      </c>
      <c r="Q3" s="9" t="s">
        <v>12</v>
      </c>
      <c r="T3" t="s">
        <v>10</v>
      </c>
      <c r="U3"/>
      <c r="V3">
        <v>2</v>
      </c>
      <c r="W3">
        <v>1</v>
      </c>
      <c r="X3"/>
    </row>
    <row r="4" spans="1:24" x14ac:dyDescent="0.25">
      <c r="A4">
        <v>3</v>
      </c>
      <c r="B4" t="s">
        <v>213</v>
      </c>
      <c r="C4" s="9" t="s">
        <v>38</v>
      </c>
      <c r="D4" t="s">
        <v>214</v>
      </c>
      <c r="E4" t="s">
        <v>92</v>
      </c>
      <c r="F4" t="s">
        <v>141</v>
      </c>
      <c r="G4" t="s">
        <v>274</v>
      </c>
      <c r="H4" s="9" t="s">
        <v>38</v>
      </c>
      <c r="I4" s="9" t="s">
        <v>197</v>
      </c>
      <c r="J4" t="s">
        <v>288</v>
      </c>
      <c r="K4" s="9" t="s">
        <v>209</v>
      </c>
      <c r="L4" s="9" t="s">
        <v>210</v>
      </c>
      <c r="N4" s="9" t="s">
        <v>12</v>
      </c>
      <c r="P4" s="9" t="s">
        <v>12</v>
      </c>
      <c r="Q4" s="9" t="s">
        <v>12</v>
      </c>
      <c r="T4" t="s">
        <v>10</v>
      </c>
      <c r="U4"/>
      <c r="V4">
        <v>3</v>
      </c>
      <c r="W4">
        <v>2</v>
      </c>
      <c r="X4"/>
    </row>
    <row r="5" spans="1:24" x14ac:dyDescent="0.25">
      <c r="A5">
        <v>4</v>
      </c>
      <c r="B5" t="s">
        <v>215</v>
      </c>
      <c r="C5" s="9" t="s">
        <v>38</v>
      </c>
      <c r="D5" t="s">
        <v>219</v>
      </c>
      <c r="E5" t="s">
        <v>93</v>
      </c>
      <c r="F5" t="s">
        <v>142</v>
      </c>
      <c r="G5" t="s">
        <v>274</v>
      </c>
      <c r="H5" s="9" t="s">
        <v>38</v>
      </c>
      <c r="I5" s="9" t="s">
        <v>197</v>
      </c>
      <c r="J5" t="s">
        <v>288</v>
      </c>
      <c r="K5" s="9" t="s">
        <v>209</v>
      </c>
      <c r="L5" s="9" t="s">
        <v>210</v>
      </c>
      <c r="N5" s="9" t="s">
        <v>21</v>
      </c>
      <c r="P5" s="9" t="s">
        <v>21</v>
      </c>
      <c r="Q5" s="9" t="s">
        <v>21</v>
      </c>
      <c r="T5" t="s">
        <v>20</v>
      </c>
      <c r="U5"/>
      <c r="V5">
        <v>4</v>
      </c>
      <c r="W5">
        <v>3</v>
      </c>
      <c r="X5"/>
    </row>
    <row r="6" spans="1:24" x14ac:dyDescent="0.25">
      <c r="A6">
        <v>5</v>
      </c>
      <c r="B6" t="s">
        <v>215</v>
      </c>
      <c r="C6" s="9" t="s">
        <v>38</v>
      </c>
      <c r="D6" t="s">
        <v>219</v>
      </c>
      <c r="E6" t="s">
        <v>95</v>
      </c>
      <c r="F6" t="s">
        <v>144</v>
      </c>
      <c r="G6" t="s">
        <v>278</v>
      </c>
      <c r="H6" s="9" t="s">
        <v>38</v>
      </c>
      <c r="I6" s="9" t="s">
        <v>197</v>
      </c>
      <c r="J6" t="s">
        <v>288</v>
      </c>
      <c r="K6" s="9" t="s">
        <v>209</v>
      </c>
      <c r="L6" s="9" t="s">
        <v>210</v>
      </c>
      <c r="M6" s="9" t="s">
        <v>31</v>
      </c>
      <c r="O6" s="9" t="s">
        <v>31</v>
      </c>
      <c r="Q6" s="9" t="s">
        <v>31</v>
      </c>
      <c r="T6" t="s">
        <v>20</v>
      </c>
      <c r="U6"/>
      <c r="V6">
        <v>5</v>
      </c>
      <c r="W6">
        <v>4</v>
      </c>
      <c r="X6"/>
    </row>
    <row r="7" spans="1:24" x14ac:dyDescent="0.25">
      <c r="A7">
        <v>6</v>
      </c>
      <c r="B7" t="s">
        <v>213</v>
      </c>
      <c r="C7" s="9" t="s">
        <v>38</v>
      </c>
      <c r="D7" t="s">
        <v>214</v>
      </c>
      <c r="E7" t="s">
        <v>97</v>
      </c>
      <c r="F7" t="s">
        <v>146</v>
      </c>
      <c r="G7" t="s">
        <v>274</v>
      </c>
      <c r="H7" s="9" t="s">
        <v>38</v>
      </c>
      <c r="I7" s="9" t="s">
        <v>197</v>
      </c>
      <c r="J7" t="s">
        <v>288</v>
      </c>
      <c r="K7" s="9" t="s">
        <v>209</v>
      </c>
      <c r="L7" s="9" t="s">
        <v>210</v>
      </c>
      <c r="N7" s="9" t="s">
        <v>12</v>
      </c>
      <c r="P7" s="9" t="s">
        <v>12</v>
      </c>
      <c r="Q7" s="9" t="s">
        <v>12</v>
      </c>
      <c r="T7" t="s">
        <v>10</v>
      </c>
      <c r="U7"/>
      <c r="V7">
        <v>6</v>
      </c>
      <c r="W7">
        <v>5</v>
      </c>
      <c r="X7"/>
    </row>
    <row r="8" spans="1:24" x14ac:dyDescent="0.25">
      <c r="A8">
        <v>7</v>
      </c>
      <c r="B8" t="s">
        <v>215</v>
      </c>
      <c r="C8" s="9" t="s">
        <v>38</v>
      </c>
      <c r="D8" t="s">
        <v>219</v>
      </c>
      <c r="E8" t="s">
        <v>98</v>
      </c>
      <c r="F8" t="s">
        <v>147</v>
      </c>
      <c r="G8" t="s">
        <v>274</v>
      </c>
      <c r="H8" s="9" t="s">
        <v>38</v>
      </c>
      <c r="I8" s="9" t="s">
        <v>197</v>
      </c>
      <c r="J8" t="s">
        <v>288</v>
      </c>
      <c r="K8" s="9" t="s">
        <v>209</v>
      </c>
      <c r="L8" s="9" t="s">
        <v>210</v>
      </c>
      <c r="N8" s="9" t="s">
        <v>21</v>
      </c>
      <c r="P8" s="9" t="s">
        <v>21</v>
      </c>
      <c r="Q8" s="9" t="s">
        <v>21</v>
      </c>
      <c r="T8" t="s">
        <v>20</v>
      </c>
      <c r="U8"/>
      <c r="V8">
        <v>7</v>
      </c>
      <c r="W8">
        <v>6</v>
      </c>
      <c r="X8"/>
    </row>
    <row r="9" spans="1:24" x14ac:dyDescent="0.25">
      <c r="A9">
        <v>8</v>
      </c>
      <c r="B9" t="s">
        <v>198</v>
      </c>
      <c r="C9" s="9" t="s">
        <v>38</v>
      </c>
      <c r="D9" t="s">
        <v>211</v>
      </c>
      <c r="E9" t="s">
        <v>33</v>
      </c>
      <c r="F9" t="s">
        <v>150</v>
      </c>
      <c r="G9" t="s">
        <v>275</v>
      </c>
      <c r="H9" s="9" t="s">
        <v>38</v>
      </c>
      <c r="I9" s="9" t="s">
        <v>197</v>
      </c>
      <c r="J9" t="s">
        <v>287</v>
      </c>
      <c r="K9" s="9" t="s">
        <v>209</v>
      </c>
      <c r="L9" s="9" t="s">
        <v>210</v>
      </c>
      <c r="M9" s="9" t="s">
        <v>31</v>
      </c>
      <c r="O9" s="9" t="s">
        <v>31</v>
      </c>
      <c r="Q9" s="9" t="s">
        <v>12</v>
      </c>
      <c r="T9" t="s">
        <v>64</v>
      </c>
      <c r="U9"/>
      <c r="V9">
        <v>8</v>
      </c>
      <c r="W9">
        <v>7</v>
      </c>
      <c r="X9"/>
    </row>
    <row r="10" spans="1:24" x14ac:dyDescent="0.25">
      <c r="A10">
        <v>9</v>
      </c>
      <c r="B10" t="s">
        <v>213</v>
      </c>
      <c r="C10" s="9" t="s">
        <v>38</v>
      </c>
      <c r="D10" t="s">
        <v>214</v>
      </c>
      <c r="E10" t="s">
        <v>102</v>
      </c>
      <c r="F10" t="s">
        <v>153</v>
      </c>
      <c r="G10" t="s">
        <v>274</v>
      </c>
      <c r="H10" s="9" t="s">
        <v>38</v>
      </c>
      <c r="I10" s="9" t="s">
        <v>197</v>
      </c>
      <c r="J10" t="s">
        <v>288</v>
      </c>
      <c r="K10" s="9" t="s">
        <v>209</v>
      </c>
      <c r="L10" s="9" t="s">
        <v>210</v>
      </c>
      <c r="N10" s="9" t="s">
        <v>12</v>
      </c>
      <c r="P10" s="9" t="s">
        <v>12</v>
      </c>
      <c r="Q10" s="9" t="s">
        <v>12</v>
      </c>
      <c r="T10" t="s">
        <v>10</v>
      </c>
      <c r="U10"/>
      <c r="V10">
        <v>9</v>
      </c>
      <c r="W10">
        <v>8</v>
      </c>
      <c r="X10"/>
    </row>
    <row r="11" spans="1:24" x14ac:dyDescent="0.25">
      <c r="A11">
        <v>10</v>
      </c>
      <c r="B11" t="s">
        <v>213</v>
      </c>
      <c r="C11" s="9" t="s">
        <v>38</v>
      </c>
      <c r="D11" t="s">
        <v>214</v>
      </c>
      <c r="E11" t="s">
        <v>103</v>
      </c>
      <c r="F11" t="s">
        <v>155</v>
      </c>
      <c r="G11" t="s">
        <v>274</v>
      </c>
      <c r="H11" s="9" t="s">
        <v>38</v>
      </c>
      <c r="I11" s="9" t="s">
        <v>197</v>
      </c>
      <c r="J11" t="s">
        <v>288</v>
      </c>
      <c r="K11" s="9" t="s">
        <v>209</v>
      </c>
      <c r="L11" s="9" t="s">
        <v>210</v>
      </c>
      <c r="N11" s="9" t="s">
        <v>12</v>
      </c>
      <c r="P11" s="9" t="s">
        <v>12</v>
      </c>
      <c r="Q11" s="9" t="s">
        <v>12</v>
      </c>
      <c r="T11" t="s">
        <v>10</v>
      </c>
      <c r="U11"/>
      <c r="V11">
        <v>10</v>
      </c>
      <c r="W11">
        <v>9</v>
      </c>
      <c r="X11"/>
    </row>
    <row r="12" spans="1:24" x14ac:dyDescent="0.25">
      <c r="A12">
        <v>11</v>
      </c>
      <c r="B12" t="s">
        <v>213</v>
      </c>
      <c r="C12" s="9" t="s">
        <v>38</v>
      </c>
      <c r="D12" t="s">
        <v>214</v>
      </c>
      <c r="E12" t="s">
        <v>109</v>
      </c>
      <c r="F12" t="s">
        <v>162</v>
      </c>
      <c r="G12" t="s">
        <v>275</v>
      </c>
      <c r="H12" s="9" t="s">
        <v>38</v>
      </c>
      <c r="I12" s="9" t="s">
        <v>197</v>
      </c>
      <c r="J12" t="s">
        <v>288</v>
      </c>
      <c r="K12" s="9" t="s">
        <v>209</v>
      </c>
      <c r="L12" s="9" t="s">
        <v>210</v>
      </c>
      <c r="N12" s="9" t="s">
        <v>12</v>
      </c>
      <c r="P12" s="9" t="s">
        <v>12</v>
      </c>
      <c r="Q12" s="9" t="s">
        <v>12</v>
      </c>
      <c r="T12" t="s">
        <v>10</v>
      </c>
      <c r="U12"/>
      <c r="V12">
        <v>11</v>
      </c>
      <c r="W12">
        <v>10</v>
      </c>
      <c r="X12"/>
    </row>
    <row r="13" spans="1:24" x14ac:dyDescent="0.25">
      <c r="A13">
        <v>12</v>
      </c>
      <c r="B13" t="s">
        <v>217</v>
      </c>
      <c r="C13" s="9" t="s">
        <v>38</v>
      </c>
      <c r="D13" t="s">
        <v>211</v>
      </c>
      <c r="E13" t="s">
        <v>111</v>
      </c>
      <c r="F13" t="s">
        <v>164</v>
      </c>
      <c r="G13" t="s">
        <v>278</v>
      </c>
      <c r="H13" s="9" t="s">
        <v>38</v>
      </c>
      <c r="I13" s="9" t="s">
        <v>197</v>
      </c>
      <c r="J13" t="s">
        <v>289</v>
      </c>
      <c r="K13" s="9" t="s">
        <v>209</v>
      </c>
      <c r="L13" s="9" t="s">
        <v>210</v>
      </c>
      <c r="Q13" s="9" t="s">
        <v>21</v>
      </c>
      <c r="R13" s="9" t="s">
        <v>17</v>
      </c>
      <c r="S13" s="9" t="s">
        <v>17</v>
      </c>
      <c r="T13" t="s">
        <v>15</v>
      </c>
      <c r="U13"/>
      <c r="V13">
        <v>12</v>
      </c>
      <c r="W13">
        <v>11</v>
      </c>
      <c r="X13"/>
    </row>
    <row r="14" spans="1:24" x14ac:dyDescent="0.25">
      <c r="A14">
        <v>13</v>
      </c>
      <c r="B14" t="s">
        <v>218</v>
      </c>
      <c r="C14" s="9" t="s">
        <v>38</v>
      </c>
      <c r="D14" t="s">
        <v>211</v>
      </c>
      <c r="E14" t="s">
        <v>113</v>
      </c>
      <c r="F14" t="s">
        <v>166</v>
      </c>
      <c r="G14" t="s">
        <v>274</v>
      </c>
      <c r="H14" s="9" t="s">
        <v>38</v>
      </c>
      <c r="I14" s="9" t="s">
        <v>197</v>
      </c>
      <c r="J14" t="s">
        <v>290</v>
      </c>
      <c r="K14" s="9" t="s">
        <v>209</v>
      </c>
      <c r="L14" s="9" t="s">
        <v>210</v>
      </c>
      <c r="R14" s="9" t="s">
        <v>17</v>
      </c>
      <c r="S14" s="9" t="s">
        <v>17</v>
      </c>
      <c r="T14" t="s">
        <v>15</v>
      </c>
      <c r="U14"/>
      <c r="V14">
        <v>13</v>
      </c>
      <c r="W14">
        <v>12</v>
      </c>
      <c r="X14"/>
    </row>
    <row r="15" spans="1:24" x14ac:dyDescent="0.25">
      <c r="A15">
        <v>14</v>
      </c>
      <c r="B15" t="s">
        <v>216</v>
      </c>
      <c r="C15" s="9" t="s">
        <v>38</v>
      </c>
      <c r="D15" t="s">
        <v>220</v>
      </c>
      <c r="E15" t="s">
        <v>114</v>
      </c>
      <c r="F15" t="s">
        <v>170</v>
      </c>
      <c r="G15" t="s">
        <v>282</v>
      </c>
      <c r="H15" s="9" t="s">
        <v>38</v>
      </c>
      <c r="I15" s="9" t="s">
        <v>197</v>
      </c>
      <c r="J15" t="s">
        <v>291</v>
      </c>
      <c r="K15" s="9" t="s">
        <v>209</v>
      </c>
      <c r="L15" s="9" t="s">
        <v>210</v>
      </c>
      <c r="M15" s="9" t="s">
        <v>31</v>
      </c>
      <c r="N15" s="9" t="s">
        <v>21</v>
      </c>
      <c r="O15" s="9" t="s">
        <v>31</v>
      </c>
      <c r="P15" s="9" t="s">
        <v>21</v>
      </c>
      <c r="Q15" s="9" t="s">
        <v>21</v>
      </c>
      <c r="T15" t="s">
        <v>64</v>
      </c>
      <c r="U15"/>
      <c r="V15">
        <v>14</v>
      </c>
      <c r="W15">
        <v>13</v>
      </c>
      <c r="X15"/>
    </row>
    <row r="16" spans="1:24" x14ac:dyDescent="0.25">
      <c r="A16">
        <v>15</v>
      </c>
      <c r="B16" t="s">
        <v>213</v>
      </c>
      <c r="C16" s="9" t="s">
        <v>38</v>
      </c>
      <c r="D16" t="s">
        <v>214</v>
      </c>
      <c r="E16" t="s">
        <v>121</v>
      </c>
      <c r="F16" t="s">
        <v>178</v>
      </c>
      <c r="G16" t="s">
        <v>274</v>
      </c>
      <c r="H16" s="9" t="s">
        <v>38</v>
      </c>
      <c r="I16" s="9" t="s">
        <v>197</v>
      </c>
      <c r="J16" t="s">
        <v>288</v>
      </c>
      <c r="K16" s="9" t="s">
        <v>209</v>
      </c>
      <c r="L16" s="9" t="s">
        <v>210</v>
      </c>
      <c r="N16" s="9" t="s">
        <v>12</v>
      </c>
      <c r="P16" s="9" t="s">
        <v>12</v>
      </c>
      <c r="Q16" s="9" t="s">
        <v>12</v>
      </c>
      <c r="T16" t="s">
        <v>10</v>
      </c>
      <c r="U16"/>
      <c r="V16">
        <v>15</v>
      </c>
      <c r="W16">
        <v>14</v>
      </c>
      <c r="X16"/>
    </row>
    <row r="17" spans="1:24" x14ac:dyDescent="0.25">
      <c r="A17">
        <v>16</v>
      </c>
      <c r="B17" t="s">
        <v>198</v>
      </c>
      <c r="C17" s="9" t="s">
        <v>38</v>
      </c>
      <c r="D17" t="s">
        <v>211</v>
      </c>
      <c r="E17" t="s">
        <v>27</v>
      </c>
      <c r="F17" t="s">
        <v>181</v>
      </c>
      <c r="G17" t="s">
        <v>275</v>
      </c>
      <c r="H17" s="9" t="s">
        <v>38</v>
      </c>
      <c r="I17" s="9" t="s">
        <v>197</v>
      </c>
      <c r="J17" t="s">
        <v>287</v>
      </c>
      <c r="K17" s="9" t="s">
        <v>209</v>
      </c>
      <c r="L17" s="9" t="s">
        <v>210</v>
      </c>
      <c r="M17" s="9" t="s">
        <v>31</v>
      </c>
      <c r="O17" s="9" t="s">
        <v>31</v>
      </c>
      <c r="Q17" s="9" t="s">
        <v>12</v>
      </c>
      <c r="T17" t="s">
        <v>64</v>
      </c>
      <c r="U17"/>
      <c r="V17">
        <v>16</v>
      </c>
      <c r="W17">
        <v>15</v>
      </c>
      <c r="X17"/>
    </row>
    <row r="18" spans="1:24" x14ac:dyDescent="0.25">
      <c r="A18">
        <v>17</v>
      </c>
      <c r="B18" t="s">
        <v>215</v>
      </c>
      <c r="C18" s="9" t="s">
        <v>38</v>
      </c>
      <c r="D18" t="s">
        <v>219</v>
      </c>
      <c r="E18" t="s">
        <v>123</v>
      </c>
      <c r="F18" t="s">
        <v>182</v>
      </c>
      <c r="G18" t="s">
        <v>283</v>
      </c>
      <c r="H18" s="9" t="s">
        <v>38</v>
      </c>
      <c r="I18" s="9" t="s">
        <v>197</v>
      </c>
      <c r="J18" t="s">
        <v>288</v>
      </c>
      <c r="K18" s="9" t="s">
        <v>209</v>
      </c>
      <c r="L18" s="9" t="s">
        <v>210</v>
      </c>
      <c r="N18" s="9" t="s">
        <v>21</v>
      </c>
      <c r="P18" s="9" t="s">
        <v>21</v>
      </c>
      <c r="Q18" s="9" t="s">
        <v>21</v>
      </c>
      <c r="T18" t="s">
        <v>20</v>
      </c>
      <c r="U18"/>
      <c r="V18">
        <v>17</v>
      </c>
      <c r="W18">
        <v>16</v>
      </c>
      <c r="X18"/>
    </row>
    <row r="19" spans="1:24" x14ac:dyDescent="0.25">
      <c r="A19">
        <v>18</v>
      </c>
      <c r="B19" t="s">
        <v>215</v>
      </c>
      <c r="C19" s="9" t="s">
        <v>38</v>
      </c>
      <c r="D19" t="s">
        <v>219</v>
      </c>
      <c r="E19" t="s">
        <v>124</v>
      </c>
      <c r="F19" t="s">
        <v>184</v>
      </c>
      <c r="G19" t="s">
        <v>286</v>
      </c>
      <c r="H19" s="9" t="s">
        <v>38</v>
      </c>
      <c r="I19" s="9" t="s">
        <v>197</v>
      </c>
      <c r="J19" t="s">
        <v>288</v>
      </c>
      <c r="K19" s="9" t="s">
        <v>209</v>
      </c>
      <c r="L19" s="9" t="s">
        <v>210</v>
      </c>
      <c r="N19" s="9" t="s">
        <v>21</v>
      </c>
      <c r="P19" s="9" t="s">
        <v>21</v>
      </c>
      <c r="Q19" s="9" t="s">
        <v>21</v>
      </c>
      <c r="T19" t="s">
        <v>20</v>
      </c>
      <c r="U19"/>
      <c r="V19">
        <v>18</v>
      </c>
      <c r="W19">
        <v>17</v>
      </c>
      <c r="X19"/>
    </row>
    <row r="20" spans="1:24" x14ac:dyDescent="0.25">
      <c r="A20">
        <v>19</v>
      </c>
      <c r="B20" t="s">
        <v>215</v>
      </c>
      <c r="C20" s="9" t="s">
        <v>38</v>
      </c>
      <c r="D20" t="s">
        <v>219</v>
      </c>
      <c r="E20" t="s">
        <v>125</v>
      </c>
      <c r="F20" t="s">
        <v>185</v>
      </c>
      <c r="G20" t="s">
        <v>278</v>
      </c>
      <c r="H20" s="9" t="s">
        <v>38</v>
      </c>
      <c r="I20" s="9" t="s">
        <v>197</v>
      </c>
      <c r="J20" t="s">
        <v>288</v>
      </c>
      <c r="K20" s="9" t="s">
        <v>209</v>
      </c>
      <c r="L20" s="9" t="s">
        <v>210</v>
      </c>
      <c r="N20" s="9" t="s">
        <v>21</v>
      </c>
      <c r="P20" s="9" t="s">
        <v>21</v>
      </c>
      <c r="Q20" s="9" t="s">
        <v>21</v>
      </c>
      <c r="T20" t="s">
        <v>20</v>
      </c>
      <c r="U20"/>
      <c r="V20">
        <v>19</v>
      </c>
      <c r="W20">
        <v>18</v>
      </c>
      <c r="X20"/>
    </row>
    <row r="21" spans="1:24" x14ac:dyDescent="0.25">
      <c r="A21">
        <v>20</v>
      </c>
      <c r="B21" t="s">
        <v>238</v>
      </c>
      <c r="C21" s="9" t="s">
        <v>234</v>
      </c>
      <c r="D21" t="s">
        <v>242</v>
      </c>
      <c r="E21" t="s">
        <v>32</v>
      </c>
      <c r="F21" t="s">
        <v>140</v>
      </c>
      <c r="G21" t="s">
        <v>276</v>
      </c>
      <c r="H21" s="9" t="s">
        <v>40</v>
      </c>
      <c r="I21" s="9" t="s">
        <v>197</v>
      </c>
      <c r="J21" t="s">
        <v>287</v>
      </c>
      <c r="K21" s="9" t="s">
        <v>209</v>
      </c>
      <c r="L21" s="9" t="s">
        <v>210</v>
      </c>
      <c r="M21" s="9" t="s">
        <v>73</v>
      </c>
      <c r="O21" s="9" t="s">
        <v>73</v>
      </c>
      <c r="Q21" s="9" t="s">
        <v>8</v>
      </c>
      <c r="T21" t="s">
        <v>65</v>
      </c>
      <c r="U21"/>
      <c r="V21">
        <v>21</v>
      </c>
      <c r="W21">
        <v>19</v>
      </c>
      <c r="X21"/>
    </row>
    <row r="22" spans="1:24" x14ac:dyDescent="0.25">
      <c r="A22">
        <v>21</v>
      </c>
      <c r="B22" t="s">
        <v>241</v>
      </c>
      <c r="C22" s="9" t="s">
        <v>237</v>
      </c>
      <c r="D22" t="s">
        <v>245</v>
      </c>
      <c r="E22" t="s">
        <v>94</v>
      </c>
      <c r="F22" t="s">
        <v>143</v>
      </c>
      <c r="G22" t="s">
        <v>277</v>
      </c>
      <c r="H22" s="9" t="s">
        <v>40</v>
      </c>
      <c r="I22" s="9" t="s">
        <v>246</v>
      </c>
      <c r="J22" t="s">
        <v>292</v>
      </c>
      <c r="K22" s="9" t="s">
        <v>209</v>
      </c>
      <c r="L22" s="9" t="s">
        <v>210</v>
      </c>
      <c r="N22" s="9" t="s">
        <v>17</v>
      </c>
      <c r="O22" s="9" t="s">
        <v>17</v>
      </c>
      <c r="P22" s="9" t="s">
        <v>17</v>
      </c>
      <c r="T22" t="s">
        <v>15</v>
      </c>
      <c r="U22"/>
      <c r="V22">
        <v>22</v>
      </c>
      <c r="W22">
        <v>20</v>
      </c>
      <c r="X22"/>
    </row>
    <row r="23" spans="1:24" x14ac:dyDescent="0.25">
      <c r="A23">
        <v>22</v>
      </c>
      <c r="B23" t="s">
        <v>240</v>
      </c>
      <c r="C23" s="9" t="s">
        <v>236</v>
      </c>
      <c r="D23" t="s">
        <v>244</v>
      </c>
      <c r="E23" t="s">
        <v>96</v>
      </c>
      <c r="F23" t="s">
        <v>145</v>
      </c>
      <c r="G23" t="s">
        <v>277</v>
      </c>
      <c r="H23" s="9" t="s">
        <v>40</v>
      </c>
      <c r="I23" s="9" t="s">
        <v>197</v>
      </c>
      <c r="J23" t="s">
        <v>287</v>
      </c>
      <c r="K23" s="9" t="s">
        <v>209</v>
      </c>
      <c r="L23" s="9" t="s">
        <v>210</v>
      </c>
      <c r="M23" s="9" t="s">
        <v>17</v>
      </c>
      <c r="O23" s="9" t="s">
        <v>17</v>
      </c>
      <c r="Q23" s="9" t="s">
        <v>17</v>
      </c>
      <c r="T23" t="s">
        <v>15</v>
      </c>
      <c r="U23"/>
      <c r="V23">
        <v>23</v>
      </c>
      <c r="W23">
        <v>21</v>
      </c>
      <c r="X23"/>
    </row>
    <row r="24" spans="1:24" x14ac:dyDescent="0.25">
      <c r="A24">
        <v>23</v>
      </c>
      <c r="B24" t="s">
        <v>241</v>
      </c>
      <c r="C24" s="9" t="s">
        <v>237</v>
      </c>
      <c r="D24" t="s">
        <v>245</v>
      </c>
      <c r="E24" t="s">
        <v>99</v>
      </c>
      <c r="F24" t="s">
        <v>148</v>
      </c>
      <c r="G24" t="s">
        <v>277</v>
      </c>
      <c r="H24" s="9" t="s">
        <v>40</v>
      </c>
      <c r="I24" s="9" t="s">
        <v>246</v>
      </c>
      <c r="J24" t="s">
        <v>292</v>
      </c>
      <c r="K24" s="9" t="s">
        <v>209</v>
      </c>
      <c r="L24" s="9" t="s">
        <v>210</v>
      </c>
      <c r="N24" s="9" t="s">
        <v>17</v>
      </c>
      <c r="O24" s="9" t="s">
        <v>17</v>
      </c>
      <c r="P24" s="9" t="s">
        <v>17</v>
      </c>
      <c r="T24" t="s">
        <v>15</v>
      </c>
      <c r="U24"/>
      <c r="V24">
        <v>24</v>
      </c>
      <c r="W24">
        <v>22</v>
      </c>
      <c r="X24"/>
    </row>
    <row r="25" spans="1:24" x14ac:dyDescent="0.25">
      <c r="A25">
        <v>24</v>
      </c>
      <c r="B25" t="s">
        <v>240</v>
      </c>
      <c r="C25" s="9" t="s">
        <v>236</v>
      </c>
      <c r="D25" t="s">
        <v>244</v>
      </c>
      <c r="E25" t="s">
        <v>100</v>
      </c>
      <c r="F25" t="s">
        <v>149</v>
      </c>
      <c r="G25" t="s">
        <v>277</v>
      </c>
      <c r="H25" s="9" t="s">
        <v>40</v>
      </c>
      <c r="I25" s="9" t="s">
        <v>197</v>
      </c>
      <c r="J25" t="s">
        <v>287</v>
      </c>
      <c r="K25" s="9" t="s">
        <v>209</v>
      </c>
      <c r="L25" s="9" t="s">
        <v>210</v>
      </c>
      <c r="M25" s="9" t="s">
        <v>17</v>
      </c>
      <c r="O25" s="9" t="s">
        <v>17</v>
      </c>
      <c r="Q25" s="9" t="s">
        <v>17</v>
      </c>
      <c r="T25" t="s">
        <v>15</v>
      </c>
      <c r="U25"/>
      <c r="V25">
        <v>25</v>
      </c>
      <c r="W25">
        <v>23</v>
      </c>
      <c r="X25"/>
    </row>
    <row r="26" spans="1:24" x14ac:dyDescent="0.25">
      <c r="A26">
        <v>25</v>
      </c>
      <c r="B26" t="s">
        <v>241</v>
      </c>
      <c r="C26" s="9" t="s">
        <v>237</v>
      </c>
      <c r="D26" t="s">
        <v>245</v>
      </c>
      <c r="E26" t="s">
        <v>101</v>
      </c>
      <c r="F26" t="s">
        <v>151</v>
      </c>
      <c r="G26" t="s">
        <v>277</v>
      </c>
      <c r="H26" s="9" t="s">
        <v>40</v>
      </c>
      <c r="I26" s="9" t="s">
        <v>246</v>
      </c>
      <c r="J26" t="s">
        <v>292</v>
      </c>
      <c r="K26" s="9" t="s">
        <v>209</v>
      </c>
      <c r="L26" s="9" t="s">
        <v>210</v>
      </c>
      <c r="N26" s="9" t="s">
        <v>17</v>
      </c>
      <c r="O26" s="9" t="s">
        <v>17</v>
      </c>
      <c r="P26" s="9" t="s">
        <v>17</v>
      </c>
      <c r="T26" t="s">
        <v>15</v>
      </c>
      <c r="U26"/>
      <c r="V26">
        <v>26</v>
      </c>
      <c r="W26">
        <v>24</v>
      </c>
      <c r="X26"/>
    </row>
    <row r="27" spans="1:24" x14ac:dyDescent="0.25">
      <c r="A27">
        <v>26</v>
      </c>
      <c r="B27" t="s">
        <v>238</v>
      </c>
      <c r="C27" s="9" t="s">
        <v>234</v>
      </c>
      <c r="D27" t="s">
        <v>242</v>
      </c>
      <c r="E27" t="s">
        <v>34</v>
      </c>
      <c r="F27" t="s">
        <v>152</v>
      </c>
      <c r="G27" t="s">
        <v>276</v>
      </c>
      <c r="H27" s="9" t="s">
        <v>40</v>
      </c>
      <c r="I27" s="9" t="s">
        <v>197</v>
      </c>
      <c r="J27" t="s">
        <v>287</v>
      </c>
      <c r="K27" s="9" t="s">
        <v>209</v>
      </c>
      <c r="L27" s="9" t="s">
        <v>210</v>
      </c>
      <c r="M27" s="9" t="s">
        <v>73</v>
      </c>
      <c r="O27" s="9" t="s">
        <v>73</v>
      </c>
      <c r="Q27" s="9" t="s">
        <v>8</v>
      </c>
      <c r="T27" t="s">
        <v>65</v>
      </c>
      <c r="U27"/>
      <c r="V27">
        <v>27</v>
      </c>
      <c r="W27">
        <v>25</v>
      </c>
      <c r="X27"/>
    </row>
    <row r="28" spans="1:24" x14ac:dyDescent="0.25">
      <c r="A28">
        <v>27</v>
      </c>
      <c r="B28" t="s">
        <v>239</v>
      </c>
      <c r="C28" s="9" t="s">
        <v>235</v>
      </c>
      <c r="D28" t="s">
        <v>243</v>
      </c>
      <c r="E28" t="s">
        <v>35</v>
      </c>
      <c r="F28" t="s">
        <v>154</v>
      </c>
      <c r="G28" t="s">
        <v>276</v>
      </c>
      <c r="H28" s="9" t="s">
        <v>40</v>
      </c>
      <c r="I28" s="9" t="s">
        <v>197</v>
      </c>
      <c r="J28" t="s">
        <v>287</v>
      </c>
      <c r="K28" s="9" t="s">
        <v>209</v>
      </c>
      <c r="L28" s="9" t="s">
        <v>210</v>
      </c>
      <c r="M28" s="9" t="s">
        <v>73</v>
      </c>
      <c r="O28" s="9" t="s">
        <v>73</v>
      </c>
      <c r="Q28" s="9" t="s">
        <v>8</v>
      </c>
      <c r="T28" t="s">
        <v>65</v>
      </c>
      <c r="U28"/>
      <c r="V28">
        <v>28</v>
      </c>
      <c r="W28">
        <v>26</v>
      </c>
      <c r="X28"/>
    </row>
    <row r="29" spans="1:24" x14ac:dyDescent="0.25">
      <c r="A29">
        <v>28</v>
      </c>
      <c r="B29" t="s">
        <v>239</v>
      </c>
      <c r="C29" s="9" t="s">
        <v>235</v>
      </c>
      <c r="D29" t="s">
        <v>243</v>
      </c>
      <c r="E29" t="s">
        <v>36</v>
      </c>
      <c r="F29" t="s">
        <v>158</v>
      </c>
      <c r="G29" t="s">
        <v>276</v>
      </c>
      <c r="H29" s="9" t="s">
        <v>40</v>
      </c>
      <c r="I29" s="9" t="s">
        <v>197</v>
      </c>
      <c r="J29" t="s">
        <v>287</v>
      </c>
      <c r="K29" s="9" t="s">
        <v>209</v>
      </c>
      <c r="L29" s="9" t="s">
        <v>210</v>
      </c>
      <c r="M29" s="9" t="s">
        <v>73</v>
      </c>
      <c r="O29" s="9" t="s">
        <v>73</v>
      </c>
      <c r="Q29" s="9" t="s">
        <v>8</v>
      </c>
      <c r="T29" t="s">
        <v>65</v>
      </c>
      <c r="U29"/>
      <c r="V29">
        <v>29</v>
      </c>
      <c r="W29">
        <v>27</v>
      </c>
      <c r="X29"/>
    </row>
    <row r="30" spans="1:24" x14ac:dyDescent="0.25">
      <c r="A30">
        <v>29</v>
      </c>
      <c r="B30" t="s">
        <v>240</v>
      </c>
      <c r="C30" s="9" t="s">
        <v>236</v>
      </c>
      <c r="D30" t="s">
        <v>244</v>
      </c>
      <c r="E30" t="s">
        <v>108</v>
      </c>
      <c r="F30" t="s">
        <v>161</v>
      </c>
      <c r="G30" t="s">
        <v>281</v>
      </c>
      <c r="H30" s="9" t="s">
        <v>40</v>
      </c>
      <c r="I30" s="9" t="s">
        <v>197</v>
      </c>
      <c r="J30" t="s">
        <v>287</v>
      </c>
      <c r="K30" s="9" t="s">
        <v>209</v>
      </c>
      <c r="L30" s="9" t="s">
        <v>210</v>
      </c>
      <c r="M30" s="9" t="s">
        <v>17</v>
      </c>
      <c r="O30" s="9" t="s">
        <v>17</v>
      </c>
      <c r="Q30" s="9" t="s">
        <v>17</v>
      </c>
      <c r="T30" t="s">
        <v>15</v>
      </c>
      <c r="U30"/>
      <c r="V30">
        <v>30</v>
      </c>
      <c r="W30">
        <v>28</v>
      </c>
      <c r="X30"/>
    </row>
    <row r="31" spans="1:24" x14ac:dyDescent="0.25">
      <c r="A31">
        <v>30</v>
      </c>
      <c r="B31" t="s">
        <v>241</v>
      </c>
      <c r="C31" s="9" t="s">
        <v>237</v>
      </c>
      <c r="D31" t="s">
        <v>245</v>
      </c>
      <c r="E31" t="s">
        <v>112</v>
      </c>
      <c r="F31" t="s">
        <v>165</v>
      </c>
      <c r="G31" t="s">
        <v>277</v>
      </c>
      <c r="H31" s="9" t="s">
        <v>40</v>
      </c>
      <c r="I31" s="9" t="s">
        <v>246</v>
      </c>
      <c r="J31" t="s">
        <v>292</v>
      </c>
      <c r="K31" s="9" t="s">
        <v>209</v>
      </c>
      <c r="L31" s="9" t="s">
        <v>210</v>
      </c>
      <c r="N31" s="9" t="s">
        <v>17</v>
      </c>
      <c r="O31" s="9" t="s">
        <v>17</v>
      </c>
      <c r="P31" s="9" t="s">
        <v>17</v>
      </c>
      <c r="T31" t="s">
        <v>15</v>
      </c>
      <c r="U31"/>
      <c r="V31">
        <v>31</v>
      </c>
      <c r="W31">
        <v>29</v>
      </c>
      <c r="X31"/>
    </row>
    <row r="32" spans="1:24" x14ac:dyDescent="0.25">
      <c r="A32">
        <v>31</v>
      </c>
      <c r="B32" t="s">
        <v>239</v>
      </c>
      <c r="C32" s="9" t="s">
        <v>235</v>
      </c>
      <c r="D32" t="s">
        <v>243</v>
      </c>
      <c r="E32" t="s">
        <v>223</v>
      </c>
      <c r="F32" t="s">
        <v>167</v>
      </c>
      <c r="G32" t="s">
        <v>281</v>
      </c>
      <c r="H32" s="9" t="s">
        <v>40</v>
      </c>
      <c r="I32" s="9" t="s">
        <v>197</v>
      </c>
      <c r="J32" t="s">
        <v>287</v>
      </c>
      <c r="K32" s="9" t="s">
        <v>209</v>
      </c>
      <c r="L32" s="9" t="s">
        <v>210</v>
      </c>
      <c r="M32" s="9" t="s">
        <v>73</v>
      </c>
      <c r="O32" s="9" t="s">
        <v>73</v>
      </c>
      <c r="Q32" s="9" t="s">
        <v>8</v>
      </c>
      <c r="T32" t="s">
        <v>65</v>
      </c>
      <c r="U32"/>
      <c r="V32">
        <v>32</v>
      </c>
      <c r="W32">
        <v>30</v>
      </c>
      <c r="X32"/>
    </row>
    <row r="33" spans="1:24" x14ac:dyDescent="0.25">
      <c r="A33">
        <v>32</v>
      </c>
      <c r="B33" t="s">
        <v>239</v>
      </c>
      <c r="C33" s="9" t="s">
        <v>235</v>
      </c>
      <c r="D33" t="s">
        <v>243</v>
      </c>
      <c r="E33" t="s">
        <v>22</v>
      </c>
      <c r="F33" t="s">
        <v>169</v>
      </c>
      <c r="G33" t="s">
        <v>276</v>
      </c>
      <c r="H33" s="9" t="s">
        <v>40</v>
      </c>
      <c r="I33" s="9" t="s">
        <v>197</v>
      </c>
      <c r="J33" t="s">
        <v>287</v>
      </c>
      <c r="K33" s="9" t="s">
        <v>209</v>
      </c>
      <c r="L33" s="9" t="s">
        <v>210</v>
      </c>
      <c r="M33" s="9" t="s">
        <v>73</v>
      </c>
      <c r="O33" s="9" t="s">
        <v>73</v>
      </c>
      <c r="Q33" s="9" t="s">
        <v>8</v>
      </c>
      <c r="T33" t="s">
        <v>65</v>
      </c>
      <c r="U33"/>
      <c r="V33">
        <v>33</v>
      </c>
      <c r="W33">
        <v>31</v>
      </c>
      <c r="X33"/>
    </row>
    <row r="34" spans="1:24" x14ac:dyDescent="0.25">
      <c r="A34">
        <v>33</v>
      </c>
      <c r="B34" t="s">
        <v>241</v>
      </c>
      <c r="C34" s="9" t="s">
        <v>237</v>
      </c>
      <c r="D34" t="s">
        <v>245</v>
      </c>
      <c r="E34" t="s">
        <v>116</v>
      </c>
      <c r="F34" t="s">
        <v>172</v>
      </c>
      <c r="G34" t="s">
        <v>277</v>
      </c>
      <c r="H34" s="9" t="s">
        <v>40</v>
      </c>
      <c r="I34" s="9" t="s">
        <v>246</v>
      </c>
      <c r="J34" t="s">
        <v>292</v>
      </c>
      <c r="K34" s="9" t="s">
        <v>209</v>
      </c>
      <c r="L34" s="9" t="s">
        <v>210</v>
      </c>
      <c r="N34" s="9" t="s">
        <v>17</v>
      </c>
      <c r="O34" s="9" t="s">
        <v>17</v>
      </c>
      <c r="P34" s="9" t="s">
        <v>17</v>
      </c>
      <c r="T34" t="s">
        <v>15</v>
      </c>
      <c r="U34"/>
      <c r="V34">
        <v>34</v>
      </c>
      <c r="W34">
        <v>32</v>
      </c>
      <c r="X34"/>
    </row>
    <row r="35" spans="1:24" x14ac:dyDescent="0.25">
      <c r="A35">
        <v>34</v>
      </c>
      <c r="B35" t="s">
        <v>241</v>
      </c>
      <c r="C35" s="9" t="s">
        <v>237</v>
      </c>
      <c r="D35" t="s">
        <v>245</v>
      </c>
      <c r="E35" t="s">
        <v>119</v>
      </c>
      <c r="F35" t="s">
        <v>176</v>
      </c>
      <c r="G35" t="s">
        <v>280</v>
      </c>
      <c r="H35" s="9" t="s">
        <v>40</v>
      </c>
      <c r="I35" s="9" t="s">
        <v>246</v>
      </c>
      <c r="J35" t="s">
        <v>292</v>
      </c>
      <c r="K35" s="9" t="s">
        <v>209</v>
      </c>
      <c r="L35" s="9" t="s">
        <v>210</v>
      </c>
      <c r="N35" s="9" t="s">
        <v>17</v>
      </c>
      <c r="O35" s="9" t="s">
        <v>17</v>
      </c>
      <c r="P35" s="9" t="s">
        <v>17</v>
      </c>
      <c r="T35" t="s">
        <v>15</v>
      </c>
      <c r="U35"/>
      <c r="V35">
        <v>35</v>
      </c>
      <c r="W35">
        <v>33</v>
      </c>
      <c r="X35"/>
    </row>
    <row r="36" spans="1:24" x14ac:dyDescent="0.25">
      <c r="A36">
        <v>35</v>
      </c>
      <c r="B36" t="s">
        <v>238</v>
      </c>
      <c r="C36" s="9" t="s">
        <v>234</v>
      </c>
      <c r="D36" t="s">
        <v>242</v>
      </c>
      <c r="E36" t="s">
        <v>37</v>
      </c>
      <c r="F36" t="s">
        <v>183</v>
      </c>
      <c r="G36" t="s">
        <v>276</v>
      </c>
      <c r="H36" s="9" t="s">
        <v>40</v>
      </c>
      <c r="I36" s="9" t="s">
        <v>197</v>
      </c>
      <c r="J36" t="s">
        <v>287</v>
      </c>
      <c r="K36" s="9" t="s">
        <v>209</v>
      </c>
      <c r="L36" s="9" t="s">
        <v>210</v>
      </c>
      <c r="M36" s="9" t="s">
        <v>73</v>
      </c>
      <c r="O36" s="9" t="s">
        <v>73</v>
      </c>
      <c r="Q36" s="9" t="s">
        <v>8</v>
      </c>
      <c r="T36" t="s">
        <v>65</v>
      </c>
      <c r="U36"/>
      <c r="V36">
        <v>36</v>
      </c>
      <c r="W36">
        <v>34</v>
      </c>
      <c r="X36"/>
    </row>
    <row r="37" spans="1:24" x14ac:dyDescent="0.25">
      <c r="A37">
        <v>36</v>
      </c>
      <c r="B37" t="s">
        <v>239</v>
      </c>
      <c r="C37" s="9" t="s">
        <v>235</v>
      </c>
      <c r="D37" t="s">
        <v>243</v>
      </c>
      <c r="E37" t="s">
        <v>30</v>
      </c>
      <c r="F37" t="s">
        <v>186</v>
      </c>
      <c r="G37" t="s">
        <v>281</v>
      </c>
      <c r="H37" s="9" t="s">
        <v>40</v>
      </c>
      <c r="I37" s="9" t="s">
        <v>197</v>
      </c>
      <c r="J37" t="s">
        <v>287</v>
      </c>
      <c r="K37" s="9" t="s">
        <v>209</v>
      </c>
      <c r="L37" s="9" t="s">
        <v>210</v>
      </c>
      <c r="M37" s="9" t="s">
        <v>73</v>
      </c>
      <c r="O37" s="9" t="s">
        <v>73</v>
      </c>
      <c r="Q37" s="9" t="s">
        <v>8</v>
      </c>
      <c r="T37" t="s">
        <v>65</v>
      </c>
      <c r="U37"/>
      <c r="V37">
        <v>37</v>
      </c>
      <c r="W37">
        <v>35</v>
      </c>
      <c r="X37"/>
    </row>
    <row r="38" spans="1:24" x14ac:dyDescent="0.25">
      <c r="A38">
        <v>37</v>
      </c>
      <c r="B38" t="s">
        <v>251</v>
      </c>
      <c r="C38" s="9" t="s">
        <v>248</v>
      </c>
      <c r="D38" t="s">
        <v>254</v>
      </c>
      <c r="E38" t="s">
        <v>104</v>
      </c>
      <c r="F38" t="s">
        <v>156</v>
      </c>
      <c r="G38" t="s">
        <v>279</v>
      </c>
      <c r="H38" s="9" t="s">
        <v>39</v>
      </c>
      <c r="I38" s="9" t="s">
        <v>246</v>
      </c>
      <c r="J38" t="s">
        <v>289</v>
      </c>
      <c r="K38" s="9" t="s">
        <v>256</v>
      </c>
      <c r="L38" s="9" t="s">
        <v>257</v>
      </c>
      <c r="Q38" s="9" t="s">
        <v>17</v>
      </c>
      <c r="R38" s="9" t="s">
        <v>17</v>
      </c>
      <c r="S38" s="9" t="s">
        <v>17</v>
      </c>
      <c r="T38" t="s">
        <v>15</v>
      </c>
      <c r="U38" t="s">
        <v>264</v>
      </c>
      <c r="V38">
        <v>39</v>
      </c>
      <c r="W38">
        <v>36</v>
      </c>
      <c r="X38"/>
    </row>
    <row r="39" spans="1:24" x14ac:dyDescent="0.25">
      <c r="A39">
        <v>38</v>
      </c>
      <c r="B39" t="s">
        <v>261</v>
      </c>
      <c r="C39" s="9" t="s">
        <v>259</v>
      </c>
      <c r="D39" t="s">
        <v>263</v>
      </c>
      <c r="E39" t="s">
        <v>104</v>
      </c>
      <c r="F39" t="s">
        <v>156</v>
      </c>
      <c r="G39" t="s">
        <v>279</v>
      </c>
      <c r="H39" s="9" t="s">
        <v>48</v>
      </c>
      <c r="I39" s="9" t="s">
        <v>246</v>
      </c>
      <c r="J39" t="s">
        <v>293</v>
      </c>
      <c r="K39" s="9" t="s">
        <v>256</v>
      </c>
      <c r="L39" s="9" t="s">
        <v>210</v>
      </c>
      <c r="M39" s="9" t="s">
        <v>17</v>
      </c>
      <c r="O39" s="9" t="s">
        <v>17</v>
      </c>
      <c r="T39" t="s">
        <v>15</v>
      </c>
      <c r="U39"/>
      <c r="V39">
        <v>40</v>
      </c>
      <c r="W39">
        <v>37</v>
      </c>
      <c r="X39"/>
    </row>
    <row r="40" spans="1:24" x14ac:dyDescent="0.25">
      <c r="A40">
        <v>39</v>
      </c>
      <c r="B40" t="s">
        <v>260</v>
      </c>
      <c r="C40" s="9" t="s">
        <v>258</v>
      </c>
      <c r="D40" t="s">
        <v>262</v>
      </c>
      <c r="E40" t="s">
        <v>104</v>
      </c>
      <c r="F40" t="s">
        <v>156</v>
      </c>
      <c r="G40" t="s">
        <v>279</v>
      </c>
      <c r="H40" s="9" t="s">
        <v>46</v>
      </c>
      <c r="I40" s="9" t="s">
        <v>246</v>
      </c>
      <c r="J40" t="s">
        <v>290</v>
      </c>
      <c r="K40" s="9" t="s">
        <v>256</v>
      </c>
      <c r="L40" s="9" t="s">
        <v>210</v>
      </c>
      <c r="R40" s="9" t="s">
        <v>8</v>
      </c>
      <c r="S40" s="9" t="s">
        <v>8</v>
      </c>
      <c r="T40" t="s">
        <v>6</v>
      </c>
      <c r="U40"/>
      <c r="V40">
        <v>41</v>
      </c>
      <c r="W40">
        <v>38</v>
      </c>
      <c r="X40"/>
    </row>
    <row r="41" spans="1:24" x14ac:dyDescent="0.25">
      <c r="A41">
        <v>40</v>
      </c>
      <c r="B41" t="s">
        <v>261</v>
      </c>
      <c r="C41" s="9" t="s">
        <v>259</v>
      </c>
      <c r="D41" t="s">
        <v>263</v>
      </c>
      <c r="E41" t="s">
        <v>108</v>
      </c>
      <c r="F41" t="s">
        <v>168</v>
      </c>
      <c r="G41" t="s">
        <v>279</v>
      </c>
      <c r="H41" s="9" t="s">
        <v>48</v>
      </c>
      <c r="I41" s="9" t="s">
        <v>246</v>
      </c>
      <c r="J41" t="s">
        <v>293</v>
      </c>
      <c r="K41" s="9" t="s">
        <v>256</v>
      </c>
      <c r="L41" s="9" t="s">
        <v>210</v>
      </c>
      <c r="M41" s="9" t="s">
        <v>17</v>
      </c>
      <c r="O41" s="9" t="s">
        <v>17</v>
      </c>
      <c r="T41" t="s">
        <v>15</v>
      </c>
      <c r="U41"/>
      <c r="V41">
        <v>42</v>
      </c>
      <c r="W41">
        <v>39</v>
      </c>
      <c r="X41"/>
    </row>
    <row r="42" spans="1:24" x14ac:dyDescent="0.25">
      <c r="A42">
        <v>41</v>
      </c>
      <c r="B42" t="s">
        <v>251</v>
      </c>
      <c r="C42" s="9" t="s">
        <v>248</v>
      </c>
      <c r="D42" t="s">
        <v>254</v>
      </c>
      <c r="E42" t="s">
        <v>108</v>
      </c>
      <c r="F42" t="s">
        <v>168</v>
      </c>
      <c r="G42" t="s">
        <v>279</v>
      </c>
      <c r="H42" s="9" t="s">
        <v>39</v>
      </c>
      <c r="I42" s="9" t="s">
        <v>246</v>
      </c>
      <c r="J42" t="s">
        <v>289</v>
      </c>
      <c r="K42" s="9" t="s">
        <v>256</v>
      </c>
      <c r="L42" s="9" t="s">
        <v>257</v>
      </c>
      <c r="Q42" s="9" t="s">
        <v>17</v>
      </c>
      <c r="R42" s="9" t="s">
        <v>17</v>
      </c>
      <c r="S42" s="9" t="s">
        <v>17</v>
      </c>
      <c r="T42" t="s">
        <v>15</v>
      </c>
      <c r="U42" t="s">
        <v>264</v>
      </c>
      <c r="V42">
        <v>43</v>
      </c>
      <c r="W42">
        <v>40</v>
      </c>
      <c r="X42"/>
    </row>
    <row r="43" spans="1:24" x14ac:dyDescent="0.25">
      <c r="A43">
        <v>42</v>
      </c>
      <c r="B43" t="s">
        <v>251</v>
      </c>
      <c r="C43" s="9" t="s">
        <v>248</v>
      </c>
      <c r="D43" t="s">
        <v>254</v>
      </c>
      <c r="E43" t="s">
        <v>222</v>
      </c>
      <c r="F43" t="s">
        <v>174</v>
      </c>
      <c r="G43" t="s">
        <v>284</v>
      </c>
      <c r="H43" s="9" t="s">
        <v>39</v>
      </c>
      <c r="I43" s="9" t="s">
        <v>246</v>
      </c>
      <c r="J43" t="s">
        <v>289</v>
      </c>
      <c r="K43" s="9" t="s">
        <v>256</v>
      </c>
      <c r="L43" s="9" t="s">
        <v>257</v>
      </c>
      <c r="Q43" s="9" t="s">
        <v>17</v>
      </c>
      <c r="R43" s="9" t="s">
        <v>17</v>
      </c>
      <c r="S43" s="9" t="s">
        <v>17</v>
      </c>
      <c r="T43" t="s">
        <v>15</v>
      </c>
      <c r="U43" t="s">
        <v>264</v>
      </c>
      <c r="V43">
        <v>44</v>
      </c>
      <c r="W43">
        <v>41</v>
      </c>
      <c r="X43"/>
    </row>
    <row r="44" spans="1:24" x14ac:dyDescent="0.25">
      <c r="A44">
        <v>43</v>
      </c>
      <c r="B44" t="s">
        <v>252</v>
      </c>
      <c r="C44" s="9" t="s">
        <v>249</v>
      </c>
      <c r="D44" t="s">
        <v>255</v>
      </c>
      <c r="E44" t="s">
        <v>118</v>
      </c>
      <c r="F44" t="s">
        <v>175</v>
      </c>
      <c r="G44" t="s">
        <v>285</v>
      </c>
      <c r="H44" s="9" t="s">
        <v>39</v>
      </c>
      <c r="I44" s="9" t="s">
        <v>197</v>
      </c>
      <c r="J44" t="s">
        <v>294</v>
      </c>
      <c r="K44" s="9" t="s">
        <v>209</v>
      </c>
      <c r="L44" s="9" t="s">
        <v>210</v>
      </c>
      <c r="M44" s="9" t="s">
        <v>17</v>
      </c>
      <c r="N44" s="9" t="s">
        <v>17</v>
      </c>
      <c r="O44" s="9" t="s">
        <v>17</v>
      </c>
      <c r="P44" s="9" t="s">
        <v>17</v>
      </c>
      <c r="Q44" s="9" t="s">
        <v>17</v>
      </c>
      <c r="R44" s="9" t="s">
        <v>17</v>
      </c>
      <c r="T44" t="s">
        <v>15</v>
      </c>
      <c r="U44"/>
      <c r="V44">
        <v>45</v>
      </c>
      <c r="W44">
        <v>42</v>
      </c>
      <c r="X44"/>
    </row>
    <row r="45" spans="1:24" x14ac:dyDescent="0.25">
      <c r="A45">
        <v>44</v>
      </c>
      <c r="B45" t="s">
        <v>250</v>
      </c>
      <c r="C45" s="9" t="s">
        <v>247</v>
      </c>
      <c r="D45" t="s">
        <v>253</v>
      </c>
      <c r="E45" t="s">
        <v>105</v>
      </c>
      <c r="F45" t="s">
        <v>157</v>
      </c>
      <c r="G45" t="s">
        <v>280</v>
      </c>
      <c r="H45" s="9" t="s">
        <v>39</v>
      </c>
      <c r="I45" s="9" t="s">
        <v>197</v>
      </c>
      <c r="J45" t="s">
        <v>287</v>
      </c>
      <c r="K45" s="9" t="s">
        <v>209</v>
      </c>
      <c r="L45" s="9" t="s">
        <v>210</v>
      </c>
      <c r="M45" s="9" t="s">
        <v>17</v>
      </c>
      <c r="O45" s="9" t="s">
        <v>17</v>
      </c>
      <c r="Q45" s="9" t="s">
        <v>17</v>
      </c>
      <c r="T45" t="s">
        <v>15</v>
      </c>
      <c r="U45"/>
      <c r="V45">
        <v>46</v>
      </c>
      <c r="W45">
        <v>43</v>
      </c>
      <c r="X45"/>
    </row>
    <row r="46" spans="1:24" x14ac:dyDescent="0.25">
      <c r="A46">
        <v>45</v>
      </c>
      <c r="B46" t="s">
        <v>250</v>
      </c>
      <c r="C46" s="9" t="s">
        <v>247</v>
      </c>
      <c r="D46" t="s">
        <v>253</v>
      </c>
      <c r="E46" t="s">
        <v>106</v>
      </c>
      <c r="F46" t="s">
        <v>159</v>
      </c>
      <c r="G46" t="s">
        <v>280</v>
      </c>
      <c r="H46" s="9" t="s">
        <v>39</v>
      </c>
      <c r="I46" s="9" t="s">
        <v>197</v>
      </c>
      <c r="J46" t="s">
        <v>287</v>
      </c>
      <c r="K46" s="9" t="s">
        <v>209</v>
      </c>
      <c r="L46" s="9" t="s">
        <v>210</v>
      </c>
      <c r="M46" s="9" t="s">
        <v>17</v>
      </c>
      <c r="O46" s="9" t="s">
        <v>17</v>
      </c>
      <c r="Q46" s="9" t="s">
        <v>17</v>
      </c>
      <c r="T46" t="s">
        <v>15</v>
      </c>
      <c r="U46"/>
      <c r="V46">
        <v>47</v>
      </c>
      <c r="W46">
        <v>44</v>
      </c>
      <c r="X46"/>
    </row>
    <row r="47" spans="1:24" x14ac:dyDescent="0.25">
      <c r="A47">
        <v>46</v>
      </c>
      <c r="B47" t="s">
        <v>265</v>
      </c>
      <c r="C47" s="9" t="s">
        <v>267</v>
      </c>
      <c r="D47" t="s">
        <v>268</v>
      </c>
      <c r="E47" t="s">
        <v>110</v>
      </c>
      <c r="F47" t="s">
        <v>163</v>
      </c>
      <c r="G47" t="s">
        <v>274</v>
      </c>
      <c r="H47" s="9" t="s">
        <v>42</v>
      </c>
      <c r="I47" s="9" t="s">
        <v>197</v>
      </c>
      <c r="J47" t="s">
        <v>293</v>
      </c>
      <c r="K47" s="9" t="s">
        <v>209</v>
      </c>
      <c r="L47" s="9" t="s">
        <v>210</v>
      </c>
      <c r="M47" s="9" t="s">
        <v>72</v>
      </c>
      <c r="O47" s="9" t="s">
        <v>72</v>
      </c>
      <c r="T47" t="s">
        <v>26</v>
      </c>
      <c r="U47"/>
      <c r="V47">
        <v>49</v>
      </c>
      <c r="W47">
        <v>45</v>
      </c>
      <c r="X47"/>
    </row>
    <row r="48" spans="1:24" x14ac:dyDescent="0.25">
      <c r="A48">
        <v>47</v>
      </c>
      <c r="B48" t="s">
        <v>265</v>
      </c>
      <c r="C48" s="9" t="s">
        <v>267</v>
      </c>
      <c r="D48" t="s">
        <v>268</v>
      </c>
      <c r="E48" t="s">
        <v>115</v>
      </c>
      <c r="F48" t="s">
        <v>171</v>
      </c>
      <c r="G48" t="s">
        <v>283</v>
      </c>
      <c r="H48" s="9" t="s">
        <v>42</v>
      </c>
      <c r="I48" s="9" t="s">
        <v>197</v>
      </c>
      <c r="J48" t="s">
        <v>293</v>
      </c>
      <c r="K48" s="9" t="s">
        <v>209</v>
      </c>
      <c r="L48" s="9" t="s">
        <v>210</v>
      </c>
      <c r="M48" s="9" t="s">
        <v>72</v>
      </c>
      <c r="O48" s="9" t="s">
        <v>72</v>
      </c>
      <c r="T48" t="s">
        <v>26</v>
      </c>
      <c r="U48"/>
      <c r="V48">
        <v>50</v>
      </c>
      <c r="W48">
        <v>46</v>
      </c>
      <c r="X48"/>
    </row>
    <row r="49" spans="1:24" x14ac:dyDescent="0.25">
      <c r="A49">
        <v>48</v>
      </c>
      <c r="B49" t="s">
        <v>265</v>
      </c>
      <c r="C49" s="9" t="s">
        <v>267</v>
      </c>
      <c r="D49" t="s">
        <v>268</v>
      </c>
      <c r="E49" t="s">
        <v>93</v>
      </c>
      <c r="F49" t="s">
        <v>142</v>
      </c>
      <c r="G49" t="s">
        <v>274</v>
      </c>
      <c r="H49" s="9" t="s">
        <v>42</v>
      </c>
      <c r="I49" s="9" t="s">
        <v>197</v>
      </c>
      <c r="J49" t="s">
        <v>293</v>
      </c>
      <c r="K49" s="9" t="s">
        <v>209</v>
      </c>
      <c r="L49" s="9" t="s">
        <v>210</v>
      </c>
      <c r="M49" s="9" t="s">
        <v>72</v>
      </c>
      <c r="O49" s="9" t="s">
        <v>72</v>
      </c>
      <c r="T49" t="s">
        <v>26</v>
      </c>
      <c r="U49"/>
      <c r="V49">
        <v>51</v>
      </c>
      <c r="W49">
        <v>47</v>
      </c>
      <c r="X49"/>
    </row>
    <row r="50" spans="1:24" x14ac:dyDescent="0.25">
      <c r="A50">
        <v>49</v>
      </c>
      <c r="B50" t="s">
        <v>265</v>
      </c>
      <c r="C50" s="9" t="s">
        <v>267</v>
      </c>
      <c r="D50" t="s">
        <v>268</v>
      </c>
      <c r="E50" t="s">
        <v>97</v>
      </c>
      <c r="F50" t="s">
        <v>146</v>
      </c>
      <c r="G50" t="s">
        <v>274</v>
      </c>
      <c r="H50" s="9" t="s">
        <v>42</v>
      </c>
      <c r="I50" s="9" t="s">
        <v>197</v>
      </c>
      <c r="J50" t="s">
        <v>293</v>
      </c>
      <c r="K50" s="9" t="s">
        <v>209</v>
      </c>
      <c r="L50" s="9" t="s">
        <v>210</v>
      </c>
      <c r="M50" s="9" t="s">
        <v>72</v>
      </c>
      <c r="O50" s="9" t="s">
        <v>72</v>
      </c>
      <c r="T50" t="s">
        <v>26</v>
      </c>
      <c r="U50"/>
      <c r="V50">
        <v>52</v>
      </c>
      <c r="W50">
        <v>48</v>
      </c>
      <c r="X50"/>
    </row>
    <row r="51" spans="1:24" x14ac:dyDescent="0.25">
      <c r="A51">
        <v>50</v>
      </c>
      <c r="B51" t="s">
        <v>265</v>
      </c>
      <c r="C51" s="9" t="s">
        <v>267</v>
      </c>
      <c r="D51" t="s">
        <v>268</v>
      </c>
      <c r="E51" t="s">
        <v>98</v>
      </c>
      <c r="F51" t="s">
        <v>147</v>
      </c>
      <c r="G51" t="s">
        <v>274</v>
      </c>
      <c r="H51" s="9" t="s">
        <v>42</v>
      </c>
      <c r="I51" s="9" t="s">
        <v>197</v>
      </c>
      <c r="J51" t="s">
        <v>293</v>
      </c>
      <c r="K51" s="9" t="s">
        <v>209</v>
      </c>
      <c r="L51" s="9" t="s">
        <v>210</v>
      </c>
      <c r="M51" s="9" t="s">
        <v>72</v>
      </c>
      <c r="O51" s="9" t="s">
        <v>72</v>
      </c>
      <c r="T51" t="s">
        <v>26</v>
      </c>
      <c r="U51"/>
      <c r="V51">
        <v>53</v>
      </c>
      <c r="W51">
        <v>49</v>
      </c>
      <c r="X51"/>
    </row>
    <row r="52" spans="1:24" x14ac:dyDescent="0.25">
      <c r="A52">
        <v>51</v>
      </c>
      <c r="B52" t="s">
        <v>265</v>
      </c>
      <c r="C52" s="9" t="s">
        <v>267</v>
      </c>
      <c r="D52" t="s">
        <v>268</v>
      </c>
      <c r="E52" t="s">
        <v>102</v>
      </c>
      <c r="F52" t="s">
        <v>153</v>
      </c>
      <c r="G52" t="s">
        <v>274</v>
      </c>
      <c r="H52" s="9" t="s">
        <v>42</v>
      </c>
      <c r="I52" s="9" t="s">
        <v>197</v>
      </c>
      <c r="J52" t="s">
        <v>293</v>
      </c>
      <c r="K52" s="9" t="s">
        <v>209</v>
      </c>
      <c r="L52" s="9" t="s">
        <v>210</v>
      </c>
      <c r="M52" s="9" t="s">
        <v>72</v>
      </c>
      <c r="O52" s="9" t="s">
        <v>72</v>
      </c>
      <c r="T52" t="s">
        <v>26</v>
      </c>
      <c r="U52"/>
      <c r="V52">
        <v>54</v>
      </c>
      <c r="W52">
        <v>50</v>
      </c>
      <c r="X52"/>
    </row>
    <row r="53" spans="1:24" x14ac:dyDescent="0.25">
      <c r="A53">
        <v>52</v>
      </c>
      <c r="B53" t="s">
        <v>265</v>
      </c>
      <c r="C53" s="9" t="s">
        <v>267</v>
      </c>
      <c r="D53" t="s">
        <v>268</v>
      </c>
      <c r="E53" t="s">
        <v>103</v>
      </c>
      <c r="F53" t="s">
        <v>155</v>
      </c>
      <c r="G53" t="s">
        <v>274</v>
      </c>
      <c r="H53" s="9" t="s">
        <v>42</v>
      </c>
      <c r="I53" s="9" t="s">
        <v>197</v>
      </c>
      <c r="J53" t="s">
        <v>293</v>
      </c>
      <c r="K53" s="9" t="s">
        <v>209</v>
      </c>
      <c r="L53" s="9" t="s">
        <v>210</v>
      </c>
      <c r="M53" s="9" t="s">
        <v>72</v>
      </c>
      <c r="O53" s="9" t="s">
        <v>72</v>
      </c>
      <c r="T53" t="s">
        <v>26</v>
      </c>
      <c r="U53"/>
      <c r="V53">
        <v>55</v>
      </c>
      <c r="W53">
        <v>51</v>
      </c>
      <c r="X53"/>
    </row>
    <row r="54" spans="1:24" x14ac:dyDescent="0.25">
      <c r="A54">
        <v>53</v>
      </c>
      <c r="B54" t="s">
        <v>265</v>
      </c>
      <c r="C54" s="9" t="s">
        <v>267</v>
      </c>
      <c r="D54" t="s">
        <v>268</v>
      </c>
      <c r="E54" t="s">
        <v>113</v>
      </c>
      <c r="F54" t="s">
        <v>166</v>
      </c>
      <c r="G54" t="s">
        <v>274</v>
      </c>
      <c r="H54" s="9" t="s">
        <v>42</v>
      </c>
      <c r="I54" s="9" t="s">
        <v>197</v>
      </c>
      <c r="J54" t="s">
        <v>293</v>
      </c>
      <c r="K54" s="9" t="s">
        <v>209</v>
      </c>
      <c r="L54" s="9" t="s">
        <v>210</v>
      </c>
      <c r="M54" s="9" t="s">
        <v>72</v>
      </c>
      <c r="O54" s="9" t="s">
        <v>72</v>
      </c>
      <c r="T54" t="s">
        <v>26</v>
      </c>
      <c r="U54"/>
      <c r="V54">
        <v>56</v>
      </c>
      <c r="W54">
        <v>52</v>
      </c>
      <c r="X54"/>
    </row>
    <row r="55" spans="1:24" x14ac:dyDescent="0.25">
      <c r="A55">
        <v>54</v>
      </c>
      <c r="B55" t="s">
        <v>265</v>
      </c>
      <c r="C55" s="9" t="s">
        <v>267</v>
      </c>
      <c r="D55" t="s">
        <v>268</v>
      </c>
      <c r="E55" t="s">
        <v>121</v>
      </c>
      <c r="F55" t="s">
        <v>178</v>
      </c>
      <c r="G55" t="s">
        <v>274</v>
      </c>
      <c r="H55" s="9" t="s">
        <v>42</v>
      </c>
      <c r="I55" s="9" t="s">
        <v>197</v>
      </c>
      <c r="J55" t="s">
        <v>293</v>
      </c>
      <c r="K55" s="9" t="s">
        <v>209</v>
      </c>
      <c r="L55" s="9" t="s">
        <v>210</v>
      </c>
      <c r="M55" s="9" t="s">
        <v>72</v>
      </c>
      <c r="O55" s="9" t="s">
        <v>72</v>
      </c>
      <c r="T55" t="s">
        <v>26</v>
      </c>
      <c r="U55"/>
      <c r="V55">
        <v>57</v>
      </c>
      <c r="W55">
        <v>53</v>
      </c>
      <c r="X55"/>
    </row>
    <row r="56" spans="1:24" x14ac:dyDescent="0.25">
      <c r="A56">
        <v>55</v>
      </c>
      <c r="B56" t="s">
        <v>265</v>
      </c>
      <c r="C56" s="9" t="s">
        <v>267</v>
      </c>
      <c r="D56" t="s">
        <v>268</v>
      </c>
      <c r="E56" t="s">
        <v>123</v>
      </c>
      <c r="F56" t="s">
        <v>182</v>
      </c>
      <c r="G56" t="s">
        <v>283</v>
      </c>
      <c r="H56" s="9" t="s">
        <v>42</v>
      </c>
      <c r="I56" s="9" t="s">
        <v>197</v>
      </c>
      <c r="J56" t="s">
        <v>293</v>
      </c>
      <c r="K56" s="9" t="s">
        <v>209</v>
      </c>
      <c r="L56" s="9" t="s">
        <v>210</v>
      </c>
      <c r="M56" s="9" t="s">
        <v>72</v>
      </c>
      <c r="O56" s="9" t="s">
        <v>72</v>
      </c>
      <c r="T56" t="s">
        <v>26</v>
      </c>
      <c r="U56"/>
      <c r="V56">
        <v>58</v>
      </c>
      <c r="W56">
        <v>54</v>
      </c>
      <c r="X56"/>
    </row>
    <row r="57" spans="1:24" x14ac:dyDescent="0.25">
      <c r="A57">
        <v>56</v>
      </c>
      <c r="B57" t="s">
        <v>265</v>
      </c>
      <c r="C57" s="9" t="s">
        <v>267</v>
      </c>
      <c r="D57" t="s">
        <v>268</v>
      </c>
      <c r="E57" t="s">
        <v>125</v>
      </c>
      <c r="F57" t="s">
        <v>185</v>
      </c>
      <c r="G57" t="s">
        <v>278</v>
      </c>
      <c r="H57" s="9" t="s">
        <v>42</v>
      </c>
      <c r="I57" s="9" t="s">
        <v>197</v>
      </c>
      <c r="J57" t="s">
        <v>293</v>
      </c>
      <c r="K57" s="9" t="s">
        <v>209</v>
      </c>
      <c r="L57" s="9" t="s">
        <v>210</v>
      </c>
      <c r="M57" s="9" t="s">
        <v>72</v>
      </c>
      <c r="O57" s="9" t="s">
        <v>72</v>
      </c>
      <c r="T57" t="s">
        <v>26</v>
      </c>
      <c r="U57"/>
      <c r="V57">
        <v>59</v>
      </c>
      <c r="W57">
        <v>55</v>
      </c>
      <c r="X57"/>
    </row>
    <row r="58" spans="1:24" x14ac:dyDescent="0.25">
      <c r="A58">
        <v>57</v>
      </c>
      <c r="B58" t="s">
        <v>266</v>
      </c>
      <c r="C58" s="9" t="s">
        <v>273</v>
      </c>
      <c r="D58" t="s">
        <v>269</v>
      </c>
      <c r="E58" t="s">
        <v>32</v>
      </c>
      <c r="F58" t="s">
        <v>140</v>
      </c>
      <c r="G58" t="s">
        <v>276</v>
      </c>
      <c r="H58" s="9" t="s">
        <v>44</v>
      </c>
      <c r="I58" s="9" t="s">
        <v>197</v>
      </c>
      <c r="J58" t="s">
        <v>295</v>
      </c>
      <c r="K58" s="9" t="s">
        <v>209</v>
      </c>
      <c r="L58" s="9" t="s">
        <v>210</v>
      </c>
      <c r="T58" t="s">
        <v>23</v>
      </c>
      <c r="U58"/>
      <c r="V58">
        <v>61</v>
      </c>
      <c r="W58">
        <v>56</v>
      </c>
      <c r="X58"/>
    </row>
    <row r="59" spans="1:24" x14ac:dyDescent="0.25">
      <c r="A59">
        <v>58</v>
      </c>
      <c r="B59" t="s">
        <v>271</v>
      </c>
      <c r="C59" s="9" t="s">
        <v>272</v>
      </c>
      <c r="D59" t="s">
        <v>270</v>
      </c>
      <c r="E59" t="s">
        <v>94</v>
      </c>
      <c r="F59" t="s">
        <v>143</v>
      </c>
      <c r="G59" t="s">
        <v>277</v>
      </c>
      <c r="H59" s="9" t="s">
        <v>44</v>
      </c>
      <c r="I59" s="9" t="s">
        <v>197</v>
      </c>
      <c r="J59" t="s">
        <v>295</v>
      </c>
      <c r="K59" s="9" t="s">
        <v>209</v>
      </c>
      <c r="L59" s="9" t="s">
        <v>210</v>
      </c>
      <c r="N59" s="9" t="s">
        <v>24</v>
      </c>
      <c r="P59" s="9" t="s">
        <v>24</v>
      </c>
      <c r="T59" t="s">
        <v>28</v>
      </c>
      <c r="U59"/>
      <c r="V59">
        <v>62</v>
      </c>
      <c r="W59">
        <v>57</v>
      </c>
      <c r="X59"/>
    </row>
    <row r="60" spans="1:24" x14ac:dyDescent="0.25">
      <c r="A60">
        <v>59</v>
      </c>
      <c r="B60" t="s">
        <v>271</v>
      </c>
      <c r="C60" s="9" t="s">
        <v>272</v>
      </c>
      <c r="D60" t="s">
        <v>270</v>
      </c>
      <c r="E60" t="s">
        <v>99</v>
      </c>
      <c r="F60" t="s">
        <v>148</v>
      </c>
      <c r="G60" t="s">
        <v>277</v>
      </c>
      <c r="H60" s="9" t="s">
        <v>44</v>
      </c>
      <c r="I60" s="9" t="s">
        <v>197</v>
      </c>
      <c r="J60" t="s">
        <v>295</v>
      </c>
      <c r="K60" s="9" t="s">
        <v>209</v>
      </c>
      <c r="L60" s="9" t="s">
        <v>210</v>
      </c>
      <c r="N60" s="9" t="s">
        <v>24</v>
      </c>
      <c r="P60" s="9" t="s">
        <v>24</v>
      </c>
      <c r="T60" t="s">
        <v>28</v>
      </c>
      <c r="U60"/>
      <c r="V60">
        <v>63</v>
      </c>
      <c r="W60">
        <v>58</v>
      </c>
      <c r="X60"/>
    </row>
    <row r="61" spans="1:24" x14ac:dyDescent="0.25">
      <c r="A61">
        <v>60</v>
      </c>
      <c r="B61" t="s">
        <v>271</v>
      </c>
      <c r="C61" s="9" t="s">
        <v>272</v>
      </c>
      <c r="D61" t="s">
        <v>270</v>
      </c>
      <c r="E61" t="s">
        <v>100</v>
      </c>
      <c r="F61" t="s">
        <v>149</v>
      </c>
      <c r="G61" t="s">
        <v>277</v>
      </c>
      <c r="H61" s="9" t="s">
        <v>44</v>
      </c>
      <c r="I61" s="9" t="s">
        <v>197</v>
      </c>
      <c r="J61" t="s">
        <v>295</v>
      </c>
      <c r="K61" s="9" t="s">
        <v>209</v>
      </c>
      <c r="L61" s="9" t="s">
        <v>210</v>
      </c>
      <c r="N61" s="9" t="s">
        <v>24</v>
      </c>
      <c r="P61" s="9" t="s">
        <v>24</v>
      </c>
      <c r="T61" t="s">
        <v>28</v>
      </c>
      <c r="U61"/>
      <c r="V61">
        <v>64</v>
      </c>
      <c r="W61">
        <v>59</v>
      </c>
      <c r="X61"/>
    </row>
    <row r="62" spans="1:24" x14ac:dyDescent="0.25">
      <c r="A62">
        <v>61</v>
      </c>
      <c r="B62" t="s">
        <v>271</v>
      </c>
      <c r="C62" s="9" t="s">
        <v>272</v>
      </c>
      <c r="D62" t="s">
        <v>270</v>
      </c>
      <c r="E62" t="s">
        <v>101</v>
      </c>
      <c r="F62" t="s">
        <v>151</v>
      </c>
      <c r="G62" t="s">
        <v>277</v>
      </c>
      <c r="H62" s="9" t="s">
        <v>44</v>
      </c>
      <c r="I62" s="9" t="s">
        <v>197</v>
      </c>
      <c r="J62" t="s">
        <v>295</v>
      </c>
      <c r="K62" s="9" t="s">
        <v>209</v>
      </c>
      <c r="L62" s="9" t="s">
        <v>210</v>
      </c>
      <c r="N62" s="9" t="s">
        <v>24</v>
      </c>
      <c r="P62" s="9" t="s">
        <v>24</v>
      </c>
      <c r="T62" t="s">
        <v>28</v>
      </c>
      <c r="U62"/>
      <c r="V62">
        <v>65</v>
      </c>
      <c r="W62">
        <v>60</v>
      </c>
      <c r="X62"/>
    </row>
    <row r="63" spans="1:24" x14ac:dyDescent="0.25">
      <c r="A63">
        <v>62</v>
      </c>
      <c r="B63" t="s">
        <v>266</v>
      </c>
      <c r="C63" s="9" t="s">
        <v>273</v>
      </c>
      <c r="D63" t="s">
        <v>269</v>
      </c>
      <c r="E63" t="s">
        <v>34</v>
      </c>
      <c r="F63" t="s">
        <v>152</v>
      </c>
      <c r="G63" t="s">
        <v>276</v>
      </c>
      <c r="H63" s="9" t="s">
        <v>44</v>
      </c>
      <c r="I63" s="9" t="s">
        <v>197</v>
      </c>
      <c r="J63" t="s">
        <v>295</v>
      </c>
      <c r="K63" s="9" t="s">
        <v>209</v>
      </c>
      <c r="L63" s="9" t="s">
        <v>210</v>
      </c>
      <c r="T63" t="s">
        <v>23</v>
      </c>
      <c r="U63"/>
      <c r="V63">
        <v>66</v>
      </c>
      <c r="W63">
        <v>61</v>
      </c>
      <c r="X63"/>
    </row>
    <row r="64" spans="1:24" x14ac:dyDescent="0.25">
      <c r="A64">
        <v>63</v>
      </c>
      <c r="B64" t="s">
        <v>266</v>
      </c>
      <c r="C64" s="9" t="s">
        <v>273</v>
      </c>
      <c r="D64" t="s">
        <v>269</v>
      </c>
      <c r="E64" t="s">
        <v>35</v>
      </c>
      <c r="F64" t="s">
        <v>154</v>
      </c>
      <c r="G64" t="s">
        <v>276</v>
      </c>
      <c r="H64" s="9" t="s">
        <v>44</v>
      </c>
      <c r="I64" s="9" t="s">
        <v>197</v>
      </c>
      <c r="J64" t="s">
        <v>295</v>
      </c>
      <c r="K64" s="9" t="s">
        <v>209</v>
      </c>
      <c r="L64" s="9" t="s">
        <v>210</v>
      </c>
      <c r="T64" t="s">
        <v>23</v>
      </c>
      <c r="U64"/>
      <c r="V64">
        <v>67</v>
      </c>
      <c r="W64">
        <v>62</v>
      </c>
      <c r="X64"/>
    </row>
    <row r="65" spans="1:24" x14ac:dyDescent="0.25">
      <c r="A65">
        <v>64</v>
      </c>
      <c r="B65" t="s">
        <v>266</v>
      </c>
      <c r="C65" s="9" t="s">
        <v>273</v>
      </c>
      <c r="D65" t="s">
        <v>269</v>
      </c>
      <c r="E65" t="s">
        <v>36</v>
      </c>
      <c r="F65" t="s">
        <v>158</v>
      </c>
      <c r="G65" t="s">
        <v>276</v>
      </c>
      <c r="H65" s="9" t="s">
        <v>44</v>
      </c>
      <c r="I65" s="9" t="s">
        <v>197</v>
      </c>
      <c r="J65" t="s">
        <v>295</v>
      </c>
      <c r="K65" s="9" t="s">
        <v>209</v>
      </c>
      <c r="L65" s="9" t="s">
        <v>210</v>
      </c>
      <c r="T65" t="s">
        <v>23</v>
      </c>
      <c r="U65"/>
      <c r="V65">
        <v>68</v>
      </c>
      <c r="W65">
        <v>63</v>
      </c>
      <c r="X65"/>
    </row>
    <row r="66" spans="1:24" x14ac:dyDescent="0.25">
      <c r="A66">
        <v>65</v>
      </c>
      <c r="B66" t="s">
        <v>271</v>
      </c>
      <c r="C66" s="9" t="s">
        <v>272</v>
      </c>
      <c r="D66" t="s">
        <v>270</v>
      </c>
      <c r="E66" t="s">
        <v>116</v>
      </c>
      <c r="F66" t="s">
        <v>172</v>
      </c>
      <c r="G66" t="s">
        <v>277</v>
      </c>
      <c r="H66" s="9" t="s">
        <v>44</v>
      </c>
      <c r="I66" s="9" t="s">
        <v>197</v>
      </c>
      <c r="J66" t="s">
        <v>295</v>
      </c>
      <c r="K66" s="9" t="s">
        <v>209</v>
      </c>
      <c r="L66" s="9" t="s">
        <v>210</v>
      </c>
      <c r="N66" s="9" t="s">
        <v>24</v>
      </c>
      <c r="P66" s="9" t="s">
        <v>24</v>
      </c>
      <c r="T66" t="s">
        <v>28</v>
      </c>
      <c r="U66"/>
      <c r="V66">
        <v>69</v>
      </c>
      <c r="W66">
        <v>64</v>
      </c>
      <c r="X66"/>
    </row>
    <row r="67" spans="1:24" x14ac:dyDescent="0.25">
      <c r="A67">
        <v>66</v>
      </c>
      <c r="B67" t="s">
        <v>266</v>
      </c>
      <c r="C67" s="9" t="s">
        <v>273</v>
      </c>
      <c r="D67" t="s">
        <v>269</v>
      </c>
      <c r="E67" t="s">
        <v>37</v>
      </c>
      <c r="F67" t="s">
        <v>183</v>
      </c>
      <c r="G67" t="s">
        <v>276</v>
      </c>
      <c r="H67" s="9" t="s">
        <v>44</v>
      </c>
      <c r="I67" s="9" t="s">
        <v>197</v>
      </c>
      <c r="J67" t="s">
        <v>295</v>
      </c>
      <c r="K67" s="9" t="s">
        <v>209</v>
      </c>
      <c r="L67" s="9" t="s">
        <v>210</v>
      </c>
      <c r="T67" t="s">
        <v>23</v>
      </c>
      <c r="U67"/>
      <c r="V67">
        <v>70</v>
      </c>
      <c r="W67">
        <v>65</v>
      </c>
      <c r="X67"/>
    </row>
    <row r="68" spans="1:24" x14ac:dyDescent="0.25">
      <c r="A68">
        <v>67</v>
      </c>
      <c r="B68" t="s">
        <v>271</v>
      </c>
      <c r="C68" s="9" t="s">
        <v>272</v>
      </c>
      <c r="D68" t="s">
        <v>270</v>
      </c>
      <c r="E68" t="s">
        <v>100</v>
      </c>
      <c r="F68" t="s">
        <v>149</v>
      </c>
      <c r="G68" t="s">
        <v>277</v>
      </c>
      <c r="H68" s="9" t="s">
        <v>44</v>
      </c>
      <c r="I68" s="9" t="s">
        <v>197</v>
      </c>
      <c r="J68" t="s">
        <v>295</v>
      </c>
      <c r="K68" s="9" t="s">
        <v>209</v>
      </c>
      <c r="L68" s="9" t="s">
        <v>210</v>
      </c>
      <c r="N68" s="9" t="s">
        <v>24</v>
      </c>
      <c r="P68" s="9" t="s">
        <v>24</v>
      </c>
      <c r="T68" t="s">
        <v>28</v>
      </c>
      <c r="U68"/>
      <c r="V68">
        <v>71</v>
      </c>
      <c r="W68">
        <v>66</v>
      </c>
      <c r="X68"/>
    </row>
    <row r="69" spans="1:24" x14ac:dyDescent="0.25">
      <c r="A69">
        <v>68</v>
      </c>
      <c r="B69" t="s">
        <v>266</v>
      </c>
      <c r="C69" s="9" t="s">
        <v>273</v>
      </c>
      <c r="D69" t="s">
        <v>269</v>
      </c>
      <c r="E69" t="s">
        <v>117</v>
      </c>
      <c r="F69" t="s">
        <v>173</v>
      </c>
      <c r="G69" t="s">
        <v>276</v>
      </c>
      <c r="H69" s="9" t="s">
        <v>44</v>
      </c>
      <c r="I69" s="9" t="s">
        <v>197</v>
      </c>
      <c r="J69" t="s">
        <v>295</v>
      </c>
      <c r="K69" s="9" t="s">
        <v>209</v>
      </c>
      <c r="L69" s="9" t="s">
        <v>210</v>
      </c>
      <c r="T69" t="s">
        <v>23</v>
      </c>
      <c r="U69"/>
      <c r="V69">
        <v>72</v>
      </c>
      <c r="W69">
        <v>67</v>
      </c>
      <c r="X69"/>
    </row>
    <row r="70" spans="1:24" x14ac:dyDescent="0.25">
      <c r="A70">
        <v>69</v>
      </c>
      <c r="B70" t="s">
        <v>266</v>
      </c>
      <c r="C70" s="9" t="s">
        <v>273</v>
      </c>
      <c r="D70" t="s">
        <v>269</v>
      </c>
      <c r="E70" t="s">
        <v>120</v>
      </c>
      <c r="F70" t="s">
        <v>177</v>
      </c>
      <c r="G70" t="s">
        <v>275</v>
      </c>
      <c r="H70" s="9" t="s">
        <v>44</v>
      </c>
      <c r="I70" s="9" t="s">
        <v>197</v>
      </c>
      <c r="J70" t="s">
        <v>295</v>
      </c>
      <c r="K70" s="9" t="s">
        <v>209</v>
      </c>
      <c r="L70" s="9" t="s">
        <v>210</v>
      </c>
      <c r="T70" t="s">
        <v>23</v>
      </c>
      <c r="U70"/>
      <c r="V70">
        <v>73</v>
      </c>
      <c r="W70">
        <v>68</v>
      </c>
      <c r="X70"/>
    </row>
    <row r="71" spans="1:24" x14ac:dyDescent="0.25">
      <c r="A71">
        <v>70</v>
      </c>
      <c r="B71" t="s">
        <v>266</v>
      </c>
      <c r="C71" s="9" t="s">
        <v>273</v>
      </c>
      <c r="D71" t="s">
        <v>269</v>
      </c>
      <c r="E71" t="s">
        <v>122</v>
      </c>
      <c r="F71" t="s">
        <v>179</v>
      </c>
      <c r="G71" t="s">
        <v>281</v>
      </c>
      <c r="H71" s="9" t="s">
        <v>44</v>
      </c>
      <c r="I71" s="9" t="s">
        <v>197</v>
      </c>
      <c r="J71" t="s">
        <v>295</v>
      </c>
      <c r="K71" s="9" t="s">
        <v>209</v>
      </c>
      <c r="L71" s="9" t="s">
        <v>210</v>
      </c>
      <c r="T71" t="s">
        <v>23</v>
      </c>
      <c r="U71"/>
      <c r="V71">
        <v>74</v>
      </c>
      <c r="W71">
        <v>69</v>
      </c>
      <c r="X71"/>
    </row>
    <row r="72" spans="1:24" x14ac:dyDescent="0.25">
      <c r="A72">
        <v>71</v>
      </c>
      <c r="B72" s="9" t="s">
        <v>271</v>
      </c>
      <c r="C72" s="9" t="s">
        <v>272</v>
      </c>
      <c r="D72" s="9" t="s">
        <v>270</v>
      </c>
      <c r="E72" s="9" t="s">
        <v>107</v>
      </c>
      <c r="F72" s="9" t="s">
        <v>160</v>
      </c>
      <c r="G72" s="9" t="s">
        <v>277</v>
      </c>
      <c r="H72" s="9" t="s">
        <v>44</v>
      </c>
      <c r="I72" s="9" t="s">
        <v>197</v>
      </c>
      <c r="J72" s="9" t="s">
        <v>295</v>
      </c>
      <c r="K72" s="9" t="s">
        <v>209</v>
      </c>
      <c r="L72" s="9" t="s">
        <v>210</v>
      </c>
      <c r="N72" s="9" t="s">
        <v>24</v>
      </c>
      <c r="P72" s="9" t="s">
        <v>24</v>
      </c>
      <c r="T72" s="9" t="s">
        <v>28</v>
      </c>
      <c r="V72">
        <v>75</v>
      </c>
      <c r="W72">
        <v>70</v>
      </c>
    </row>
    <row r="73" spans="1:24" x14ac:dyDescent="0.25">
      <c r="A73">
        <v>72</v>
      </c>
      <c r="B73" s="9" t="s">
        <v>266</v>
      </c>
      <c r="C73" s="9" t="s">
        <v>273</v>
      </c>
      <c r="D73" s="9" t="s">
        <v>269</v>
      </c>
      <c r="E73" s="9" t="s">
        <v>33</v>
      </c>
      <c r="F73" s="9" t="s">
        <v>150</v>
      </c>
      <c r="G73" s="9" t="s">
        <v>275</v>
      </c>
      <c r="H73" s="9" t="s">
        <v>44</v>
      </c>
      <c r="I73" s="9" t="s">
        <v>197</v>
      </c>
      <c r="J73" s="9" t="s">
        <v>295</v>
      </c>
      <c r="K73" s="9" t="s">
        <v>209</v>
      </c>
      <c r="L73" s="9" t="s">
        <v>210</v>
      </c>
      <c r="T73" s="9" t="s">
        <v>23</v>
      </c>
      <c r="V73">
        <v>76</v>
      </c>
      <c r="W73">
        <v>71</v>
      </c>
    </row>
  </sheetData>
  <phoneticPr fontId="2" type="noConversion"/>
  <conditionalFormatting sqref="M2:S73">
    <cfRule type="expression" dxfId="1" priority="1">
      <formula>M2=""</formula>
    </cfRule>
    <cfRule type="expression" dxfId="0" priority="2">
      <formula>M2&lt;&gt;""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5 1 0 9 a 2 - c f d 5 - 4 c d b - 9 e 2 b - e d 3 b 2 2 6 d 3 a 5 d "   x m l n s = " h t t p : / / s c h e m a s . m i c r o s o f t . c o m / D a t a M a s h u p " > A A A A A F o G A A B Q S w M E F A A C A A g A b r f k W m J E b 2 6 k A A A A 9 g A A A B I A H A B D b 2 5 m a W c v U G F j a 2 F n Z S 5 4 b W w g o h g A K K A U A A A A A A A A A A A A A A A A A A A A A A A A A A A A h Y 8 x D o I w G I W v Q r r T F i T B k J 8 y u I o x M S G u T a n Q C M X Q Q r m b g 0 f y C m I U d X N 8 3 / u G 9 + 7 X G 2 R T 2 3 i j 7 I 3 q d I o C T J E n t e h K p a s U D f b k r 1 H G Y M / F m V f S m 2 V t k s m U K a q t v S S E O O e w W + G u r 0 h I a U C O + f Y g a t l y 9 J H V f 9 l X 2 l i u h U Q M i t c Y F u I g i n A Q x 5 g C W S D k S n + F c N 7 7 b H 8 g b I b G D r 1 k o / K L H Z A l A n l / Y A 9 Q S w M E F A A C A A g A b r f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6 3 5 F r + I L y O V A M A A N U M A A A T A B w A R m 9 y b X V s Y X M v U 2 V j d G l v b j E u b S C i G A A o o B Q A A A A A A A A A A A A A A A A A A A A A A A A A A A D t V s 9 P 2 z A U v l f q / 2 B l l 1 a K K t w y 9 o M x C Q q j a A N V N G y a K A e T e i Q i s V H i Q i f E A e 2 E p h 1 2 n n b Y q h 2 2 E 4 e d 6 G G H I k 7 9 J / q f z E 5 K 7 c R J B e c N I f X p P f v 7 P s f v y 0 u I b e Z S A l r x L 1 w s F o q F 0 E E B 7 o C 1 A x r 6 K G B g C X i Y F Q u A / 7 V o N 7 A x z 6 z 1 b O x V 3 t D g c J / S w 9 I L 1 8 O V O i U M E x a W j P r T 9 k 6 I g 7 D d r L d X q d 3 1 R b q 9 w l f C S s 8 L e 0 b Z B K T r e S Z g Q R e X z R j 8 g b G N f X r M q e v U 6 / o k N D i R h f Y 5 d F y Y p E u x C v P U 2 G D Y N 0 x g v H R J R / w 2 3 E 4 H E + N M I n J h D I v T b N M T B a + F P X 5 i k S v p r C b A y H Z A a X c L + X i P 7 z G W i f M a E a v R t A x A A 6 A V X N x t U D t V s 6 j Y U m 9 l p j W k K D 3 B K U v 9 a 7 0 j R D p c 3 C p i S O q P 0 1 E c q y 6 l j 8 q f R r T F B K d G v A S K X B x W Z V i T 4 b w M H 8 p w Q Y a P Z P h Y h k 9 k C O e U W O G D C i F U G K F C C R V O q J B C h R U q t F D h r S q 8 V W i c / Z O H z r U R z P N R u r 2 4 o 0 Q / q l D L H V H d 4 G t 6 E o U n o 8 y 0 9 T R C L i z e Y w I Y / W 8 Q t j B f s d 4 f J d x O g 0 7 U s R l + j 0 p S q K p D G H 8 C / v + W p w + v m n / L + o M 2 p T 8 S i I R f f + Z 1 i I I K m K I 2 T 5 U 7 s S z j T E F t B t S n j K 9 u Y M R V K L C T y i R f 0 g W Y Y H e y Z t n z W j b y U B A u i Z G x J + H r D i I H f I / o L Q l t B Y i E 7 2 j g x 1 C i K A g 0 L U K 4 u E 3 Z n 9 H L Y 3 P Y B 9 5 4 8 O W I l x h P A o Z 7 L K p Y w 1 8 k p 7 Q 5 / A 3 Y + K q v F R r j w S c b h C 5 x M v b 0 Q a O l p V / l E R D g C D C t V E d Z G B / 5 G M t e v + 6 O B 1 / B 9 e f x 1 R + S U z w e D 8 7 1 4 3 O 4 n 6 C B 3 I z K z e X o H K z o Q i Y V 6 + Y y r 7 R 1 / c H P q 7 X Q 6 H w n n 2 1 0 8 V Z / G E 5 3 d A G 2 n O H 3 U d / S q k 1 + h B / 8 w 2 P 4 z d b v Y 9 1 x g e 0 M r x K F 7 P c h n P F C T D T l n V 6 G i e k N c 7 5 U E u z T z x T Z k n v g 2 X O g t m g 5 U 3 l 1 h v K U j l v t F R H O 5 a p X w G s z w B M a p t D V + 0 0 J e L c x U Z v O i Y g g c n n C 1 0 k r q + 5 N G l Z 6 d G r L p B N j 8 6 X 9 l r Z Y 0 l U J I y W 8 k 7 R L y i F p U 6 R 9 o L V + u t v V B p d v 7 N s r z p 8 u t X t M F y i e / K z B A u 8 8 W W p y s s S 3 G M + W Y s E l u d i L f w F Q S w E C L Q A U A A I A C A B u t + R a Y k R v b q Q A A A D 2 A A A A E g A A A A A A A A A A A A A A A A A A A A A A Q 2 9 u Z m l n L 1 B h Y 2 t h Z 2 U u e G 1 s U E s B A i 0 A F A A C A A g A b r f k W g / K 6 a u k A A A A 6 Q A A A B M A A A A A A A A A A A A A A A A A 8 A A A A F t D b 2 5 0 Z W 5 0 X 1 R 5 c G V z X S 5 4 b W x Q S w E C L Q A U A A I A C A B u t + R a / i C 8 j l Q D A A D V D A A A E w A A A A A A A A A A A A A A A A D h A Q A A R m 9 y b X V s Y X M v U 2 V j d G l v b j E u b V B L B Q Y A A A A A A w A D A M I A A A C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H Q A A A A A A A L E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Z 2 9 z b W F y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O D Q z M m E 0 L W M x Y j E t N G F k N S 0 4 O D Z j L T Q 2 M 2 E z O W V l N D I z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9 u Z 0 h v c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Z 2 9 z b W F y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d v c 2 1 h c n Q v Q W R k Z W Q g S W 5 k Z X g z L n t J b m R l e C 4 y L D I z f S Z x d W 9 0 O y w m c X V v d D t T Z W N 0 a W 9 u M S 9 F Z 2 9 z b W F y d C 9 B Z G R l Z C B J b m R l e D M u e 0 3 D o y B s 4 b u b c C w x f S Z x d W 9 0 O y w m c X V v d D t T Z W N 0 a W 9 u M S 9 F Z 2 9 z b W F y d C 9 B Z G R l Z C B J b m R l e D M u e 1 T D q m 4 g b O G 7 m 3 A s M n 0 m c X V v d D s s J n F 1 b 3 Q 7 U 2 V j d G l v b j E v R W d v c 2 1 h c n Q v Q W R k Z W Q g S W 5 k Z X g z L n t N w 7 Q g d O G 6 o y w z f S Z x d W 9 0 O y w m c X V v d D t T Z W N 0 a W 9 u M S 9 F Z 2 9 z b W F y d C 9 B Z G R l Z C B J b m R l e D M u e 0 j h u 4 1 j I H N p b m g s N H 0 m c X V v d D s s J n F 1 b 3 Q 7 U 2 V j d G l v b j E v R W d v c 2 1 h c n Q v Q W R k Z W Q g S W 5 k Z X g z L n t N w 6 M g S F M s N X 0 m c X V v d D s s J n F 1 b 3 Q 7 U 2 V j d G l v b j E v R W d v c 2 1 h c n Q v Q W R k Z W Q g S W 5 k Z X g z L n t M 4 b u b c C w 2 f S Z x d W 9 0 O y w m c X V v d D t T Z W N 0 a W 9 u M S 9 F Z 2 9 z b W F y d C 9 B Z G R l Z C B J b m R l e D M u e 0 3 D t G 4 g a O G 7 j W M s N 3 0 m c X V v d D s s J n F 1 b 3 Q 7 U 2 V j d G l v b j E v R W d v c 2 1 h c n Q v Q W R k Z W Q g S W 5 k Z X g z L n t D Y S w 4 f S Z x d W 9 0 O y w m c X V v d D t T Z W N 0 a W 9 u M S 9 F Z 2 9 z b W F y d C 9 B Z G R l Z C B J b m R l e D M u e 0 z h u 4 t j a C B o 4 b u N Y y w 5 f S Z x d W 9 0 O y w m c X V v d D t T Z W N 0 a W 9 u M S 9 F Z 2 9 z b W F y d C 9 B Z G R l Z C B J b m R l e D M u e 0 d p 4 b u d I M S R 4 b q / b i w x M H 0 m c X V v d D s s J n F 1 b 3 Q 7 U 2 V j d G l v b j E v R W d v c 2 1 h c n Q v Q W R k Z W Q g S W 5 k Z X g z L n t H a e G 7 n S B 2 4 b u B L D E x f S Z x d W 9 0 O y w m c X V v d D t T Z W N 0 a W 9 u M S 9 F Z 2 9 z b W F y d C 9 B Z G R l Z C B J b m R l e D M u e 1 R o 4 b u p I E h h a S w x M n 0 m c X V v d D s s J n F 1 b 3 Q 7 U 2 V j d G l v b j E v R W d v c 2 1 h c n Q v Q W R k Z W Q g S W 5 k Z X g z L n t U a M a w z I E g Q m E s M T N 9 J n F 1 b 3 Q 7 L C Z x d W 9 0 O 1 N l Y 3 R p b 2 4 x L 0 V n b 3 N t Y X J 0 L 0 F k Z G V k I E l u Z G V 4 M y 5 7 V G j G s M y B I F T G s C w x N H 0 m c X V v d D s s J n F 1 b 3 Q 7 U 2 V j d G l v b j E v R W d v c 2 1 h c n Q v Q W R k Z W Q g S W 5 k Z X g z L n t U a M a w z I E g T s S D b S w x N X 0 m c X V v d D s s J n F 1 b 3 Q 7 U 2 V j d G l v b j E v R W d v c 2 1 h c n Q v Q W R k Z W Q g S W 5 k Z X g z L n t U a M a w z I E g U 2 H M g V U s M T Z 9 J n F 1 b 3 Q 7 L C Z x d W 9 0 O 1 N l Y 3 R p b 2 4 x L 0 V n b 3 N t Y X J 0 L 0 F k Z G V k I E l u Z G V 4 M y 5 7 V G j G s M y B I E J h z I l Z L D E 3 f S Z x d W 9 0 O y w m c X V v d D t T Z W N 0 a W 9 u M S 9 F Z 2 9 z b W F y d C 9 B Z G R l Z C B J b m R l e D M u e 0 N o d c y J I E 5 o w 6 L M o 1 Q s M T h 9 J n F 1 b 3 Q 7 L C Z x d W 9 0 O 1 N l Y 3 R p b 2 4 x L 0 V n b 3 N t Y X J 0 L 0 F k Z G V k I E l u Z G V 4 M y 5 7 U G j h u 6 U g d H L D o W N o L D E 5 f S Z x d W 9 0 O y w m c X V v d D t T Z W N 0 a W 9 u M S 9 F Z 2 9 z b W F y d C 9 B Z G R l Z C B J b m R l e D M u e 0 d o a S B j a M O 6 L D I w f S Z x d W 9 0 O y w m c X V v d D t T Z W N 0 a W 9 u M S 9 F Z 2 9 z b W F y d C 9 B Z G R l Z C B J b m R l e D M u e 0 l u Z G V 4 L D I x f S Z x d W 9 0 O y w m c X V v d D t T Z W N 0 a W 9 u M S 9 F Z 2 9 z b W F y d C 9 B Z G R l Z C B J b m R l e D M u e 0 l u Z G V 4 L j E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F Z 2 9 z b W F y d C 9 B Z G R l Z C B J b m R l e D M u e 0 l u Z G V 4 L j I s M j N 9 J n F 1 b 3 Q 7 L C Z x d W 9 0 O 1 N l Y 3 R p b 2 4 x L 0 V n b 3 N t Y X J 0 L 0 F k Z G V k I E l u Z G V 4 M y 5 7 T c O j I G z h u 5 t w L D F 9 J n F 1 b 3 Q 7 L C Z x d W 9 0 O 1 N l Y 3 R p b 2 4 x L 0 V n b 3 N t Y X J 0 L 0 F k Z G V k I E l u Z G V 4 M y 5 7 V M O q b i B s 4 b u b c C w y f S Z x d W 9 0 O y w m c X V v d D t T Z W N 0 a W 9 u M S 9 F Z 2 9 z b W F y d C 9 B Z G R l Z C B J b m R l e D M u e 0 3 D t C B 0 4 b q j L D N 9 J n F 1 b 3 Q 7 L C Z x d W 9 0 O 1 N l Y 3 R p b 2 4 x L 0 V n b 3 N t Y X J 0 L 0 F k Z G V k I E l u Z G V 4 M y 5 7 S O G 7 j W M g c 2 l u a C w 0 f S Z x d W 9 0 O y w m c X V v d D t T Z W N 0 a W 9 u M S 9 F Z 2 9 z b W F y d C 9 B Z G R l Z C B J b m R l e D M u e 0 3 D o y B I U y w 1 f S Z x d W 9 0 O y w m c X V v d D t T Z W N 0 a W 9 u M S 9 F Z 2 9 z b W F y d C 9 B Z G R l Z C B J b m R l e D M u e 0 z h u 5 t w L D Z 9 J n F 1 b 3 Q 7 L C Z x d W 9 0 O 1 N l Y 3 R p b 2 4 x L 0 V n b 3 N t Y X J 0 L 0 F k Z G V k I E l u Z G V 4 M y 5 7 T c O 0 b i B o 4 b u N Y y w 3 f S Z x d W 9 0 O y w m c X V v d D t T Z W N 0 a W 9 u M S 9 F Z 2 9 z b W F y d C 9 B Z G R l Z C B J b m R l e D M u e 0 N h L D h 9 J n F 1 b 3 Q 7 L C Z x d W 9 0 O 1 N l Y 3 R p b 2 4 x L 0 V n b 3 N t Y X J 0 L 0 F k Z G V k I E l u Z G V 4 M y 5 7 T O G 7 i 2 N o I G j h u 4 1 j L D l 9 J n F 1 b 3 Q 7 L C Z x d W 9 0 O 1 N l Y 3 R p b 2 4 x L 0 V n b 3 N t Y X J 0 L 0 F k Z G V k I E l u Z G V 4 M y 5 7 R 2 n h u 5 0 g x J H h u r 9 u L D E w f S Z x d W 9 0 O y w m c X V v d D t T Z W N 0 a W 9 u M S 9 F Z 2 9 z b W F y d C 9 B Z G R l Z C B J b m R l e D M u e 0 d p 4 b u d I H b h u 4 E s M T F 9 J n F 1 b 3 Q 7 L C Z x d W 9 0 O 1 N l Y 3 R p b 2 4 x L 0 V n b 3 N t Y X J 0 L 0 F k Z G V k I E l u Z G V 4 M y 5 7 V G j h u 6 k g S G F p L D E y f S Z x d W 9 0 O y w m c X V v d D t T Z W N 0 a W 9 u M S 9 F Z 2 9 z b W F y d C 9 B Z G R l Z C B J b m R l e D M u e 1 R o x r D M g S B C Y S w x M 3 0 m c X V v d D s s J n F 1 b 3 Q 7 U 2 V j d G l v b j E v R W d v c 2 1 h c n Q v Q W R k Z W Q g S W 5 k Z X g z L n t U a M a w z I E g V M a w L D E 0 f S Z x d W 9 0 O y w m c X V v d D t T Z W N 0 a W 9 u M S 9 F Z 2 9 z b W F y d C 9 B Z G R l Z C B J b m R l e D M u e 1 R o x r D M g S B O x I N t L D E 1 f S Z x d W 9 0 O y w m c X V v d D t T Z W N 0 a W 9 u M S 9 F Z 2 9 z b W F y d C 9 B Z G R l Z C B J b m R l e D M u e 1 R o x r D M g S B T Y c y B V S w x N n 0 m c X V v d D s s J n F 1 b 3 Q 7 U 2 V j d G l v b j E v R W d v c 2 1 h c n Q v Q W R k Z W Q g S W 5 k Z X g z L n t U a M a w z I E g Q m H M i V k s M T d 9 J n F 1 b 3 Q 7 L C Z x d W 9 0 O 1 N l Y 3 R p b 2 4 x L 0 V n b 3 N t Y X J 0 L 0 F k Z G V k I E l u Z G V 4 M y 5 7 Q 2 h 1 z I k g T m j D o s y j V C w x O H 0 m c X V v d D s s J n F 1 b 3 Q 7 U 2 V j d G l v b j E v R W d v c 2 1 h c n Q v Q W R k Z W Q g S W 5 k Z X g z L n t Q a O G 7 p S B 0 c s O h Y 2 g s M T l 9 J n F 1 b 3 Q 7 L C Z x d W 9 0 O 1 N l Y 3 R p b 2 4 x L 0 V n b 3 N t Y X J 0 L 0 F k Z G V k I E l u Z G V 4 M y 5 7 R 2 h p I G N o w 7 o s M j B 9 J n F 1 b 3 Q 7 L C Z x d W 9 0 O 1 N l Y 3 R p b 2 4 x L 0 V n b 3 N t Y X J 0 L 0 F k Z G V k I E l u Z G V 4 M y 5 7 S W 5 k Z X g s M j F 9 J n F 1 b 3 Q 7 L C Z x d W 9 0 O 1 N l Y 3 R p b 2 4 x L 0 V n b 3 N t Y X J 0 L 0 F k Z G V k I E l u Z G V 4 M y 5 7 S W 5 k Z X g u M S w y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U J n F 1 b 3 Q 7 L C Z x d W 9 0 O 0 3 D o y B s 4 b u b c C Z x d W 9 0 O y w m c X V v d D t U w 6 p u I G z h u 5 t w J n F 1 b 3 Q 7 L C Z x d W 9 0 O 0 3 D t C B 0 4 b q j J n F 1 b 3 Q 7 L C Z x d W 9 0 O 0 j h u 4 1 j I H N p b m g m c X V v d D s s J n F 1 b 3 Q 7 T c O j I E h T J n F 1 b 3 Q 7 L C Z x d W 9 0 O 0 z h u 5 t w J n F 1 b 3 Q 7 L C Z x d W 9 0 O 0 3 D t G 4 g a O G 7 j W M m c X V v d D s s J n F 1 b 3 Q 7 Q 2 E m c X V v d D s s J n F 1 b 3 Q 7 T O G 7 i 2 N o I G j h u 4 1 j J n F 1 b 3 Q 7 L C Z x d W 9 0 O 0 d p 4 b u d I M S R 4 b q / b i Z x d W 9 0 O y w m c X V v d D t H a e G 7 n S B 2 4 b u B J n F 1 b 3 Q 7 L C Z x d W 9 0 O 1 R o 4 b u p I E h h a S Z x d W 9 0 O y w m c X V v d D t U a M a w z I E g Q m E m c X V v d D s s J n F 1 b 3 Q 7 V G j G s M y B I F T G s C Z x d W 9 0 O y w m c X V v d D t U a M a w z I E g T s S D b S Z x d W 9 0 O y w m c X V v d D t U a M a w z I E g U 2 H M g V U m c X V v d D s s J n F 1 b 3 Q 7 V G j G s M y B I E J h z I l Z J n F 1 b 3 Q 7 L C Z x d W 9 0 O 0 N o d c y J I E 5 o w 6 L M o 1 Q m c X V v d D s s J n F 1 b 3 Q 7 U G j h u 6 U g d H L D o W N o J n F 1 b 3 Q 7 L C Z x d W 9 0 O 0 d o a S B j a M O 6 J n F 1 b 3 Q 7 L C Z x d W 9 0 O 0 l u Z G V 4 J n F 1 b 3 Q 7 L C Z x d W 9 0 O 0 l u Z G V 4 L j E m c X V v d D t d I i A v P j x F b n R y e S B U e X B l P S J G a W x s Q 2 9 s d W 1 u V H l w Z X M i I F Z h b H V l P S J z Q X d Z R 0 J n W U d C Z 1 l H Q m d Z R 0 J n W U d C Z 1 l H Q m d Z R 0 F 3 T T 0 i I C 8 + P E V u d H J 5 I F R 5 c G U 9 I k Z p b G x M Y X N 0 V X B k Y X R l Z C I g V m F s d W U 9 I m Q y M D I 1 L T A 3 L T A 0 V D E 1 O j U 5 O j I 5 L j g 3 M z g y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n b 3 N t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b 3 N t Y X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v c 2 1 h c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v c 2 1 h c n Q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v c 2 1 h c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v c 2 1 h c n Q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b 3 N t Y X J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2 9 z b W F y d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2 9 z b W F y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b 3 N t Y X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b 3 N t Y X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v c 2 1 h c n Q v Q W R k Z W Q l M j B J b m R l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2 9 z b W F y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v c 2 1 h c n Q v Q W R k Z W Q l M j B J b m R l e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2 9 z b W F y d C 9 B Z G R l Z C U y M E l u Z G V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b 3 N t Y X J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v c 2 1 h c n Q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v c 2 1 h c n Q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W B E z a J 3 H x L q Q 2 p Z H 2 R Z f c A A A A A A g A A A A A A E G Y A A A A B A A A g A A A A C W T u e E 3 9 N J u Q J 8 6 Z S H s H z I b A + B 9 0 Q p x f b 5 r 6 3 m L 5 R e E A A A A A D o A A A A A C A A A g A A A A Y 0 5 K j T G 9 f h t c Z p S S h H v f N 6 r 9 6 K v 9 K m i Y Q m X u f P y y B s N Q A A A A k 0 r H F k q d l Y l Z l F 1 C U k p W u + k E v S n W G M y E 6 O F A a F b t K p 2 R 2 1 B H 3 P M A P b j o P 3 f Y + M Q I j P w G c r z I P V h S L Z l W r 1 M g A 0 d n 2 b m K Y M J 6 X U a s A J u z G h p A A A A A C F 4 q J O t 1 r G z 0 a + C P g M 4 4 6 k h 1 E 0 A F m H 5 4 f K Z + 1 h u n K J h q A v + k n 6 + h t z y T C K p 8 I t J x S 0 J e J P a H 7 d 0 q 3 l t p e R i n Z w = = < / D a t a M a s h u p > 
</file>

<file path=customXml/itemProps1.xml><?xml version="1.0" encoding="utf-8"?>
<ds:datastoreItem xmlns:ds="http://schemas.openxmlformats.org/officeDocument/2006/customXml" ds:itemID="{AEC19156-BB1D-425E-9ACE-5B9C8FDD2F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Data_thamchieu</vt:lpstr>
      <vt:lpstr>DS_Nguồn</vt:lpstr>
      <vt:lpstr>ToanTieuHoc</vt:lpstr>
      <vt:lpstr>ToanTHCS</vt:lpstr>
      <vt:lpstr>ToanTHPT</vt:lpstr>
      <vt:lpstr>AnhVanTieuHoc</vt:lpstr>
      <vt:lpstr>AnhVanTHPT</vt:lpstr>
      <vt:lpstr>TongHop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ThanhLe</cp:lastModifiedBy>
  <cp:lastPrinted>2025-07-03T07:12:03Z</cp:lastPrinted>
  <dcterms:created xsi:type="dcterms:W3CDTF">2025-07-01T07:26:53Z</dcterms:created>
  <dcterms:modified xsi:type="dcterms:W3CDTF">2025-07-05T03:24:26Z</dcterms:modified>
</cp:coreProperties>
</file>