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AVENPORTD\Documents\GitHub\White-Shark-Breeders\Scripts\"/>
    </mc:Choice>
  </mc:AlternateContent>
  <xr:revisionPtr revIDLastSave="0" documentId="13_ncr:1_{8AD0E7EA-7769-4F5C-ADD6-53BFD6A91447}" xr6:coauthVersionLast="47" xr6:coauthVersionMax="47" xr10:uidLastSave="{00000000-0000-0000-0000-000000000000}"/>
  <bookViews>
    <workbookView xWindow="-120" yWindow="-120" windowWidth="16440" windowHeight="28440" firstSheet="1" activeTab="7" xr2:uid="{00000000-000D-0000-FFFF-FFFF00000000}"/>
  </bookViews>
  <sheets>
    <sheet name="2012" sheetId="12" r:id="rId1"/>
    <sheet name="2011" sheetId="11" r:id="rId2"/>
    <sheet name="2010" sheetId="10" r:id="rId3"/>
    <sheet name="Example" sheetId="1" r:id="rId4"/>
    <sheet name="Blank_Template" sheetId="2" r:id="rId5"/>
    <sheet name="Rstar" sheetId="3" r:id="rId6"/>
    <sheet name="Nb" sheetId="9" r:id="rId7"/>
    <sheet name="2013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VPgmpIym8l4fD8lCfe8h3PXmXpw=="/>
    </ext>
  </extLst>
</workbook>
</file>

<file path=xl/calcChain.xml><?xml version="1.0" encoding="utf-8"?>
<calcChain xmlns="http://schemas.openxmlformats.org/spreadsheetml/2006/main">
  <c r="C8" i="12" l="1"/>
  <c r="C7" i="12"/>
  <c r="C5" i="12"/>
  <c r="C13" i="12" s="1"/>
  <c r="D8" i="12"/>
  <c r="D7" i="12"/>
  <c r="D6" i="12"/>
  <c r="D5" i="12"/>
  <c r="F6" i="12"/>
  <c r="E10" i="12" s="1"/>
  <c r="D10" i="12" s="1"/>
  <c r="D8" i="11"/>
  <c r="D7" i="11"/>
  <c r="D6" i="11"/>
  <c r="D5" i="11"/>
  <c r="F6" i="11"/>
  <c r="E10" i="11" s="1"/>
  <c r="D10" i="11" s="1"/>
  <c r="C8" i="11"/>
  <c r="C7" i="11"/>
  <c r="C5" i="11"/>
  <c r="C13" i="11" s="1"/>
  <c r="F6" i="10"/>
  <c r="D8" i="10"/>
  <c r="D7" i="10"/>
  <c r="D6" i="10"/>
  <c r="D5" i="10"/>
  <c r="C8" i="10"/>
  <c r="C7" i="10"/>
  <c r="C13" i="10" s="1"/>
  <c r="C5" i="10"/>
  <c r="C14" i="10"/>
  <c r="E10" i="10"/>
  <c r="D10" i="10" s="1"/>
  <c r="E9" i="10"/>
  <c r="D9" i="10" s="1"/>
  <c r="C8" i="8"/>
  <c r="C7" i="8"/>
  <c r="C5" i="8"/>
  <c r="C13" i="8" s="1"/>
  <c r="D8" i="8"/>
  <c r="D6" i="8"/>
  <c r="E10" i="8"/>
  <c r="D10" i="8" s="1"/>
  <c r="C14" i="2"/>
  <c r="C13" i="2"/>
  <c r="E10" i="2"/>
  <c r="D10" i="2" s="1"/>
  <c r="E9" i="2"/>
  <c r="D9" i="2" s="1"/>
  <c r="C14" i="1"/>
  <c r="C13" i="1"/>
  <c r="C15" i="1" s="1"/>
  <c r="E10" i="1"/>
  <c r="D10" i="1" s="1"/>
  <c r="E9" i="1"/>
  <c r="D9" i="1"/>
  <c r="D11" i="1" s="1"/>
  <c r="D13" i="1" s="1"/>
  <c r="C14" i="12" l="1"/>
  <c r="C15" i="12" s="1"/>
  <c r="C16" i="12" s="1"/>
  <c r="C17" i="12" s="1"/>
  <c r="E9" i="12"/>
  <c r="D9" i="12" s="1"/>
  <c r="G10" i="12"/>
  <c r="D12" i="12"/>
  <c r="D14" i="12" s="1"/>
  <c r="E9" i="11"/>
  <c r="D9" i="11" s="1"/>
  <c r="G9" i="11" s="1"/>
  <c r="C14" i="11"/>
  <c r="C15" i="11" s="1"/>
  <c r="C16" i="11" s="1"/>
  <c r="G10" i="11"/>
  <c r="D12" i="11"/>
  <c r="D14" i="11" s="1"/>
  <c r="C15" i="10"/>
  <c r="D11" i="10"/>
  <c r="D13" i="10" s="1"/>
  <c r="G9" i="10"/>
  <c r="G10" i="10"/>
  <c r="D12" i="10"/>
  <c r="D14" i="10" s="1"/>
  <c r="C16" i="10"/>
  <c r="C14" i="8"/>
  <c r="C15" i="8" s="1"/>
  <c r="C16" i="8" s="1"/>
  <c r="E9" i="8"/>
  <c r="D9" i="8" s="1"/>
  <c r="D11" i="8" s="1"/>
  <c r="D13" i="8" s="1"/>
  <c r="D12" i="8"/>
  <c r="D14" i="8" s="1"/>
  <c r="G10" i="8"/>
  <c r="C15" i="2"/>
  <c r="C16" i="2" s="1"/>
  <c r="G10" i="1"/>
  <c r="D12" i="1"/>
  <c r="D14" i="1" s="1"/>
  <c r="D15" i="1" s="1"/>
  <c r="C16" i="1"/>
  <c r="D11" i="2"/>
  <c r="D13" i="2" s="1"/>
  <c r="G9" i="2"/>
  <c r="G10" i="2"/>
  <c r="D12" i="2"/>
  <c r="D14" i="2" s="1"/>
  <c r="G9" i="1"/>
  <c r="G9" i="12" l="1"/>
  <c r="D11" i="12"/>
  <c r="D13" i="12" s="1"/>
  <c r="D15" i="12" s="1"/>
  <c r="D11" i="11"/>
  <c r="D13" i="11" s="1"/>
  <c r="D15" i="11" s="1"/>
  <c r="D16" i="11" s="1"/>
  <c r="D17" i="11" s="1"/>
  <c r="D15" i="10"/>
  <c r="D16" i="10" s="1"/>
  <c r="C17" i="10"/>
  <c r="D17" i="10"/>
  <c r="C21" i="10"/>
  <c r="C22" i="10" s="1"/>
  <c r="G9" i="8"/>
  <c r="D15" i="8"/>
  <c r="D16" i="8" s="1"/>
  <c r="D17" i="8" s="1"/>
  <c r="D15" i="2"/>
  <c r="D16" i="2" s="1"/>
  <c r="D17" i="2" s="1"/>
  <c r="D16" i="1"/>
  <c r="D17" i="1" s="1"/>
  <c r="C21" i="1"/>
  <c r="C22" i="1" s="1"/>
  <c r="C17" i="1"/>
  <c r="C19" i="1" s="1"/>
  <c r="C17" i="8" l="1"/>
  <c r="C19" i="8" s="1"/>
  <c r="D16" i="12"/>
  <c r="D17" i="12" s="1"/>
  <c r="C19" i="12" s="1"/>
  <c r="C21" i="12"/>
  <c r="C22" i="12" s="1"/>
  <c r="C17" i="11"/>
  <c r="C19" i="11" s="1"/>
  <c r="C21" i="11"/>
  <c r="C22" i="11" s="1"/>
  <c r="C19" i="10"/>
  <c r="D23" i="10" s="1"/>
  <c r="C21" i="8"/>
  <c r="C22" i="8" s="1"/>
  <c r="C17" i="2"/>
  <c r="C19" i="2" s="1"/>
  <c r="C21" i="2"/>
  <c r="C22" i="2" s="1"/>
  <c r="C23" i="1"/>
  <c r="D23" i="1"/>
  <c r="D23" i="8" l="1"/>
  <c r="C23" i="12"/>
  <c r="D23" i="12"/>
  <c r="C23" i="11"/>
  <c r="D23" i="11"/>
  <c r="C23" i="10"/>
  <c r="C23" i="8"/>
  <c r="D23" i="2"/>
  <c r="C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tc={7546D4DD-B3A9-4201-AFDC-DE64C1E28446}</author>
    <author>tc={3E979D8A-C370-492F-80C1-338ADE9DF8D8}</author>
    <author>tc={36874915-53B1-4795-B651-36D85C69EB5C}</author>
    <author>tc={30F9886A-BB45-4990-8646-3B6356E720C7}</author>
    <author>tc={B4BADD01-DFE2-42A8-ADC1-4E900099DB8B}</author>
  </authors>
  <commentList>
    <comment ref="C5" authorId="0" shapeId="0" xr:uid="{7546D4DD-B3A9-4201-AFDC-DE64C1E28446}">
      <text>
        <t>[Threaded comment]
Your version of Excel allows you to read this threaded comment; however, any edits to it will get removed if the file is opened in a newer version of Excel. Learn more: https://go.microsoft.com/fwlink/?linkid=870924
Comment:
    Step 2. Input values for Sibship Ne</t>
      </text>
    </comment>
    <comment ref="D5" authorId="1" shapeId="0" xr:uid="{3E979D8A-C370-492F-80C1-338ADE9DF8D8}">
      <text>
        <t>[Threaded comment]
Your version of Excel allows you to read this threaded comment; however, any edits to it will get removed if the file is opened in a newer version of Excel. Learn more: https://go.microsoft.com/fwlink/?linkid=870924
Comment:
    Step 1. Input values for NeLD</t>
      </text>
    </comment>
    <comment ref="F6" authorId="2" shapeId="0" xr:uid="{36874915-53B1-4795-B651-36D85C69EB5C}">
      <text>
        <t>[Threaded comment]
Your version of Excel allows you to read this threaded comment; however, any edits to it will get removed if the file is opened in a newer version of Excel. Learn more: https://go.microsoft.com/fwlink/?linkid=870924
Comment:
    Step 3. Enter the number of samples here</t>
      </text>
    </comment>
    <comment ref="C19" authorId="3" shapeId="0" xr:uid="{30F9886A-BB45-4990-8646-3B6356E720C7}">
      <text>
        <t>[Threaded comment]
Your version of Excel allows you to read this threaded comment; however, any edits to it will get removed if the file is opened in a newer version of Excel. Learn more: https://go.microsoft.com/fwlink/?linkid=870924
Comment:
    Result: This is your combined estimate</t>
      </text>
    </comment>
    <comment ref="C22" authorId="4" shapeId="0" xr:uid="{B4BADD01-DFE2-42A8-ADC1-4E900099DB8B}">
      <text>
        <t>[Threaded comment]
Your version of Excel allows you to read this threaded comment; however, any edits to it will get removed if the file is opened in a newer version of Excel. Learn more: https://go.microsoft.com/fwlink/?linkid=870924
Comment:
    Result: This is your SD</t>
      </text>
    </comment>
  </commentList>
</comments>
</file>

<file path=xl/sharedStrings.xml><?xml version="1.0" encoding="utf-8"?>
<sst xmlns="http://schemas.openxmlformats.org/spreadsheetml/2006/main" count="201" uniqueCount="45">
  <si>
    <t>Combine Estimates of Effective Size</t>
  </si>
  <si>
    <t>* used jackknife Cis</t>
  </si>
  <si>
    <t>Number of Breeders</t>
  </si>
  <si>
    <t>COLONY  * assuming random mating, full likihood</t>
  </si>
  <si>
    <t>LD</t>
  </si>
  <si>
    <t>`r=(-69 S^2 - sqrt(10000 S^4 y^2 + 4761 S^4 - 248400 S^3 y^2) + 1800 S y^2)/(1800 S^2 y^2)</t>
  </si>
  <si>
    <t>Ne</t>
  </si>
  <si>
    <t>S</t>
  </si>
  <si>
    <t>inverse of Eq(2) in Jones et al (2016), although I used Eq(1) for the other calculations because easier</t>
  </si>
  <si>
    <t>r*</t>
  </si>
  <si>
    <t>used  Wolfram Alpha so I'm pretty sure thius is right</t>
  </si>
  <si>
    <t>LCI</t>
  </si>
  <si>
    <t>UCI</t>
  </si>
  <si>
    <t>LCI in terms of r</t>
  </si>
  <si>
    <t>To check formula will backl same Ne values again</t>
  </si>
  <si>
    <t>UCI in terms of r</t>
  </si>
  <si>
    <t>LCI in terms of r*</t>
  </si>
  <si>
    <t>UCI in terms of r*</t>
  </si>
  <si>
    <t>Variance LCI</t>
  </si>
  <si>
    <t>Variance UCI</t>
  </si>
  <si>
    <t xml:space="preserve">Variance </t>
  </si>
  <si>
    <t>Weight</t>
  </si>
  <si>
    <t xml:space="preserve">inverse of the variance </t>
  </si>
  <si>
    <t>Adjusted weight</t>
  </si>
  <si>
    <t>normalise the weights to sum to 1</t>
  </si>
  <si>
    <t>Combined</t>
  </si>
  <si>
    <t>approx 2/3 COLONY, 1/3 LDNe</t>
  </si>
  <si>
    <t>Variance of coimbined</t>
  </si>
  <si>
    <t>Std Deviation of Combined</t>
  </si>
  <si>
    <t>Probably just report this</t>
  </si>
  <si>
    <t>VERY approximate 95% CI Assuming Normality</t>
  </si>
  <si>
    <t xml:space="preserve">LD </t>
  </si>
  <si>
    <t>Pop_name</t>
  </si>
  <si>
    <t>Pop_samplesize</t>
  </si>
  <si>
    <t>Rstar</t>
  </si>
  <si>
    <t>* # To get this value, you need to run Ne estimator with the check-box marked for Output Burrows coefficient, then pull the line that says "Weighted Mean of r^2-drift" using the script Script/Get_Rstar.R</t>
  </si>
  <si>
    <t>Year</t>
  </si>
  <si>
    <t>N</t>
  </si>
  <si>
    <t>Loci</t>
  </si>
  <si>
    <t>Monomorphic</t>
  </si>
  <si>
    <t>r2</t>
  </si>
  <si>
    <t>Nb(Ld)</t>
  </si>
  <si>
    <t>LCI-JK</t>
  </si>
  <si>
    <t>UCI-JK</t>
  </si>
  <si>
    <t>Nb(Colony)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</si>
</sst>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sz val="11"/>
      <color rgb="FF373737"/>
      <name val="Arial"/>
    </font>
    <font>
      <sz val="12"/>
      <color theme="1"/>
      <name val="Times New Roman"/>
    </font>
    <font>
      <b/>
      <sz val="12"/>
      <color theme="1"/>
      <name val="Calibri"/>
    </font>
    <font>
      <sz val="12"/>
      <color rgb="FF7F7F7F"/>
      <name val="Calibri"/>
    </font>
    <font>
      <sz val="12"/>
      <color rgb="FF000000"/>
      <name val="Calibri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EF2CB"/>
        <bgColor rgb="FFFEF2CB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BE4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4" fillId="0" borderId="0" xfId="0" applyFont="1"/>
    <xf numFmtId="0" fontId="2" fillId="4" borderId="1" xfId="0" applyFont="1" applyFill="1" applyBorder="1"/>
    <xf numFmtId="0" fontId="5" fillId="0" borderId="0" xfId="0" applyFont="1"/>
    <xf numFmtId="0" fontId="2" fillId="0" borderId="0" xfId="0" applyFont="1"/>
    <xf numFmtId="0" fontId="2" fillId="5" borderId="1" xfId="0" applyFont="1" applyFill="1" applyBorder="1"/>
    <xf numFmtId="0" fontId="2" fillId="6" borderId="1" xfId="0" applyFont="1" applyFill="1" applyBorder="1"/>
    <xf numFmtId="0" fontId="6" fillId="0" borderId="0" xfId="0" applyFont="1"/>
    <xf numFmtId="0" fontId="7" fillId="0" borderId="0" xfId="0" applyFont="1"/>
    <xf numFmtId="0" fontId="4" fillId="7" borderId="0" xfId="0" applyFont="1" applyFill="1"/>
    <xf numFmtId="0" fontId="2" fillId="8" borderId="1" xfId="0" applyFont="1" applyFill="1" applyBorder="1"/>
    <xf numFmtId="0" fontId="1" fillId="7" borderId="0" xfId="0" applyFont="1" applyFill="1"/>
    <xf numFmtId="0" fontId="2" fillId="0" borderId="0" xfId="0" applyFont="1" applyFill="1"/>
    <xf numFmtId="0" fontId="1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3" fillId="0" borderId="1" xfId="0" applyFont="1" applyFill="1" applyBorder="1"/>
    <xf numFmtId="164" fontId="0" fillId="0" borderId="0" xfId="0" applyNumberFormat="1"/>
    <xf numFmtId="0" fontId="9" fillId="0" borderId="0" xfId="0" applyFont="1"/>
    <xf numFmtId="0" fontId="8" fillId="0" borderId="0" xfId="0" applyFont="1"/>
    <xf numFmtId="164" fontId="8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enport, Danielle" id="{3517232C-64C4-43E0-AD4B-55E1F34CD535}" userId="S::Danielle.Davenport@dfo-mpo.gc.ca::3eb16ec7-774a-40fd-acf5-5580596a4fa5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2-11-16T19:12:04.98" personId="{3517232C-64C4-43E0-AD4B-55E1F34CD535}" id="{7546D4DD-B3A9-4201-AFDC-DE64C1E28446}">
    <text>Step 2. Input values for Sibship Ne</text>
  </threadedComment>
  <threadedComment ref="D5" dT="2022-11-16T19:11:39.77" personId="{3517232C-64C4-43E0-AD4B-55E1F34CD535}" id="{3E979D8A-C370-492F-80C1-338ADE9DF8D8}">
    <text>Step 1. Input values for NeLD</text>
  </threadedComment>
  <threadedComment ref="F6" dT="2022-11-16T19:13:43.14" personId="{3517232C-64C4-43E0-AD4B-55E1F34CD535}" id="{36874915-53B1-4795-B651-36D85C69EB5C}">
    <text>Step 3. Enter the number of samples here</text>
  </threadedComment>
  <threadedComment ref="C19" dT="2022-11-16T19:12:23.71" personId="{3517232C-64C4-43E0-AD4B-55E1F34CD535}" id="{30F9886A-BB45-4990-8646-3B6356E720C7}">
    <text>Result: This is your combined estimate</text>
  </threadedComment>
  <threadedComment ref="C22" dT="2022-11-16T19:12:37.11" personId="{3517232C-64C4-43E0-AD4B-55E1F34CD535}" id="{B4BADD01-DFE2-42A8-ADC1-4E900099DB8B}">
    <text>Result: This is your SD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1ED3-AEEF-4FE3-8162-D2EE0D602DE6}">
  <dimension ref="A1:N1000"/>
  <sheetViews>
    <sheetView topLeftCell="D1" workbookViewId="0">
      <selection activeCell="C22" sqref="C22"/>
    </sheetView>
  </sheetViews>
  <sheetFormatPr defaultColWidth="11.25" defaultRowHeight="15" customHeight="1" x14ac:dyDescent="0.35"/>
  <cols>
    <col min="1" max="1" width="41.33203125" customWidth="1"/>
    <col min="2" max="2" width="10.5" customWidth="1"/>
    <col min="3" max="3" width="54.08203125" customWidth="1"/>
    <col min="4" max="4" width="50.58203125" customWidth="1"/>
    <col min="5" max="5" width="35.75" customWidth="1"/>
    <col min="6" max="6" width="24.58203125" customWidth="1"/>
    <col min="7" max="26" width="10.5" customWidth="1"/>
  </cols>
  <sheetData>
    <row r="1" spans="1:14" ht="15.75" customHeight="1" x14ac:dyDescent="0.35">
      <c r="A1" s="1" t="s">
        <v>0</v>
      </c>
      <c r="D1" s="1" t="s">
        <v>1</v>
      </c>
    </row>
    <row r="2" spans="1:14" ht="15.75" customHeight="1" x14ac:dyDescent="0.35">
      <c r="A2" s="1" t="s">
        <v>2</v>
      </c>
    </row>
    <row r="3" spans="1:14" ht="15.75" customHeight="1" x14ac:dyDescent="0.35"/>
    <row r="4" spans="1:14" ht="15.75" customHeight="1" x14ac:dyDescent="0.35">
      <c r="A4" s="2"/>
      <c r="C4" s="1" t="s">
        <v>3</v>
      </c>
      <c r="D4" s="1" t="s">
        <v>31</v>
      </c>
      <c r="E4" s="1"/>
      <c r="H4" s="3" t="s">
        <v>5</v>
      </c>
      <c r="I4" s="4"/>
      <c r="J4" s="4"/>
      <c r="K4" s="4"/>
      <c r="L4" s="4"/>
      <c r="M4" s="4"/>
      <c r="N4" s="4"/>
    </row>
    <row r="5" spans="1:14" ht="15.75" customHeight="1" x14ac:dyDescent="0.35">
      <c r="A5" s="1" t="s">
        <v>6</v>
      </c>
      <c r="C5" s="5">
        <f>Nb!I4</f>
        <v>285</v>
      </c>
      <c r="D5" s="12">
        <f>Nb!F4</f>
        <v>215.5</v>
      </c>
      <c r="F5" s="7" t="s">
        <v>7</v>
      </c>
      <c r="H5" s="1" t="s">
        <v>8</v>
      </c>
    </row>
    <row r="6" spans="1:14" ht="15.75" customHeight="1" x14ac:dyDescent="0.35">
      <c r="A6" s="1" t="s">
        <v>9</v>
      </c>
      <c r="D6" s="21">
        <f>Rstar!C4</f>
        <v>1.9880000000000002E-3</v>
      </c>
      <c r="F6" s="6">
        <f>Nb!B4</f>
        <v>52</v>
      </c>
      <c r="H6" s="1" t="s">
        <v>10</v>
      </c>
    </row>
    <row r="7" spans="1:14" ht="15.75" customHeight="1" x14ac:dyDescent="0.35">
      <c r="A7" s="1" t="s">
        <v>11</v>
      </c>
      <c r="C7" s="1">
        <f>Nb!J4</f>
        <v>194</v>
      </c>
      <c r="D7" s="12">
        <f>Nb!G4</f>
        <v>112.7</v>
      </c>
    </row>
    <row r="8" spans="1:14" ht="15.75" customHeight="1" x14ac:dyDescent="0.35">
      <c r="A8" s="1" t="s">
        <v>12</v>
      </c>
      <c r="C8" s="1">
        <f>Nb!K4</f>
        <v>567</v>
      </c>
      <c r="D8" s="12">
        <f>Nb!H4</f>
        <v>290.2</v>
      </c>
    </row>
    <row r="9" spans="1:14" ht="15.75" customHeight="1" x14ac:dyDescent="0.35">
      <c r="A9" s="1" t="s">
        <v>13</v>
      </c>
      <c r="D9" s="4">
        <f t="shared" ref="D9:D10" si="0">E9</f>
        <v>1.9584023723672003E-2</v>
      </c>
      <c r="E9" s="1">
        <f>(-69*($F$6^2)+SQRT(10000*($F$6^4)*(D7^2)+4761*(F$6^4)-248400*(F$6^3)*(D7^2))+1800*F$6*D7^2)/(1800*($F$6^2)*(D7^2))</f>
        <v>1.9584023723672003E-2</v>
      </c>
      <c r="G9" s="1">
        <f t="shared" ref="G9:G10" si="1">1/3*SQRT((1/9)-2.76*D9)/(2*(D9-(1/$F$6)))</f>
        <v>112.70000000000087</v>
      </c>
      <c r="H9" s="1" t="s">
        <v>14</v>
      </c>
    </row>
    <row r="10" spans="1:14" ht="15.75" customHeight="1" x14ac:dyDescent="0.35">
      <c r="A10" s="1" t="s">
        <v>15</v>
      </c>
      <c r="D10" s="4">
        <f t="shared" si="0"/>
        <v>1.9368669303727409E-2</v>
      </c>
      <c r="E10" s="1">
        <f>(-69*($F$6^2)+SQRT(10000*($F$6^4)*(D8^2)+4761*(F$6^4)-248400*(F$6^3)*(D8^2))+1800*F$6*D8^2)/(1800*$F$6^2*(D8^2))</f>
        <v>1.9368669303727409E-2</v>
      </c>
      <c r="G10" s="1">
        <f t="shared" si="1"/>
        <v>290.19999999999868</v>
      </c>
    </row>
    <row r="11" spans="1:14" ht="15.75" customHeight="1" x14ac:dyDescent="0.35">
      <c r="A11" s="1" t="s">
        <v>16</v>
      </c>
      <c r="D11" s="8">
        <f t="shared" ref="D11:D12" si="2">D9-(1/F$6)</f>
        <v>3.5325449290277144E-4</v>
      </c>
    </row>
    <row r="12" spans="1:14" ht="15.75" customHeight="1" x14ac:dyDescent="0.35">
      <c r="A12" s="1" t="s">
        <v>17</v>
      </c>
      <c r="D12" s="8">
        <f t="shared" si="2"/>
        <v>1.3790007295817752E-4</v>
      </c>
    </row>
    <row r="13" spans="1:14" ht="15.75" customHeight="1" x14ac:dyDescent="0.35">
      <c r="A13" s="1" t="s">
        <v>18</v>
      </c>
      <c r="C13" s="1">
        <f>(1/4 * POWER(C5,4)) * POWER(((1/C7) - (1/C5)), 2)</f>
        <v>4467.9577067169721</v>
      </c>
      <c r="D13" s="1">
        <f>(1/36)*POWER(D6, -4)*POWER((D11-D6),2)</f>
        <v>4752.6111640476738</v>
      </c>
    </row>
    <row r="14" spans="1:14" ht="15.75" customHeight="1" x14ac:dyDescent="0.35">
      <c r="A14" s="1" t="s">
        <v>19</v>
      </c>
      <c r="C14" s="1">
        <f>(1/4 * POWER(C5,4)) * POWER(((1/C5) - (1/C8)), 2)</f>
        <v>5022.9843789367605</v>
      </c>
      <c r="D14" s="1">
        <f>(1/36)*POWER(D6, -4)*POWER((D12-D6),2)</f>
        <v>6087.2669973441352</v>
      </c>
    </row>
    <row r="15" spans="1:14" ht="15.75" customHeight="1" x14ac:dyDescent="0.35">
      <c r="A15" s="1" t="s">
        <v>20</v>
      </c>
      <c r="C15" s="1">
        <f>(C13 +C14) / 2</f>
        <v>4745.4710428268663</v>
      </c>
      <c r="D15" s="1">
        <f>(D13+D14)/2</f>
        <v>5419.9390806959045</v>
      </c>
    </row>
    <row r="16" spans="1:14" ht="15.75" customHeight="1" x14ac:dyDescent="0.35">
      <c r="A16" s="1" t="s">
        <v>21</v>
      </c>
      <c r="C16" s="1">
        <f t="shared" ref="C16:D16" si="3">1/C15</f>
        <v>2.1072723676431967E-4</v>
      </c>
      <c r="D16" s="1">
        <f t="shared" si="3"/>
        <v>1.8450391879157484E-4</v>
      </c>
      <c r="E16" s="1" t="s">
        <v>22</v>
      </c>
    </row>
    <row r="17" spans="1:5" ht="15.75" customHeight="1" x14ac:dyDescent="0.35">
      <c r="A17" s="1" t="s">
        <v>23</v>
      </c>
      <c r="C17" s="9">
        <f t="shared" ref="C17:D17" si="4">C16/SUM($C16:$D16)</f>
        <v>0.53317465944184184</v>
      </c>
      <c r="D17" s="9">
        <f t="shared" si="4"/>
        <v>0.46682534055815816</v>
      </c>
      <c r="E17" s="1" t="s">
        <v>24</v>
      </c>
    </row>
    <row r="18" spans="1:5" ht="15.75" customHeight="1" x14ac:dyDescent="0.35"/>
    <row r="19" spans="1:5" ht="15.75" customHeight="1" x14ac:dyDescent="0.35">
      <c r="A19" s="1" t="s">
        <v>25</v>
      </c>
      <c r="C19" s="10">
        <f>1/((C17/C5) + (D17/D5))</f>
        <v>247.70678272529489</v>
      </c>
      <c r="D19" s="9" t="s">
        <v>26</v>
      </c>
    </row>
    <row r="20" spans="1:5" ht="15.75" customHeight="1" x14ac:dyDescent="0.35"/>
    <row r="21" spans="1:5" ht="15.75" customHeight="1" x14ac:dyDescent="0.35">
      <c r="A21" s="1" t="s">
        <v>27</v>
      </c>
      <c r="C21" s="1">
        <f>1/((1/C15)+(1/D15))</f>
        <v>2530.1649071503366</v>
      </c>
    </row>
    <row r="22" spans="1:5" ht="15.75" customHeight="1" x14ac:dyDescent="0.35">
      <c r="A22" s="1" t="s">
        <v>28</v>
      </c>
      <c r="C22" s="10">
        <f>SQRT(C21)</f>
        <v>50.300744598368887</v>
      </c>
      <c r="D22" s="1" t="s">
        <v>29</v>
      </c>
    </row>
    <row r="23" spans="1:5" ht="15.75" customHeight="1" x14ac:dyDescent="0.35">
      <c r="A23" s="11" t="s">
        <v>30</v>
      </c>
      <c r="B23" s="11"/>
      <c r="C23" s="11">
        <f>C19-C22*1.96</f>
        <v>149.11732331249186</v>
      </c>
      <c r="D23" s="11">
        <f>C19+C22*1.96</f>
        <v>346.29624213809791</v>
      </c>
    </row>
    <row r="24" spans="1:5" ht="15.75" customHeight="1" x14ac:dyDescent="0.35"/>
    <row r="25" spans="1:5" ht="15.75" customHeight="1" x14ac:dyDescent="0.35"/>
    <row r="26" spans="1:5" ht="15.75" customHeight="1" x14ac:dyDescent="0.35"/>
    <row r="27" spans="1:5" ht="15.75" customHeight="1" x14ac:dyDescent="0.35"/>
    <row r="28" spans="1:5" ht="15.75" customHeight="1" x14ac:dyDescent="0.35"/>
    <row r="29" spans="1:5" ht="15.75" customHeight="1" x14ac:dyDescent="0.35"/>
    <row r="30" spans="1:5" ht="15.75" customHeight="1" x14ac:dyDescent="0.35"/>
    <row r="31" spans="1:5" ht="15.75" customHeight="1" x14ac:dyDescent="0.35"/>
    <row r="32" spans="1: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A411-EB22-4E1E-B1F1-0324235BE3D0}">
  <dimension ref="A1:N1000"/>
  <sheetViews>
    <sheetView topLeftCell="D1" workbookViewId="0">
      <selection activeCell="C22" sqref="C22"/>
    </sheetView>
  </sheetViews>
  <sheetFormatPr defaultColWidth="11.25" defaultRowHeight="15" customHeight="1" x14ac:dyDescent="0.35"/>
  <cols>
    <col min="1" max="1" width="41.33203125" customWidth="1"/>
    <col min="2" max="2" width="10.5" customWidth="1"/>
    <col min="3" max="3" width="54.08203125" customWidth="1"/>
    <col min="4" max="4" width="50.58203125" customWidth="1"/>
    <col min="5" max="5" width="35.75" customWidth="1"/>
    <col min="6" max="6" width="24.58203125" customWidth="1"/>
    <col min="7" max="26" width="10.5" customWidth="1"/>
  </cols>
  <sheetData>
    <row r="1" spans="1:14" ht="15.75" customHeight="1" x14ac:dyDescent="0.35">
      <c r="A1" s="1" t="s">
        <v>0</v>
      </c>
      <c r="D1" s="1" t="s">
        <v>1</v>
      </c>
    </row>
    <row r="2" spans="1:14" ht="15.75" customHeight="1" x14ac:dyDescent="0.35">
      <c r="A2" s="1" t="s">
        <v>2</v>
      </c>
    </row>
    <row r="3" spans="1:14" ht="15.75" customHeight="1" x14ac:dyDescent="0.35"/>
    <row r="4" spans="1:14" ht="15.75" customHeight="1" x14ac:dyDescent="0.35">
      <c r="A4" s="2"/>
      <c r="C4" s="1" t="s">
        <v>3</v>
      </c>
      <c r="D4" s="1" t="s">
        <v>31</v>
      </c>
      <c r="E4" s="1"/>
      <c r="H4" s="3" t="s">
        <v>5</v>
      </c>
      <c r="I4" s="4"/>
      <c r="J4" s="4"/>
      <c r="K4" s="4"/>
      <c r="L4" s="4"/>
      <c r="M4" s="4"/>
      <c r="N4" s="4"/>
    </row>
    <row r="5" spans="1:14" ht="15.75" customHeight="1" x14ac:dyDescent="0.35">
      <c r="A5" s="1" t="s">
        <v>6</v>
      </c>
      <c r="C5" s="5">
        <f>Nb!I3</f>
        <v>344</v>
      </c>
      <c r="D5" s="12">
        <f>Nb!F3</f>
        <v>214.6</v>
      </c>
      <c r="F5" s="7" t="s">
        <v>7</v>
      </c>
      <c r="H5" s="1" t="s">
        <v>8</v>
      </c>
    </row>
    <row r="6" spans="1:14" ht="15.75" customHeight="1" x14ac:dyDescent="0.35">
      <c r="A6" s="1" t="s">
        <v>9</v>
      </c>
      <c r="D6" s="21">
        <f>Rstar!C6</f>
        <v>1.6900000000000001E-3</v>
      </c>
      <c r="F6" s="6">
        <f>Nb!B3</f>
        <v>42</v>
      </c>
      <c r="H6" s="1" t="s">
        <v>10</v>
      </c>
    </row>
    <row r="7" spans="1:14" ht="15.75" customHeight="1" x14ac:dyDescent="0.35">
      <c r="A7" s="1" t="s">
        <v>11</v>
      </c>
      <c r="C7" s="1">
        <f>Nb!J3</f>
        <v>211</v>
      </c>
      <c r="D7" s="12">
        <f>Nb!G3</f>
        <v>104.8</v>
      </c>
    </row>
    <row r="8" spans="1:14" ht="15.75" customHeight="1" x14ac:dyDescent="0.35">
      <c r="A8" s="1" t="s">
        <v>12</v>
      </c>
      <c r="C8" s="1">
        <f>Nb!K3</f>
        <v>872</v>
      </c>
      <c r="D8" s="12">
        <f>Nb!H3</f>
        <v>511.1</v>
      </c>
    </row>
    <row r="9" spans="1:14" ht="15.75" customHeight="1" x14ac:dyDescent="0.35">
      <c r="A9" s="1" t="s">
        <v>13</v>
      </c>
      <c r="D9" s="4">
        <f t="shared" ref="D9:D10" si="0">E9</f>
        <v>2.4144895873685991E-2</v>
      </c>
      <c r="E9" s="1">
        <f>(-69*($F$6^2)+SQRT(10000*($F$6^4)*(D7^2)+4761*(F$6^4)-248400*(F$6^3)*(D7^2))+1800*F$6*D7^2)/(1800*($F$6^2)*(D7^2))</f>
        <v>2.4144895873685991E-2</v>
      </c>
      <c r="G9" s="1">
        <f t="shared" ref="G9:G10" si="1">1/3*SQRT((1/9)-2.76*D9)/(2*(D9-(1/$F$6)))</f>
        <v>104.80000000000057</v>
      </c>
      <c r="H9" s="1" t="s">
        <v>14</v>
      </c>
    </row>
    <row r="10" spans="1:14" ht="15.75" customHeight="1" x14ac:dyDescent="0.35">
      <c r="A10" s="1" t="s">
        <v>15</v>
      </c>
      <c r="D10" s="4">
        <f t="shared" si="0"/>
        <v>2.3878856547169619E-2</v>
      </c>
      <c r="E10" s="1">
        <f>(-69*($F$6^2)+SQRT(10000*($F$6^4)*(D8^2)+4761*(F$6^4)-248400*(F$6^3)*(D8^2))+1800*F$6*D8^2)/(1800*$F$6^2*(D8^2))</f>
        <v>2.3878856547169619E-2</v>
      </c>
      <c r="G10" s="1">
        <f t="shared" si="1"/>
        <v>511.10000000000383</v>
      </c>
    </row>
    <row r="11" spans="1:14" ht="15.75" customHeight="1" x14ac:dyDescent="0.35">
      <c r="A11" s="1" t="s">
        <v>16</v>
      </c>
      <c r="D11" s="8">
        <f t="shared" ref="D11:D12" si="2">D9-(1/F$6)</f>
        <v>3.3537206416218296E-4</v>
      </c>
    </row>
    <row r="12" spans="1:14" ht="15.75" customHeight="1" x14ac:dyDescent="0.35">
      <c r="A12" s="1" t="s">
        <v>17</v>
      </c>
      <c r="D12" s="8">
        <f t="shared" si="2"/>
        <v>6.9332737645810827E-5</v>
      </c>
    </row>
    <row r="13" spans="1:14" ht="15.75" customHeight="1" x14ac:dyDescent="0.35">
      <c r="A13" s="1" t="s">
        <v>18</v>
      </c>
      <c r="C13" s="1">
        <f>(1/4 * POWER(C5,4)) * POWER(((1/C7) - (1/C5)), 2)</f>
        <v>11754.259248444559</v>
      </c>
      <c r="D13" s="1">
        <f>(1/36)*POWER(D6, -4)*POWER((D11-D6),2)</f>
        <v>6248.7152701523273</v>
      </c>
    </row>
    <row r="14" spans="1:14" ht="15.75" customHeight="1" x14ac:dyDescent="0.35">
      <c r="A14" s="1" t="s">
        <v>19</v>
      </c>
      <c r="C14" s="1">
        <f>(1/4 * POWER(C5,4)) * POWER(((1/C5) - (1/C8)), 2)</f>
        <v>10846.55365709957</v>
      </c>
      <c r="D14" s="1">
        <f>(1/36)*POWER(D6, -4)*POWER((D12-D6),2)</f>
        <v>8944.1361102824485</v>
      </c>
    </row>
    <row r="15" spans="1:14" ht="15.75" customHeight="1" x14ac:dyDescent="0.35">
      <c r="A15" s="1" t="s">
        <v>20</v>
      </c>
      <c r="C15" s="1">
        <f>(C13 +C14) / 2</f>
        <v>11300.406452772066</v>
      </c>
      <c r="D15" s="1">
        <f>(D13+D14)/2</f>
        <v>7596.4256902173875</v>
      </c>
    </row>
    <row r="16" spans="1:14" ht="15.75" customHeight="1" x14ac:dyDescent="0.35">
      <c r="A16" s="1" t="s">
        <v>21</v>
      </c>
      <c r="C16" s="1">
        <f t="shared" ref="C16:D16" si="3">1/C15</f>
        <v>8.8492392214325463E-5</v>
      </c>
      <c r="D16" s="1">
        <f t="shared" si="3"/>
        <v>1.3164085858008082E-4</v>
      </c>
      <c r="E16" s="1" t="s">
        <v>22</v>
      </c>
    </row>
    <row r="17" spans="1:5" ht="15.75" customHeight="1" x14ac:dyDescent="0.35">
      <c r="A17" s="1" t="s">
        <v>23</v>
      </c>
      <c r="C17" s="9">
        <f t="shared" ref="C17:D17" si="4">C16/SUM($C16:$D16)</f>
        <v>0.40199466411811202</v>
      </c>
      <c r="D17" s="9">
        <f t="shared" si="4"/>
        <v>0.59800533588188798</v>
      </c>
      <c r="E17" s="1" t="s">
        <v>24</v>
      </c>
    </row>
    <row r="18" spans="1:5" ht="15.75" customHeight="1" x14ac:dyDescent="0.35"/>
    <row r="19" spans="1:5" ht="15.75" customHeight="1" x14ac:dyDescent="0.35">
      <c r="A19" s="1" t="s">
        <v>25</v>
      </c>
      <c r="C19" s="10">
        <f>1/((C17/C5) + (D17/D5))</f>
        <v>252.83211874171144</v>
      </c>
      <c r="D19" s="9" t="s">
        <v>26</v>
      </c>
    </row>
    <row r="20" spans="1:5" ht="15.75" customHeight="1" x14ac:dyDescent="0.35"/>
    <row r="21" spans="1:5" ht="15.75" customHeight="1" x14ac:dyDescent="0.35">
      <c r="A21" s="1" t="s">
        <v>27</v>
      </c>
      <c r="C21" s="1">
        <f>1/((1/C15)+(1/D15))</f>
        <v>4542.7030963802517</v>
      </c>
    </row>
    <row r="22" spans="1:5" ht="15.75" customHeight="1" x14ac:dyDescent="0.35">
      <c r="A22" s="1" t="s">
        <v>28</v>
      </c>
      <c r="C22" s="10">
        <f>SQRT(C21)</f>
        <v>67.399577865000396</v>
      </c>
      <c r="D22" s="1" t="s">
        <v>29</v>
      </c>
    </row>
    <row r="23" spans="1:5" ht="15.75" customHeight="1" x14ac:dyDescent="0.35">
      <c r="A23" s="11" t="s">
        <v>30</v>
      </c>
      <c r="B23" s="11"/>
      <c r="C23" s="11">
        <f>C19-C22*1.96</f>
        <v>120.72894612631066</v>
      </c>
      <c r="D23" s="11">
        <f>C19+C22*1.96</f>
        <v>384.93529135711219</v>
      </c>
    </row>
    <row r="24" spans="1:5" ht="15.75" customHeight="1" x14ac:dyDescent="0.35"/>
    <row r="25" spans="1:5" ht="15.75" customHeight="1" x14ac:dyDescent="0.35"/>
    <row r="26" spans="1:5" ht="15.75" customHeight="1" x14ac:dyDescent="0.35"/>
    <row r="27" spans="1:5" ht="15.75" customHeight="1" x14ac:dyDescent="0.35"/>
    <row r="28" spans="1:5" ht="15.75" customHeight="1" x14ac:dyDescent="0.35"/>
    <row r="29" spans="1:5" ht="15.75" customHeight="1" x14ac:dyDescent="0.35"/>
    <row r="30" spans="1:5" ht="15.75" customHeight="1" x14ac:dyDescent="0.35"/>
    <row r="31" spans="1:5" ht="15.75" customHeight="1" x14ac:dyDescent="0.35"/>
    <row r="32" spans="1: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ACFB-0F21-480B-A106-345292E90507}">
  <dimension ref="A1:N1000"/>
  <sheetViews>
    <sheetView workbookViewId="0">
      <selection activeCell="D8" sqref="D8"/>
    </sheetView>
  </sheetViews>
  <sheetFormatPr defaultColWidth="11.25" defaultRowHeight="15" customHeight="1" x14ac:dyDescent="0.35"/>
  <cols>
    <col min="1" max="1" width="41.33203125" customWidth="1"/>
    <col min="2" max="2" width="10.5" customWidth="1"/>
    <col min="3" max="3" width="54.08203125" customWidth="1"/>
    <col min="4" max="4" width="50.58203125" customWidth="1"/>
    <col min="5" max="5" width="35.75" customWidth="1"/>
    <col min="6" max="6" width="24.58203125" customWidth="1"/>
    <col min="7" max="26" width="10.5" customWidth="1"/>
  </cols>
  <sheetData>
    <row r="1" spans="1:14" ht="15.75" customHeight="1" x14ac:dyDescent="0.35">
      <c r="A1" s="1" t="s">
        <v>0</v>
      </c>
      <c r="D1" s="1" t="s">
        <v>1</v>
      </c>
    </row>
    <row r="2" spans="1:14" ht="15.75" customHeight="1" x14ac:dyDescent="0.35">
      <c r="A2" s="1" t="s">
        <v>2</v>
      </c>
    </row>
    <row r="3" spans="1:14" ht="15.75" customHeight="1" x14ac:dyDescent="0.35"/>
    <row r="4" spans="1:14" ht="15.75" customHeight="1" x14ac:dyDescent="0.35">
      <c r="A4" s="2"/>
      <c r="C4" s="1" t="s">
        <v>3</v>
      </c>
      <c r="D4" s="1" t="s">
        <v>31</v>
      </c>
      <c r="E4" s="1"/>
      <c r="H4" s="3" t="s">
        <v>5</v>
      </c>
      <c r="I4" s="4"/>
      <c r="J4" s="4"/>
      <c r="K4" s="4"/>
      <c r="L4" s="4"/>
      <c r="M4" s="4"/>
      <c r="N4" s="4"/>
    </row>
    <row r="5" spans="1:14" ht="15.75" customHeight="1" x14ac:dyDescent="0.35">
      <c r="A5" s="1" t="s">
        <v>6</v>
      </c>
      <c r="C5" s="5">
        <f>Nb!I2</f>
        <v>96</v>
      </c>
      <c r="D5" s="12">
        <f>Nb!F2</f>
        <v>62.7</v>
      </c>
      <c r="F5" s="7" t="s">
        <v>7</v>
      </c>
      <c r="H5" s="1" t="s">
        <v>8</v>
      </c>
    </row>
    <row r="6" spans="1:14" ht="15.75" customHeight="1" x14ac:dyDescent="0.35">
      <c r="A6" s="1" t="s">
        <v>9</v>
      </c>
      <c r="D6" s="21">
        <f>Rstar!C5</f>
        <v>1.5809999999999999E-3</v>
      </c>
      <c r="F6" s="6">
        <f>Nb!B2</f>
        <v>29</v>
      </c>
      <c r="H6" s="1" t="s">
        <v>10</v>
      </c>
    </row>
    <row r="7" spans="1:14" ht="15.75" customHeight="1" x14ac:dyDescent="0.35">
      <c r="A7" s="1" t="s">
        <v>11</v>
      </c>
      <c r="C7" s="1">
        <f>Nb!J2</f>
        <v>59</v>
      </c>
      <c r="D7" s="12">
        <f>Nb!G2</f>
        <v>35.799999999999997</v>
      </c>
    </row>
    <row r="8" spans="1:14" ht="15.75" customHeight="1" x14ac:dyDescent="0.35">
      <c r="A8" s="1" t="s">
        <v>12</v>
      </c>
      <c r="C8" s="1">
        <f>Nb!K2</f>
        <v>181</v>
      </c>
      <c r="D8" s="12">
        <f>Nb!H2</f>
        <v>679.5</v>
      </c>
    </row>
    <row r="9" spans="1:14" ht="15.75" customHeight="1" x14ac:dyDescent="0.35">
      <c r="A9" s="1" t="s">
        <v>13</v>
      </c>
      <c r="D9" s="4">
        <f t="shared" ref="D9:D10" si="0">E9</f>
        <v>3.5041358877679098E-2</v>
      </c>
      <c r="E9" s="1">
        <f>(-69*($F$6^2)+SQRT(10000*($F$6^4)*(D7^2)+4761*(F$6^4)-248400*(F$6^3)*(D7^2))+1800*F$6*D7^2)/(1800*($F$6^2)*(D7^2))</f>
        <v>3.5041358877679098E-2</v>
      </c>
      <c r="G9" s="1">
        <f t="shared" ref="G9:G10" si="1">1/3*SQRT((1/9)-2.76*D9)/(2*(D9-(1/$F$6)))</f>
        <v>35.799999999999891</v>
      </c>
      <c r="H9" s="1" t="s">
        <v>14</v>
      </c>
    </row>
    <row r="10" spans="1:14" ht="15.75" customHeight="1" x14ac:dyDescent="0.35">
      <c r="A10" s="1" t="s">
        <v>15</v>
      </c>
      <c r="D10" s="4">
        <f t="shared" si="0"/>
        <v>3.4513641751251316E-2</v>
      </c>
      <c r="E10" s="1">
        <f>(-69*($F$6^2)+SQRT(10000*($F$6^4)*(D8^2)+4761*(F$6^4)-248400*(F$6^3)*(D8^2))+1800*F$6*D8^2)/(1800*$F$6^2*(D8^2))</f>
        <v>3.4513641751251316E-2</v>
      </c>
      <c r="G10" s="1">
        <f t="shared" si="1"/>
        <v>679.50000000010209</v>
      </c>
    </row>
    <row r="11" spans="1:14" ht="15.75" customHeight="1" x14ac:dyDescent="0.35">
      <c r="A11" s="1" t="s">
        <v>16</v>
      </c>
      <c r="D11" s="8">
        <f t="shared" ref="D11:D12" si="2">D9-(1/F$6)</f>
        <v>5.5860025698944299E-4</v>
      </c>
    </row>
    <row r="12" spans="1:14" ht="15.75" customHeight="1" x14ac:dyDescent="0.35">
      <c r="A12" s="1" t="s">
        <v>17</v>
      </c>
      <c r="D12" s="8">
        <f t="shared" si="2"/>
        <v>3.0883130561661087E-5</v>
      </c>
    </row>
    <row r="13" spans="1:14" ht="15.75" customHeight="1" x14ac:dyDescent="0.35">
      <c r="A13" s="1" t="s">
        <v>18</v>
      </c>
      <c r="C13" s="1">
        <f>(1/4 * POWER(C5,4)) * POWER(((1/C7) - (1/C5)), 2)</f>
        <v>906.11203677104288</v>
      </c>
      <c r="D13" s="1">
        <f>(1/36)*POWER(D6, -4)*POWER((D11-D6),2)</f>
        <v>4647.4152934265639</v>
      </c>
    </row>
    <row r="14" spans="1:14" ht="15.75" customHeight="1" x14ac:dyDescent="0.35">
      <c r="A14" s="1" t="s">
        <v>19</v>
      </c>
      <c r="C14" s="1">
        <f>(1/4 * POWER(C5,4)) * POWER(((1/C5) - (1/C8)), 2)</f>
        <v>508.116357864534</v>
      </c>
      <c r="D14" s="1">
        <f>(1/36)*POWER(D6, -4)*POWER((D12-D6),2)</f>
        <v>10683.139628851713</v>
      </c>
    </row>
    <row r="15" spans="1:14" ht="15.75" customHeight="1" x14ac:dyDescent="0.35">
      <c r="A15" s="1" t="s">
        <v>20</v>
      </c>
      <c r="C15" s="1">
        <f>(C13 +C14) / 2</f>
        <v>707.11419731778847</v>
      </c>
      <c r="D15" s="1">
        <f>(D13+D14)/2</f>
        <v>7665.2774611391387</v>
      </c>
    </row>
    <row r="16" spans="1:14" ht="15.75" customHeight="1" x14ac:dyDescent="0.35">
      <c r="A16" s="1" t="s">
        <v>21</v>
      </c>
      <c r="C16" s="1">
        <f t="shared" ref="C16:D16" si="3">1/C15</f>
        <v>1.4141987302661722E-3</v>
      </c>
      <c r="D16" s="1">
        <f t="shared" si="3"/>
        <v>1.3045842176877831E-4</v>
      </c>
      <c r="E16" s="1" t="s">
        <v>22</v>
      </c>
    </row>
    <row r="17" spans="1:5" ht="15.75" customHeight="1" x14ac:dyDescent="0.35">
      <c r="A17" s="1" t="s">
        <v>23</v>
      </c>
      <c r="C17" s="9">
        <f t="shared" ref="C17:D17" si="4">C16/SUM($C16:$D16)</f>
        <v>0.9155421501807629</v>
      </c>
      <c r="D17" s="9">
        <f t="shared" si="4"/>
        <v>8.4457849819237082E-2</v>
      </c>
      <c r="E17" s="1" t="s">
        <v>24</v>
      </c>
    </row>
    <row r="18" spans="1:5" ht="15.75" customHeight="1" x14ac:dyDescent="0.35"/>
    <row r="19" spans="1:5" ht="15.75" customHeight="1" x14ac:dyDescent="0.35">
      <c r="A19" s="1" t="s">
        <v>25</v>
      </c>
      <c r="C19" s="10">
        <f>1/((C17/C5) + (D17/D5))</f>
        <v>91.878724286102397</v>
      </c>
      <c r="D19" s="9" t="s">
        <v>26</v>
      </c>
    </row>
    <row r="20" spans="1:5" ht="15.75" customHeight="1" x14ac:dyDescent="0.35"/>
    <row r="21" spans="1:5" ht="15.75" customHeight="1" x14ac:dyDescent="0.35">
      <c r="A21" s="1" t="s">
        <v>27</v>
      </c>
      <c r="C21" s="1">
        <f>1/((1/C15)+(1/D15))</f>
        <v>647.39285263567228</v>
      </c>
    </row>
    <row r="22" spans="1:5" ht="15.75" customHeight="1" x14ac:dyDescent="0.35">
      <c r="A22" s="1" t="s">
        <v>28</v>
      </c>
      <c r="C22" s="10">
        <f>SQRT(C21)</f>
        <v>25.443915827475777</v>
      </c>
      <c r="D22" s="1" t="s">
        <v>29</v>
      </c>
    </row>
    <row r="23" spans="1:5" ht="15.75" customHeight="1" x14ac:dyDescent="0.35">
      <c r="A23" s="11" t="s">
        <v>30</v>
      </c>
      <c r="B23" s="11"/>
      <c r="C23" s="11">
        <f>C19-C22*1.96</f>
        <v>42.008649264249875</v>
      </c>
      <c r="D23" s="11">
        <f>C19+C22*1.96</f>
        <v>141.74879930795493</v>
      </c>
    </row>
    <row r="24" spans="1:5" ht="15.75" customHeight="1" x14ac:dyDescent="0.35"/>
    <row r="25" spans="1:5" ht="15.75" customHeight="1" x14ac:dyDescent="0.35"/>
    <row r="26" spans="1:5" ht="15.75" customHeight="1" x14ac:dyDescent="0.35"/>
    <row r="27" spans="1:5" ht="15.75" customHeight="1" x14ac:dyDescent="0.35"/>
    <row r="28" spans="1:5" ht="15.75" customHeight="1" x14ac:dyDescent="0.35"/>
    <row r="29" spans="1:5" ht="15.75" customHeight="1" x14ac:dyDescent="0.35"/>
    <row r="30" spans="1:5" ht="15.75" customHeight="1" x14ac:dyDescent="0.35"/>
    <row r="31" spans="1:5" ht="15.75" customHeight="1" x14ac:dyDescent="0.35"/>
    <row r="32" spans="1: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activeCell="C14" sqref="C14"/>
    </sheetView>
  </sheetViews>
  <sheetFormatPr defaultColWidth="11.25" defaultRowHeight="15" customHeight="1" x14ac:dyDescent="0.35"/>
  <cols>
    <col min="1" max="1" width="41.33203125" customWidth="1"/>
    <col min="2" max="2" width="10.5" customWidth="1"/>
    <col min="3" max="3" width="54.08203125" customWidth="1"/>
    <col min="4" max="4" width="50.58203125" customWidth="1"/>
    <col min="5" max="5" width="35.75" customWidth="1"/>
    <col min="6" max="6" width="24.58203125" customWidth="1"/>
    <col min="7" max="26" width="10.5" customWidth="1"/>
  </cols>
  <sheetData>
    <row r="1" spans="1:14" ht="15.75" customHeight="1" x14ac:dyDescent="0.35">
      <c r="A1" s="1" t="s">
        <v>0</v>
      </c>
      <c r="D1" s="1" t="s">
        <v>1</v>
      </c>
    </row>
    <row r="2" spans="1:14" ht="15.75" customHeight="1" x14ac:dyDescent="0.35">
      <c r="A2" s="1" t="s">
        <v>2</v>
      </c>
    </row>
    <row r="3" spans="1:14" ht="15.75" customHeight="1" x14ac:dyDescent="0.35"/>
    <row r="4" spans="1:14" s="19" customFormat="1" ht="15.75" customHeight="1" x14ac:dyDescent="0.35">
      <c r="A4" s="18"/>
      <c r="C4" s="17" t="s">
        <v>3</v>
      </c>
      <c r="D4" s="17" t="s">
        <v>4</v>
      </c>
      <c r="E4" s="17"/>
      <c r="H4" s="20" t="s">
        <v>5</v>
      </c>
      <c r="I4" s="18"/>
      <c r="J4" s="18"/>
      <c r="K4" s="18"/>
      <c r="L4" s="18"/>
      <c r="M4" s="18"/>
      <c r="N4" s="18"/>
    </row>
    <row r="5" spans="1:14" ht="15.75" customHeight="1" x14ac:dyDescent="0.35">
      <c r="A5" s="1" t="s">
        <v>6</v>
      </c>
      <c r="C5" s="13">
        <v>230</v>
      </c>
      <c r="D5" s="14">
        <v>210.529360915436</v>
      </c>
      <c r="F5" s="7" t="s">
        <v>7</v>
      </c>
      <c r="H5" s="1" t="s">
        <v>8</v>
      </c>
    </row>
    <row r="6" spans="1:14" ht="15.75" customHeight="1" x14ac:dyDescent="0.35">
      <c r="A6" s="1" t="s">
        <v>9</v>
      </c>
      <c r="D6" s="1">
        <v>1.7179999999999999E-3</v>
      </c>
      <c r="F6" s="14">
        <v>63</v>
      </c>
      <c r="H6" s="1" t="s">
        <v>10</v>
      </c>
    </row>
    <row r="7" spans="1:14" ht="15.75" customHeight="1" x14ac:dyDescent="0.35">
      <c r="A7" s="1" t="s">
        <v>11</v>
      </c>
      <c r="C7" s="15">
        <v>163</v>
      </c>
      <c r="D7" s="14">
        <v>140.864877235758</v>
      </c>
    </row>
    <row r="8" spans="1:14" ht="15.75" customHeight="1" x14ac:dyDescent="0.35">
      <c r="A8" s="1" t="s">
        <v>12</v>
      </c>
      <c r="C8" s="15">
        <v>361</v>
      </c>
      <c r="D8" s="14">
        <v>388.914322274737</v>
      </c>
    </row>
    <row r="9" spans="1:14" ht="15.75" customHeight="1" x14ac:dyDescent="0.35">
      <c r="A9" s="1" t="s">
        <v>13</v>
      </c>
      <c r="D9" s="18">
        <f t="shared" ref="D9:D10" si="0">E9</f>
        <v>1.6178033782712639E-2</v>
      </c>
      <c r="E9" s="1">
        <f>(-69*($F$6^2)+SQRT(10000*($F$6^4)*(D7^2)+4761*(F$6^4)-248400*(F$6^3)*(D7^2))+1800*F$6*D7^2)/(1800*($F$6^2)*(D7^2))</f>
        <v>1.6178033782712639E-2</v>
      </c>
      <c r="G9" s="1">
        <f t="shared" ref="G9:G10" si="1">1/3*SQRT((1/9)-2.76*D9)/(2*(D9-(1/$F$6)))</f>
        <v>140.8648772357574</v>
      </c>
      <c r="H9" s="1" t="s">
        <v>14</v>
      </c>
    </row>
    <row r="10" spans="1:14" ht="15.75" customHeight="1" x14ac:dyDescent="0.35">
      <c r="A10" s="1" t="s">
        <v>15</v>
      </c>
      <c r="D10" s="18">
        <f t="shared" si="0"/>
        <v>1.5983937809653657E-2</v>
      </c>
      <c r="E10" s="1">
        <f>(-69*($F$6^2)+SQRT(10000*($F$6^4)*(D8^2)+4761*(F$6^4)-248400*(F$6^3)*(D8^2))+1800*F$6*D8^2)/(1800*$F$6^2*(D8^2))</f>
        <v>1.5983937809653657E-2</v>
      </c>
      <c r="G10" s="1">
        <f t="shared" si="1"/>
        <v>388.91432227473712</v>
      </c>
    </row>
    <row r="11" spans="1:14" ht="15.75" customHeight="1" x14ac:dyDescent="0.35">
      <c r="A11" s="1" t="s">
        <v>16</v>
      </c>
      <c r="D11" s="8">
        <f t="shared" ref="D11:D12" si="2">D9-(1/F$6)</f>
        <v>3.0501790969676701E-4</v>
      </c>
    </row>
    <row r="12" spans="1:14" ht="15.75" customHeight="1" x14ac:dyDescent="0.35">
      <c r="A12" s="1" t="s">
        <v>17</v>
      </c>
      <c r="D12" s="16">
        <f t="shared" si="2"/>
        <v>1.1092193663778463E-4</v>
      </c>
    </row>
    <row r="13" spans="1:14" ht="15.75" customHeight="1" x14ac:dyDescent="0.35">
      <c r="A13" s="1" t="s">
        <v>18</v>
      </c>
      <c r="C13" s="1">
        <f>(1/4 * POWER(C5,4)) * POWER(((1/C7) - (1/C5)), 2)</f>
        <v>2234.4471000037643</v>
      </c>
      <c r="D13" s="17">
        <f>(1/36)*POWER(D6, -4)*POWER((D11-D6),2)</f>
        <v>6366.1691772511122</v>
      </c>
    </row>
    <row r="14" spans="1:14" ht="15.75" customHeight="1" x14ac:dyDescent="0.35">
      <c r="A14" s="1" t="s">
        <v>19</v>
      </c>
      <c r="C14" s="1">
        <f>(1/4 * POWER(C5,4)) * POWER(((1/C5) - (1/C8)), 2)</f>
        <v>1741.5015615288403</v>
      </c>
      <c r="D14" s="17">
        <f>(1/36)*POWER(D6, -4)*POWER((D12-D6),2)</f>
        <v>8235.288295536051</v>
      </c>
    </row>
    <row r="15" spans="1:14" ht="15.75" customHeight="1" x14ac:dyDescent="0.35">
      <c r="A15" s="1" t="s">
        <v>20</v>
      </c>
      <c r="C15" s="1">
        <f>(C13 +C14) / 2</f>
        <v>1987.9743307663023</v>
      </c>
      <c r="D15" s="17">
        <f>(D13+D14)/2</f>
        <v>7300.7287363935811</v>
      </c>
    </row>
    <row r="16" spans="1:14" ht="15.75" customHeight="1" x14ac:dyDescent="0.35">
      <c r="A16" s="1" t="s">
        <v>21</v>
      </c>
      <c r="C16" s="1">
        <f t="shared" ref="C16:D16" si="3">1/C15</f>
        <v>5.0302460375055804E-4</v>
      </c>
      <c r="D16" s="17">
        <f t="shared" si="3"/>
        <v>1.3697262781660078E-4</v>
      </c>
      <c r="E16" s="1" t="s">
        <v>22</v>
      </c>
    </row>
    <row r="17" spans="1:5" ht="15.75" customHeight="1" x14ac:dyDescent="0.35">
      <c r="A17" s="1" t="s">
        <v>23</v>
      </c>
      <c r="C17" s="18">
        <f t="shared" ref="C17:D17" si="4">C16/SUM($C16:$D16)</f>
        <v>0.78597934325247565</v>
      </c>
      <c r="D17" s="18">
        <f t="shared" si="4"/>
        <v>0.21402065674752441</v>
      </c>
      <c r="E17" s="1" t="s">
        <v>24</v>
      </c>
    </row>
    <row r="18" spans="1:5" ht="15.75" customHeight="1" x14ac:dyDescent="0.35">
      <c r="D18" s="19"/>
    </row>
    <row r="19" spans="1:5" ht="15.75" customHeight="1" x14ac:dyDescent="0.35">
      <c r="A19" s="1" t="s">
        <v>25</v>
      </c>
      <c r="C19" s="10">
        <f>1/((C17/C5) + (D17/D5))</f>
        <v>225.53584966881104</v>
      </c>
      <c r="D19" s="18" t="s">
        <v>26</v>
      </c>
    </row>
    <row r="20" spans="1:5" ht="15.75" customHeight="1" x14ac:dyDescent="0.35"/>
    <row r="21" spans="1:5" ht="15.75" customHeight="1" x14ac:dyDescent="0.35">
      <c r="A21" s="1" t="s">
        <v>27</v>
      </c>
      <c r="C21" s="1">
        <f>1/((1/C15)+(1/D15))</f>
        <v>1562.506758898478</v>
      </c>
    </row>
    <row r="22" spans="1:5" ht="15.75" customHeight="1" x14ac:dyDescent="0.35">
      <c r="A22" s="1" t="s">
        <v>28</v>
      </c>
      <c r="C22" s="10">
        <f>SQRT(C21)</f>
        <v>39.528556246066941</v>
      </c>
      <c r="D22" s="1" t="s">
        <v>29</v>
      </c>
    </row>
    <row r="23" spans="1:5" ht="15.75" customHeight="1" x14ac:dyDescent="0.35">
      <c r="A23" s="11" t="s">
        <v>30</v>
      </c>
      <c r="B23" s="11"/>
      <c r="C23" s="11">
        <f>C19-C22*1.96</f>
        <v>148.05987942651984</v>
      </c>
      <c r="D23" s="11">
        <f>C19+C22*1.96</f>
        <v>303.01181991110224</v>
      </c>
    </row>
    <row r="24" spans="1:5" ht="15.75" customHeight="1" x14ac:dyDescent="0.35"/>
    <row r="25" spans="1:5" ht="15.75" customHeight="1" x14ac:dyDescent="0.35"/>
    <row r="26" spans="1:5" ht="15.75" customHeight="1" x14ac:dyDescent="0.35"/>
    <row r="27" spans="1:5" ht="15.75" customHeight="1" x14ac:dyDescent="0.35"/>
    <row r="28" spans="1:5" ht="15.75" customHeight="1" x14ac:dyDescent="0.35"/>
    <row r="29" spans="1:5" ht="15.75" customHeight="1" x14ac:dyDescent="0.35"/>
    <row r="30" spans="1:5" ht="15.75" customHeight="1" x14ac:dyDescent="0.35"/>
    <row r="31" spans="1:5" s="19" customFormat="1" ht="15.75" customHeight="1" x14ac:dyDescent="0.35">
      <c r="C31" s="18"/>
      <c r="D31" s="18"/>
      <c r="E31" s="18"/>
    </row>
    <row r="32" spans="1: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topLeftCell="B1" workbookViewId="0">
      <selection activeCell="D8" sqref="D8"/>
    </sheetView>
  </sheetViews>
  <sheetFormatPr defaultColWidth="11.25" defaultRowHeight="15" customHeight="1" x14ac:dyDescent="0.35"/>
  <cols>
    <col min="1" max="1" width="41.33203125" customWidth="1"/>
    <col min="2" max="2" width="10.5" customWidth="1"/>
    <col min="3" max="3" width="54.08203125" customWidth="1"/>
    <col min="4" max="4" width="50.58203125" customWidth="1"/>
    <col min="5" max="5" width="35.75" customWidth="1"/>
    <col min="6" max="6" width="24.58203125" customWidth="1"/>
    <col min="7" max="26" width="10.5" customWidth="1"/>
  </cols>
  <sheetData>
    <row r="1" spans="1:14" ht="15.75" customHeight="1" x14ac:dyDescent="0.35">
      <c r="A1" s="1" t="s">
        <v>0</v>
      </c>
      <c r="D1" s="1" t="s">
        <v>1</v>
      </c>
    </row>
    <row r="2" spans="1:14" ht="15.75" customHeight="1" x14ac:dyDescent="0.35">
      <c r="A2" s="1" t="s">
        <v>2</v>
      </c>
    </row>
    <row r="3" spans="1:14" ht="15.75" customHeight="1" x14ac:dyDescent="0.35"/>
    <row r="4" spans="1:14" ht="15.75" customHeight="1" x14ac:dyDescent="0.35">
      <c r="A4" s="2"/>
      <c r="C4" s="1" t="s">
        <v>3</v>
      </c>
      <c r="D4" s="1" t="s">
        <v>31</v>
      </c>
      <c r="E4" s="1"/>
      <c r="H4" s="3" t="s">
        <v>5</v>
      </c>
      <c r="I4" s="4"/>
      <c r="J4" s="4"/>
      <c r="K4" s="4"/>
      <c r="L4" s="4"/>
      <c r="M4" s="4"/>
      <c r="N4" s="4"/>
    </row>
    <row r="5" spans="1:14" ht="15.75" customHeight="1" x14ac:dyDescent="0.35">
      <c r="A5" s="1" t="s">
        <v>6</v>
      </c>
      <c r="C5" s="5"/>
      <c r="D5" s="12"/>
      <c r="F5" s="7" t="s">
        <v>7</v>
      </c>
      <c r="H5" s="1" t="s">
        <v>8</v>
      </c>
    </row>
    <row r="6" spans="1:14" ht="15.75" customHeight="1" x14ac:dyDescent="0.35">
      <c r="A6" s="1" t="s">
        <v>9</v>
      </c>
      <c r="D6" s="21"/>
      <c r="F6" s="6"/>
      <c r="H6" s="1" t="s">
        <v>10</v>
      </c>
    </row>
    <row r="7" spans="1:14" ht="15.75" customHeight="1" x14ac:dyDescent="0.35">
      <c r="A7" s="1" t="s">
        <v>11</v>
      </c>
      <c r="C7" s="1"/>
      <c r="D7" s="12"/>
    </row>
    <row r="8" spans="1:14" ht="15.75" customHeight="1" x14ac:dyDescent="0.35">
      <c r="A8" s="1" t="s">
        <v>12</v>
      </c>
      <c r="C8" s="1"/>
      <c r="D8" s="12"/>
    </row>
    <row r="9" spans="1:14" ht="15.75" customHeight="1" x14ac:dyDescent="0.35">
      <c r="A9" s="1" t="s">
        <v>13</v>
      </c>
      <c r="D9" s="4" t="e">
        <f t="shared" ref="D9:D10" si="0">E9</f>
        <v>#DIV/0!</v>
      </c>
      <c r="E9" s="1" t="e">
        <f>(-69*($F$6^2)+SQRT(10000*($F$6^4)*(D7^2)+4761*(F$6^4)-248400*(F$6^3)*(D7^2))+1800*F$6*D7^2)/(1800*($F$6^2)*(D7^2))</f>
        <v>#DIV/0!</v>
      </c>
      <c r="G9" s="1" t="e">
        <f t="shared" ref="G9:G10" si="1">1/3*SQRT((1/9)-2.76*D9)/(2*(D9-(1/$F$6)))</f>
        <v>#DIV/0!</v>
      </c>
      <c r="H9" s="1" t="s">
        <v>14</v>
      </c>
    </row>
    <row r="10" spans="1:14" ht="15.75" customHeight="1" x14ac:dyDescent="0.35">
      <c r="A10" s="1" t="s">
        <v>15</v>
      </c>
      <c r="D10" s="4" t="e">
        <f t="shared" si="0"/>
        <v>#DIV/0!</v>
      </c>
      <c r="E10" s="1" t="e">
        <f>(-69*($F$6^2)+SQRT(10000*($F$6^4)*(D8^2)+4761*(F$6^4)-248400*(F$6^3)*(D8^2))+1800*F$6*D8^2)/(1800*$F$6^2*(D8^2))</f>
        <v>#DIV/0!</v>
      </c>
      <c r="G10" s="1" t="e">
        <f t="shared" si="1"/>
        <v>#DIV/0!</v>
      </c>
    </row>
    <row r="11" spans="1:14" ht="15.75" customHeight="1" x14ac:dyDescent="0.35">
      <c r="A11" s="1" t="s">
        <v>16</v>
      </c>
      <c r="D11" s="8" t="e">
        <f t="shared" ref="D11:D12" si="2">D9-(1/F$6)</f>
        <v>#DIV/0!</v>
      </c>
    </row>
    <row r="12" spans="1:14" ht="15.75" customHeight="1" x14ac:dyDescent="0.35">
      <c r="A12" s="1" t="s">
        <v>17</v>
      </c>
      <c r="D12" s="8" t="e">
        <f t="shared" si="2"/>
        <v>#DIV/0!</v>
      </c>
    </row>
    <row r="13" spans="1:14" ht="15.75" customHeight="1" x14ac:dyDescent="0.35">
      <c r="A13" s="1" t="s">
        <v>18</v>
      </c>
      <c r="C13" s="1" t="e">
        <f>(1/4 * POWER(C5,4)) * POWER(((1/C7) - (1/C5)), 2)</f>
        <v>#DIV/0!</v>
      </c>
      <c r="D13" s="1" t="e">
        <f>(1/36)*POWER(D6, -4)*POWER((D11-D6),2)</f>
        <v>#DIV/0!</v>
      </c>
    </row>
    <row r="14" spans="1:14" ht="15.75" customHeight="1" x14ac:dyDescent="0.35">
      <c r="A14" s="1" t="s">
        <v>19</v>
      </c>
      <c r="C14" s="1" t="e">
        <f>(1/4 * POWER(C5,4)) * POWER(((1/C5) - (1/C8)), 2)</f>
        <v>#DIV/0!</v>
      </c>
      <c r="D14" s="1" t="e">
        <f>(1/36)*POWER(D6, -4)*POWER((D12-D6),2)</f>
        <v>#DIV/0!</v>
      </c>
    </row>
    <row r="15" spans="1:14" ht="15.75" customHeight="1" x14ac:dyDescent="0.35">
      <c r="A15" s="1" t="s">
        <v>20</v>
      </c>
      <c r="C15" s="1" t="e">
        <f>(C13 +C14) / 2</f>
        <v>#DIV/0!</v>
      </c>
      <c r="D15" s="1" t="e">
        <f>(D13+D14)/2</f>
        <v>#DIV/0!</v>
      </c>
    </row>
    <row r="16" spans="1:14" ht="15.75" customHeight="1" x14ac:dyDescent="0.35">
      <c r="A16" s="1" t="s">
        <v>21</v>
      </c>
      <c r="C16" s="1" t="e">
        <f t="shared" ref="C16:D16" si="3">1/C15</f>
        <v>#DIV/0!</v>
      </c>
      <c r="D16" s="1" t="e">
        <f t="shared" si="3"/>
        <v>#DIV/0!</v>
      </c>
      <c r="E16" s="1" t="s">
        <v>22</v>
      </c>
    </row>
    <row r="17" spans="1:5" ht="15.75" customHeight="1" x14ac:dyDescent="0.35">
      <c r="A17" s="1" t="s">
        <v>23</v>
      </c>
      <c r="C17" s="9" t="e">
        <f t="shared" ref="C17:D17" si="4">C16/SUM($C16:$D16)</f>
        <v>#DIV/0!</v>
      </c>
      <c r="D17" s="9" t="e">
        <f t="shared" si="4"/>
        <v>#DIV/0!</v>
      </c>
      <c r="E17" s="1" t="s">
        <v>24</v>
      </c>
    </row>
    <row r="18" spans="1:5" ht="15.75" customHeight="1" x14ac:dyDescent="0.35"/>
    <row r="19" spans="1:5" ht="15.75" customHeight="1" x14ac:dyDescent="0.35">
      <c r="A19" s="1" t="s">
        <v>25</v>
      </c>
      <c r="C19" s="10" t="e">
        <f>1/((C17/C5) + (D17/D5))</f>
        <v>#DIV/0!</v>
      </c>
      <c r="D19" s="9" t="s">
        <v>26</v>
      </c>
    </row>
    <row r="20" spans="1:5" ht="15.75" customHeight="1" x14ac:dyDescent="0.35"/>
    <row r="21" spans="1:5" ht="15.75" customHeight="1" x14ac:dyDescent="0.35">
      <c r="A21" s="1" t="s">
        <v>27</v>
      </c>
      <c r="C21" s="1" t="e">
        <f>1/((1/C15)+(1/D15))</f>
        <v>#DIV/0!</v>
      </c>
    </row>
    <row r="22" spans="1:5" ht="15.75" customHeight="1" x14ac:dyDescent="0.35">
      <c r="A22" s="1" t="s">
        <v>28</v>
      </c>
      <c r="C22" s="10" t="e">
        <f>SQRT(C21)</f>
        <v>#DIV/0!</v>
      </c>
      <c r="D22" s="1" t="s">
        <v>29</v>
      </c>
    </row>
    <row r="23" spans="1:5" ht="15.75" customHeight="1" x14ac:dyDescent="0.35">
      <c r="A23" s="11" t="s">
        <v>30</v>
      </c>
      <c r="B23" s="11"/>
      <c r="C23" s="11" t="e">
        <f>C19-C22*1.96</f>
        <v>#DIV/0!</v>
      </c>
      <c r="D23" s="11" t="e">
        <f>C19+C22*1.96</f>
        <v>#DIV/0!</v>
      </c>
    </row>
    <row r="24" spans="1:5" ht="15.75" customHeight="1" x14ac:dyDescent="0.35"/>
    <row r="25" spans="1:5" ht="15.75" customHeight="1" x14ac:dyDescent="0.35"/>
    <row r="26" spans="1:5" ht="15.75" customHeight="1" x14ac:dyDescent="0.35"/>
    <row r="27" spans="1:5" ht="15.75" customHeight="1" x14ac:dyDescent="0.35"/>
    <row r="28" spans="1:5" ht="15.75" customHeight="1" x14ac:dyDescent="0.35"/>
    <row r="29" spans="1:5" ht="15.75" customHeight="1" x14ac:dyDescent="0.35"/>
    <row r="30" spans="1:5" ht="15.75" customHeight="1" x14ac:dyDescent="0.35"/>
    <row r="31" spans="1:5" ht="15.75" customHeight="1" x14ac:dyDescent="0.35"/>
    <row r="32" spans="1: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>
      <selection activeCell="I16" sqref="I16"/>
    </sheetView>
  </sheetViews>
  <sheetFormatPr defaultColWidth="11.25" defaultRowHeight="15" customHeight="1" x14ac:dyDescent="0.35"/>
  <cols>
    <col min="1" max="18" width="10.5" customWidth="1"/>
    <col min="19" max="19" width="25.5" customWidth="1"/>
    <col min="20" max="26" width="10.5" customWidth="1"/>
  </cols>
  <sheetData>
    <row r="1" spans="1:20" ht="15.75" customHeight="1" x14ac:dyDescent="0.35">
      <c r="A1" t="s">
        <v>32</v>
      </c>
      <c r="B1" s="12" t="s">
        <v>33</v>
      </c>
      <c r="C1" s="12" t="s">
        <v>34</v>
      </c>
      <c r="D1" s="22" t="s">
        <v>35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5.75" customHeight="1" x14ac:dyDescent="0.35">
      <c r="A2" s="12">
        <v>1</v>
      </c>
      <c r="B2" s="12">
        <v>63</v>
      </c>
      <c r="C2" s="12">
        <v>1.583E-3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15.75" customHeight="1" x14ac:dyDescent="0.35">
      <c r="A3" s="12">
        <v>2</v>
      </c>
      <c r="B3" s="12">
        <v>23</v>
      </c>
      <c r="C3" s="12">
        <v>5.8799999999999998E-4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15.75" customHeight="1" x14ac:dyDescent="0.35">
      <c r="A4" s="12">
        <v>3</v>
      </c>
      <c r="B4" s="12">
        <v>52</v>
      </c>
      <c r="C4" s="12">
        <v>1.9880000000000002E-3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 x14ac:dyDescent="0.35">
      <c r="A5" s="12">
        <v>4</v>
      </c>
      <c r="B5" s="12">
        <v>29</v>
      </c>
      <c r="C5" s="12">
        <v>1.5809999999999999E-3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15.75" customHeight="1" x14ac:dyDescent="0.35">
      <c r="A6" s="12">
        <v>5</v>
      </c>
      <c r="B6" s="12">
        <v>42</v>
      </c>
      <c r="C6" s="12">
        <v>1.6900000000000001E-3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15.75" customHeight="1" x14ac:dyDescent="0.35">
      <c r="A7" s="12">
        <v>6</v>
      </c>
      <c r="B7" s="12">
        <v>9</v>
      </c>
      <c r="C7" s="12">
        <v>-4.0299999999999997E-3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ht="15.75" customHeight="1" x14ac:dyDescent="0.35">
      <c r="A8" s="12">
        <v>7</v>
      </c>
      <c r="B8" s="12">
        <v>4</v>
      </c>
      <c r="C8" s="12">
        <v>-4.1194000000000001E-2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ht="15.75" customHeight="1" x14ac:dyDescent="0.35">
      <c r="A9" s="12">
        <v>8</v>
      </c>
      <c r="B9" s="12">
        <v>10</v>
      </c>
      <c r="C9" s="12">
        <v>-1.848E-3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ht="15.75" customHeight="1" x14ac:dyDescent="0.35">
      <c r="A10" s="12">
        <v>9</v>
      </c>
      <c r="B10" s="12">
        <v>3</v>
      </c>
      <c r="C10" s="12">
        <v>-0.149039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ht="15.75" customHeight="1" x14ac:dyDescent="0.35">
      <c r="A11" s="12">
        <v>10</v>
      </c>
      <c r="B11" s="12">
        <v>5</v>
      </c>
      <c r="C11" s="12">
        <v>-1.9823E-2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ht="15.75" customHeight="1" x14ac:dyDescent="0.35">
      <c r="A12" s="12">
        <v>11</v>
      </c>
      <c r="B12" s="12">
        <v>1</v>
      </c>
      <c r="C12" s="12">
        <v>-5.3487999999999998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ht="15.75" customHeigh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ht="15.75" customHeight="1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ht="15.75" customHeigh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ht="15.75" customHeight="1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5.75" customHeight="1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15.75" customHeight="1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5.75" customHeight="1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ht="15.75" customHeight="1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ht="15.75" customHeight="1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5.75" customHeight="1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5.75" customHeight="1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5.75" customHeight="1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ht="15.75" customHeight="1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ht="15.75" customHeight="1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ht="15.75" customHeight="1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ht="15.75" customHeight="1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ht="15.75" customHeight="1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ht="15.75" customHeight="1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ht="15.75" customHeight="1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ht="15.75" customHeight="1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ht="15.75" customHeight="1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ht="15.75" customHeight="1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 ht="15.75" customHeigh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ht="15.75" customHeigh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ht="15.75" customHeight="1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ht="15.75" customHeight="1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ht="15.75" customHeight="1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ht="15.75" customHeight="1" x14ac:dyDescent="0.3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ht="15.75" customHeight="1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 ht="15.75" customHeight="1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ht="15.75" customHeight="1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ht="15.75" customHeight="1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ht="15.75" customHeight="1" x14ac:dyDescent="0.3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ht="15.75" customHeight="1" x14ac:dyDescent="0.35"/>
    <row r="47" spans="1:20" ht="15.75" customHeight="1" x14ac:dyDescent="0.35"/>
    <row r="48" spans="1:20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DA49-1E4F-4A4F-BF60-A2EFC416C76E}">
  <dimension ref="A1:K5"/>
  <sheetViews>
    <sheetView workbookViewId="0">
      <selection activeCell="I5" sqref="I5"/>
    </sheetView>
  </sheetViews>
  <sheetFormatPr defaultRowHeight="15.5" x14ac:dyDescent="0.35"/>
  <sheetData>
    <row r="1" spans="1:11" x14ac:dyDescent="0.35">
      <c r="A1" s="23" t="s">
        <v>36</v>
      </c>
      <c r="B1" s="23" t="s">
        <v>37</v>
      </c>
      <c r="C1" s="23" t="s">
        <v>38</v>
      </c>
      <c r="D1" s="23" t="s">
        <v>39</v>
      </c>
      <c r="E1" s="24" t="s">
        <v>40</v>
      </c>
      <c r="F1" s="23" t="s">
        <v>41</v>
      </c>
      <c r="G1" s="23" t="s">
        <v>42</v>
      </c>
      <c r="H1" s="23" t="s">
        <v>43</v>
      </c>
      <c r="I1" s="23" t="s">
        <v>44</v>
      </c>
      <c r="J1" s="23" t="s">
        <v>11</v>
      </c>
      <c r="K1" s="23" t="s">
        <v>12</v>
      </c>
    </row>
    <row r="2" spans="1:11" x14ac:dyDescent="0.35">
      <c r="A2" s="25">
        <v>2010</v>
      </c>
      <c r="B2" s="25">
        <v>29</v>
      </c>
      <c r="C2" s="25">
        <v>3668</v>
      </c>
      <c r="D2" s="25">
        <v>379</v>
      </c>
      <c r="E2" s="21">
        <v>4.2000000000000003E-2</v>
      </c>
      <c r="F2" s="25">
        <v>62.7</v>
      </c>
      <c r="G2" s="25">
        <v>35.799999999999997</v>
      </c>
      <c r="H2" s="25">
        <v>679.5</v>
      </c>
      <c r="I2" s="25">
        <v>96</v>
      </c>
      <c r="J2" s="25">
        <v>59</v>
      </c>
      <c r="K2" s="25">
        <v>181</v>
      </c>
    </row>
    <row r="3" spans="1:11" x14ac:dyDescent="0.35">
      <c r="A3" s="25">
        <v>2011</v>
      </c>
      <c r="B3" s="25">
        <v>42</v>
      </c>
      <c r="C3" s="25">
        <v>3668</v>
      </c>
      <c r="D3" s="25">
        <v>300</v>
      </c>
      <c r="E3" s="21">
        <v>2.7203999999999999E-2</v>
      </c>
      <c r="F3" s="25">
        <v>214.6</v>
      </c>
      <c r="G3" s="25">
        <v>104.8</v>
      </c>
      <c r="H3" s="25">
        <v>511.1</v>
      </c>
      <c r="I3" s="25">
        <v>344</v>
      </c>
      <c r="J3" s="25">
        <v>211</v>
      </c>
      <c r="K3" s="25">
        <v>872</v>
      </c>
    </row>
    <row r="4" spans="1:11" x14ac:dyDescent="0.35">
      <c r="A4" s="25">
        <v>2012</v>
      </c>
      <c r="B4" s="25">
        <v>52</v>
      </c>
      <c r="C4" s="25">
        <v>3668</v>
      </c>
      <c r="D4" s="25">
        <v>191</v>
      </c>
      <c r="E4" s="21">
        <v>1.9983999999999998E-2</v>
      </c>
      <c r="F4" s="25">
        <v>215.5</v>
      </c>
      <c r="G4" s="25">
        <v>112.7</v>
      </c>
      <c r="H4" s="25">
        <v>290.2</v>
      </c>
      <c r="I4" s="25">
        <v>285</v>
      </c>
      <c r="J4" s="25">
        <v>194</v>
      </c>
      <c r="K4" s="25">
        <v>567</v>
      </c>
    </row>
    <row r="5" spans="1:11" x14ac:dyDescent="0.35">
      <c r="A5" s="25">
        <v>2013</v>
      </c>
      <c r="B5" s="25">
        <v>63</v>
      </c>
      <c r="C5" s="25">
        <v>3668</v>
      </c>
      <c r="D5" s="25">
        <v>681</v>
      </c>
      <c r="E5" s="21">
        <v>1.6851999999999999E-2</v>
      </c>
      <c r="F5" s="25">
        <v>183.4</v>
      </c>
      <c r="G5" s="25">
        <v>141.80000000000001</v>
      </c>
      <c r="H5" s="25">
        <v>447.2</v>
      </c>
      <c r="I5" s="25">
        <v>200</v>
      </c>
      <c r="J5" s="25">
        <v>147</v>
      </c>
      <c r="K5" s="25">
        <v>297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B499-79D5-4DAF-946E-2D4C6AED1028}">
  <dimension ref="A1:N1000"/>
  <sheetViews>
    <sheetView tabSelected="1" workbookViewId="0">
      <selection activeCell="C38" sqref="C38"/>
    </sheetView>
  </sheetViews>
  <sheetFormatPr defaultColWidth="11.25" defaultRowHeight="15" customHeight="1" x14ac:dyDescent="0.35"/>
  <cols>
    <col min="1" max="1" width="41.33203125" customWidth="1"/>
    <col min="2" max="2" width="10.5" customWidth="1"/>
    <col min="3" max="3" width="54.08203125" customWidth="1"/>
    <col min="4" max="4" width="50.58203125" customWidth="1"/>
    <col min="5" max="5" width="35.75" customWidth="1"/>
    <col min="6" max="6" width="24.58203125" customWidth="1"/>
    <col min="7" max="26" width="10.5" customWidth="1"/>
  </cols>
  <sheetData>
    <row r="1" spans="1:14" ht="15.75" customHeight="1" x14ac:dyDescent="0.35">
      <c r="A1" s="1" t="s">
        <v>0</v>
      </c>
      <c r="D1" s="1" t="s">
        <v>1</v>
      </c>
    </row>
    <row r="2" spans="1:14" ht="15.75" customHeight="1" x14ac:dyDescent="0.35">
      <c r="A2" s="1" t="s">
        <v>2</v>
      </c>
    </row>
    <row r="3" spans="1:14" ht="15.75" customHeight="1" x14ac:dyDescent="0.35"/>
    <row r="4" spans="1:14" ht="15.75" customHeight="1" x14ac:dyDescent="0.35">
      <c r="A4" s="2"/>
      <c r="C4" s="1" t="s">
        <v>3</v>
      </c>
      <c r="D4" s="1" t="s">
        <v>31</v>
      </c>
      <c r="E4" s="1"/>
      <c r="H4" s="3" t="s">
        <v>5</v>
      </c>
      <c r="I4" s="4"/>
      <c r="J4" s="4"/>
      <c r="K4" s="4"/>
      <c r="L4" s="4"/>
      <c r="M4" s="4"/>
      <c r="N4" s="4"/>
    </row>
    <row r="5" spans="1:14" ht="15.75" customHeight="1" x14ac:dyDescent="0.35">
      <c r="A5" s="1" t="s">
        <v>6</v>
      </c>
      <c r="C5" s="5">
        <f>Nb!I5</f>
        <v>200</v>
      </c>
      <c r="D5" s="12">
        <v>171.9</v>
      </c>
      <c r="F5" s="7" t="s">
        <v>7</v>
      </c>
      <c r="H5" s="1" t="s">
        <v>8</v>
      </c>
    </row>
    <row r="6" spans="1:14" ht="15.75" customHeight="1" x14ac:dyDescent="0.35">
      <c r="A6" s="1" t="s">
        <v>9</v>
      </c>
      <c r="D6" s="21">
        <f>Rstar!C2</f>
        <v>1.583E-3</v>
      </c>
      <c r="F6" s="6">
        <v>64</v>
      </c>
      <c r="H6" s="1" t="s">
        <v>10</v>
      </c>
    </row>
    <row r="7" spans="1:14" ht="15.75" customHeight="1" x14ac:dyDescent="0.35">
      <c r="A7" s="1" t="s">
        <v>11</v>
      </c>
      <c r="C7" s="1">
        <f>Nb!J5</f>
        <v>147</v>
      </c>
      <c r="D7" s="12">
        <v>117.3</v>
      </c>
      <c r="E7">
        <v>301.7</v>
      </c>
    </row>
    <row r="8" spans="1:14" ht="15.75" customHeight="1" x14ac:dyDescent="0.35">
      <c r="A8" s="1" t="s">
        <v>12</v>
      </c>
      <c r="C8" s="1">
        <f>Nb!K5</f>
        <v>297</v>
      </c>
      <c r="D8" s="12">
        <f>Nb!H5</f>
        <v>447.2</v>
      </c>
    </row>
    <row r="9" spans="1:14" ht="15.75" customHeight="1" x14ac:dyDescent="0.35">
      <c r="A9" s="1" t="s">
        <v>13</v>
      </c>
      <c r="D9" s="4">
        <f t="shared" ref="D9:D10" si="0">E9</f>
        <v>1.5992701125720953E-2</v>
      </c>
      <c r="E9" s="1">
        <f>(-69*($F$6^2)+SQRT(10000*($F$6^4)*(D7^2)+4761*(F$6^4)-248400*(F$6^3)*(D7^2))+1800*F$6*D7^2)/(1800*($F$6^2)*(D7^2))</f>
        <v>1.5992701125720953E-2</v>
      </c>
      <c r="G9" s="1">
        <f t="shared" ref="G9:G10" si="1">1/3*SQRT((1/9)-2.76*D9)/(2*(D9-(1/$F$6)))</f>
        <v>117.2999999999998</v>
      </c>
      <c r="H9" s="1" t="s">
        <v>14</v>
      </c>
    </row>
    <row r="10" spans="1:14" ht="15.75" customHeight="1" x14ac:dyDescent="0.35">
      <c r="A10" s="1" t="s">
        <v>15</v>
      </c>
      <c r="D10" s="4">
        <f t="shared" si="0"/>
        <v>1.5721984071290621E-2</v>
      </c>
      <c r="E10" s="1">
        <f>(-69*($F$6^2)+SQRT(10000*($F$6^4)*(D8^2)+4761*(F$6^4)-248400*(F$6^3)*(D8^2))+1800*F$6*D8^2)/(1800*$F$6^2*(D8^2))</f>
        <v>1.5721984071290621E-2</v>
      </c>
      <c r="G10" s="1">
        <f t="shared" si="1"/>
        <v>447.19999999999118</v>
      </c>
    </row>
    <row r="11" spans="1:14" ht="15.75" customHeight="1" x14ac:dyDescent="0.35">
      <c r="A11" s="1" t="s">
        <v>16</v>
      </c>
      <c r="D11" s="8">
        <f t="shared" ref="D11:D12" si="2">D9-(1/F$6)</f>
        <v>3.6770112572095254E-4</v>
      </c>
    </row>
    <row r="12" spans="1:14" ht="15.75" customHeight="1" x14ac:dyDescent="0.35">
      <c r="A12" s="1" t="s">
        <v>17</v>
      </c>
      <c r="D12" s="8">
        <f t="shared" si="2"/>
        <v>9.6984071290620588E-5</v>
      </c>
    </row>
    <row r="13" spans="1:14" ht="15.75" customHeight="1" x14ac:dyDescent="0.35">
      <c r="A13" s="1" t="s">
        <v>18</v>
      </c>
      <c r="C13" s="1">
        <f>(1/4 * POWER(C5,4)) * POWER(((1/C7) - (1/C5)), 2)</f>
        <v>1299.9213290758476</v>
      </c>
      <c r="D13" s="1">
        <f>(1/36)*POWER(D6, -4)*POWER((D11-D6),2)</f>
        <v>6533.4117767240969</v>
      </c>
    </row>
    <row r="14" spans="1:14" ht="15.75" customHeight="1" x14ac:dyDescent="0.35">
      <c r="A14" s="1" t="s">
        <v>19</v>
      </c>
      <c r="C14" s="1">
        <f>(1/4 * POWER(C5,4)) * POWER(((1/C5) - (1/C8)), 2)</f>
        <v>1066.6712013513363</v>
      </c>
      <c r="D14" s="1">
        <f>(1/36)*POWER(D6, -4)*POWER((D12-D6),2)</f>
        <v>9768.3400394636083</v>
      </c>
    </row>
    <row r="15" spans="1:14" ht="15.75" customHeight="1" x14ac:dyDescent="0.35">
      <c r="A15" s="1" t="s">
        <v>20</v>
      </c>
      <c r="C15" s="1">
        <f>(C13 +C14) / 2</f>
        <v>1183.2962652135921</v>
      </c>
      <c r="D15" s="1">
        <f>(D13+D14)/2</f>
        <v>8150.8759080938526</v>
      </c>
    </row>
    <row r="16" spans="1:14" ht="15.75" customHeight="1" x14ac:dyDescent="0.35">
      <c r="A16" s="1" t="s">
        <v>21</v>
      </c>
      <c r="C16" s="1">
        <f t="shared" ref="C16:D16" si="3">1/C15</f>
        <v>8.4509689534048691E-4</v>
      </c>
      <c r="D16" s="1">
        <f t="shared" si="3"/>
        <v>1.2268620100166117E-4</v>
      </c>
      <c r="E16" s="1" t="s">
        <v>22</v>
      </c>
    </row>
    <row r="17" spans="1:5" ht="15.75" customHeight="1" x14ac:dyDescent="0.35">
      <c r="A17" s="1" t="s">
        <v>23</v>
      </c>
      <c r="C17" s="9">
        <f t="shared" ref="C17:D17" si="4">C16/SUM($C16:$D16)</f>
        <v>0.87322965087387006</v>
      </c>
      <c r="D17" s="9">
        <f t="shared" si="4"/>
        <v>0.12677034912612994</v>
      </c>
      <c r="E17" s="1" t="s">
        <v>24</v>
      </c>
    </row>
    <row r="18" spans="1:5" ht="15.75" customHeight="1" x14ac:dyDescent="0.35"/>
    <row r="19" spans="1:5" ht="15.75" customHeight="1" x14ac:dyDescent="0.35">
      <c r="A19" s="1" t="s">
        <v>25</v>
      </c>
      <c r="C19" s="10">
        <f>1/((C17/C5) + (D17/D5))</f>
        <v>195.93958600758984</v>
      </c>
      <c r="D19" s="9" t="s">
        <v>26</v>
      </c>
    </row>
    <row r="20" spans="1:5" ht="15.75" customHeight="1" x14ac:dyDescent="0.35"/>
    <row r="21" spans="1:5" ht="15.75" customHeight="1" x14ac:dyDescent="0.35">
      <c r="A21" s="1" t="s">
        <v>27</v>
      </c>
      <c r="C21" s="1">
        <f>1/((1/C15)+(1/D15))</f>
        <v>1033.2893845528192</v>
      </c>
    </row>
    <row r="22" spans="1:5" ht="15.75" customHeight="1" x14ac:dyDescent="0.35">
      <c r="A22" s="1" t="s">
        <v>28</v>
      </c>
      <c r="C22" s="10">
        <f>SQRT(C21)</f>
        <v>32.144818937938027</v>
      </c>
      <c r="D22" s="1" t="s">
        <v>29</v>
      </c>
    </row>
    <row r="23" spans="1:5" ht="15.75" customHeight="1" x14ac:dyDescent="0.35">
      <c r="A23" s="11" t="s">
        <v>30</v>
      </c>
      <c r="B23" s="11"/>
      <c r="C23" s="11">
        <f>C19-C22*1.96</f>
        <v>132.93574088923131</v>
      </c>
      <c r="D23" s="11">
        <f>C19+C22*1.96</f>
        <v>258.94343112594839</v>
      </c>
    </row>
    <row r="24" spans="1:5" ht="15.75" customHeight="1" x14ac:dyDescent="0.35"/>
    <row r="25" spans="1:5" ht="15.75" customHeight="1" x14ac:dyDescent="0.35"/>
    <row r="26" spans="1:5" ht="15.75" customHeight="1" x14ac:dyDescent="0.35"/>
    <row r="27" spans="1:5" ht="15.75" customHeight="1" x14ac:dyDescent="0.35"/>
    <row r="28" spans="1:5" ht="15.75" customHeight="1" x14ac:dyDescent="0.35"/>
    <row r="29" spans="1:5" ht="15.75" customHeight="1" x14ac:dyDescent="0.35"/>
    <row r="30" spans="1:5" ht="15.75" customHeight="1" x14ac:dyDescent="0.35"/>
    <row r="31" spans="1:5" ht="15.75" customHeight="1" x14ac:dyDescent="0.35"/>
    <row r="32" spans="1: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2012</vt:lpstr>
      <vt:lpstr>2011</vt:lpstr>
      <vt:lpstr>2010</vt:lpstr>
      <vt:lpstr>Example</vt:lpstr>
      <vt:lpstr>Blank_Template</vt:lpstr>
      <vt:lpstr>Rstar</vt:lpstr>
      <vt:lpstr>Nb</vt:lpstr>
      <vt:lpstr>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Davenport</dc:creator>
  <cp:lastModifiedBy>Davenport, Danielle</cp:lastModifiedBy>
  <dcterms:created xsi:type="dcterms:W3CDTF">2019-04-26T22:58:46Z</dcterms:created>
  <dcterms:modified xsi:type="dcterms:W3CDTF">2024-01-24T21:11:51Z</dcterms:modified>
</cp:coreProperties>
</file>