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commentsmeta2"/>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TVI-DCF" sheetId="1" r:id="rId4"/>
    <sheet state="visible" name="WACC" sheetId="2" r:id="rId5"/>
    <sheet state="visible" name="ValGraph" sheetId="3" r:id="rId6"/>
    <sheet state="visible" name="ValSum" sheetId="4" r:id="rId7"/>
    <sheet state="visible" name="Public Comps" sheetId="5" r:id="rId8"/>
    <sheet state="visible" name="Public-Comps-Data" sheetId="6" r:id="rId9"/>
    <sheet state="visible" name="Inputs" sheetId="7" r:id="rId10"/>
  </sheets>
  <definedNames>
    <definedName name="Final_Discount_Rate">'ATVI-DCF'!$D$143</definedName>
    <definedName name="Ticker">'ATVI-DCF'!$D$8</definedName>
    <definedName name="Comps_Range">'Public-Comps-Data'!$D$1:$BE$93</definedName>
    <definedName name="Next_Year">'ATVI-DCF'!$J$8</definedName>
    <definedName name="Units">'ATVI-DCF'!$D$9</definedName>
    <definedName name="Year_Remaining_Pct">#REF!</definedName>
    <definedName name="Vyxeos_Risk_Adjustment_Factor">#REF!</definedName>
    <definedName localSheetId="6" name="FYear_3_Name">Inputs!$B$9</definedName>
    <definedName name="Stub_Period">'ATVI-DCF'!$D$147</definedName>
    <definedName name="JZP110_Risk_Adjustment_Factor">#REF!</definedName>
    <definedName name="Forward_Year_2">Inputs!$E$8</definedName>
    <definedName name="Num_Years">'ATVI-DCF'!$D$145</definedName>
    <definedName name="LTM_Name">Inputs!$B$6</definedName>
    <definedName name="WACC">WACC!$L$46</definedName>
    <definedName name="Tax_Rate">'ATVI-DCF'!$D$12</definedName>
    <definedName name="Scenario">'ATVI-DCF'!$D$14</definedName>
    <definedName name="Hist_Year">'ATVI-DCF'!$J$7</definedName>
    <definedName localSheetId="6" name="FYear_1_Name">Inputs!$B$7</definedName>
    <definedName name="Cost_of_Preferred">WACC!$F$9</definedName>
    <definedName name="Forward_Year_1">Inputs!$E$7</definedName>
    <definedName name="Terminal_Multiple">'ATVI-DCF'!$I$142</definedName>
    <definedName name="Basic_Shares">'Public-Comps-Data'!$BE$35</definedName>
    <definedName name="Cost_of_Debt">WACC!$F$8</definedName>
    <definedName name="Initial_Discount_Rate">'ATVI-DCF'!$D$141</definedName>
    <definedName localSheetId="6" name="FYear_2_Name">Inputs!$B$8</definedName>
    <definedName name="Company_Name">'ATVI-DCF'!$D$7</definedName>
    <definedName name="Valuation_Date">'ATVI-DCF'!$J$10</definedName>
    <definedName name="LTM">Inputs!$E$6</definedName>
    <definedName name="Share_Price">'ATVI-DCF'!$D$11</definedName>
    <definedName name="Forward_Year_3">Inputs!$E$9</definedName>
    <definedName name="Risk_Free_Rate">WACC!$F$6</definedName>
    <definedName name="Equity_Risk_Premium">WACC!$F$7</definedName>
    <definedName name="Terminal_Growth_Rate">'ATVI-DCF'!$N$142</definedName>
  </definedNames>
  <calcPr/>
  <extLst>
    <ext uri="GoogleSheetsCustomDataVersion1">
      <go:sheetsCustomData xmlns:go="http://customooxmlschemas.google.com/" r:id="rId11" roundtripDataSignature="AMtx7mgWgugchwYMZxbAuH8nIw0kn32EWQ=="/>
    </ext>
  </extLst>
</workbook>
</file>

<file path=xl/comments1.xml><?xml version="1.0" encoding="utf-8"?>
<comments xmlns:r="http://schemas.openxmlformats.org/officeDocument/2006/relationships" xmlns="http://schemas.openxmlformats.org/spreadsheetml/2006/main">
  <authors>
    <author/>
  </authors>
  <commentList>
    <comment authorId="0" ref="F6">
      <text>
        <t xml:space="preserve">======
ID#AAAAGYAy0JA
tc={52A2F92D-8643-454B-B6C8-6EFED6D985D1}    (2020-04-03 12:06:29)
[Threaded comment]
Your version of Excel allows you to read this threaded comment; however, any edits to it will get removed if the file is opened in a newer version of Excel. Learn more: https://go.microsoft.com/fwlink/?linkid=870924
Comment:
    From Damodaran database</t>
      </text>
    </comment>
    <comment authorId="0" ref="F7">
      <text>
        <t xml:space="preserve">======
ID#AAAAGYAy0IE
tc={099A3414-2AF8-4C70-8260-8666D8AC7CF5}    (2020-04-03 12:06:29)
[Threaded comment]
Your version of Excel allows you to read this threaded comment; however, any edits to it will get removed if the file is opened in a newer version of Excel. Learn more: https://go.microsoft.com/fwlink/?linkid=870924
Comment:
    From Damodaran Database</t>
      </text>
    </comment>
    <comment authorId="0" ref="F9">
      <text>
        <t xml:space="preserve">======
ID#AAAAGYAy0J8
BIWS    (2020-03-03 21:36:25)
No outstanding Preferred Stock.</t>
      </text>
    </comment>
  </commentList>
  <extLst>
    <ext uri="GoogleSheetsCustomDataVersion1">
      <go:sheetsCustomData xmlns:go="http://customooxmlschemas.google.com/" r:id="rId1" roundtripDataSignature="AMtx7mgcal8TcB+JV1r7+I+A9Fw8DS/wRA=="/>
    </ext>
  </extLst>
</comments>
</file>

<file path=xl/comments2.xml><?xml version="1.0" encoding="utf-8"?>
<comments xmlns:r="http://schemas.openxmlformats.org/officeDocument/2006/relationships" xmlns="http://schemas.openxmlformats.org/spreadsheetml/2006/main">
  <authors>
    <author/>
  </authors>
  <commentList>
    <comment authorId="0" ref="E32">
      <text>
        <t xml:space="preserve">======
ID#AAAAGYAy0I8
BIWS    (2020-03-03 21:36:25)
Check to see if convertible bonds convert; only count fair value of Debt if share price &lt; conversion price.</t>
      </text>
    </comment>
  </commentList>
  <extLst>
    <ext uri="GoogleSheetsCustomDataVersion1">
      <go:sheetsCustomData xmlns:go="http://customooxmlschemas.google.com/" r:id="rId1" roundtripDataSignature="AMtx7mjqDM7FsVhQ1hXk5Cpi/QhYRFttTA=="/>
    </ext>
  </extLst>
</comments>
</file>

<file path=xl/comments3.xml><?xml version="1.0" encoding="utf-8"?>
<comments xmlns:r="http://schemas.openxmlformats.org/officeDocument/2006/relationships" xmlns="http://schemas.openxmlformats.org/spreadsheetml/2006/main">
  <authors>
    <author/>
  </authors>
  <commentList>
    <comment authorId="0" ref="T49">
      <text>
        <t xml:space="preserve">======
ID#AAAAGYAy0KM
BIWS    (2020-02-12 11:07:40)
Technically, the company has a convertible bond, but the principal is very low, so we are simplifying and counting it as normal Debt here.</t>
      </text>
    </comment>
    <comment authorId="0" ref="BE21">
      <text>
        <t xml:space="preserve">======
ID#AAAAGYAy0Jo
BIWS    (2020-02-12 11:07:40)
Fair value of $631, but only if there's no dilution because share price &lt; conversion price. Term Loan and Revolver fair values were approximately equal to book values according to 10-Q.</t>
      </text>
    </comment>
    <comment authorId="0" ref="V49">
      <text>
        <t xml:space="preserve">======
ID#AAAAGYAy0L0
BIWS    (2020-02-12 11:07:40)
Technically, the company has a convertible bond, but the principal is very low, so we are simplifying and counting it as normal Debt here.</t>
      </text>
    </comment>
    <comment authorId="0" ref="L20">
      <text>
        <t xml:space="preserve">======
ID#AAAAGYAy0KQ
BIWS    (2020-02-12 11:07:40)
Portion within DTA in 10-K; valuation allowance is small, so not netting it.</t>
      </text>
    </comment>
    <comment authorId="0" ref="AY49">
      <text>
        <t xml:space="preserve">======
ID#AAAAGYAy0Js
BIWS    (2020-02-12 11:07:40)
Disclosed in the 10-K.</t>
      </text>
    </comment>
    <comment authorId="0" ref="Z10">
      <text>
        <t xml:space="preserve">======
ID#AAAAGYAy0H0
BIWS    (2020-02-12 11:07:40)
$4.9 million of one-time termination costs.</t>
      </text>
    </comment>
    <comment authorId="0" ref="AR49">
      <text>
        <t xml:space="preserve">======
ID#AAAAGYAy0L4
BIWS    (2020-02-12 11:07:40)
Per the 10-K. Always based on face value of bond.</t>
      </text>
    </comment>
    <comment authorId="0" ref="Y38">
      <text>
        <t xml:space="preserve">======
ID#AAAAGYAy0KE
BIWS    (2020-02-12 11:07:40)
Per the 10-K.</t>
      </text>
    </comment>
    <comment authorId="0" ref="AD10">
      <text>
        <t xml:space="preserve">======
ID#AAAAGYAy0Jg
BIWS    (2020-02-12 11:07:40)
True North integration costs.</t>
      </text>
    </comment>
    <comment authorId="0" ref="V14">
      <text>
        <t xml:space="preserve">======
ID#AAAAGYAy0KI
BIWS    (2020-02-12 11:07:40)
Based on most recent annual financial statements. Historically, the company has paid a normal tax rate only once in the past ~10 years.</t>
      </text>
    </comment>
    <comment authorId="0" ref="L14">
      <text>
        <t xml:space="preserve">======
ID#AAAAGYAy0Jk
BIWS    (2020-02-12 11:07:40)
Based on most recent annual financial statements.</t>
      </text>
    </comment>
    <comment authorId="0" ref="O38">
      <text>
        <t xml:space="preserve">======
ID#AAAAGYAy0LA
BIWS    (2020-02-12 11:07:40)
Options exercisable from the 10-Q.</t>
      </text>
    </comment>
    <comment authorId="0" ref="T38">
      <text>
        <t xml:space="preserve">======
ID#AAAAGYAy0LE
BIWS    (2020-02-12 11:07:40)
Per the 10-Q.</t>
      </text>
    </comment>
    <comment authorId="0" ref="AX38">
      <text>
        <t xml:space="preserve">======
ID#AAAAGYAy0Kc
BIWS    (2020-02-12 11:07:40)
Using Options Exercisable from the 10-K; 10-Q only gives Options Outstanding.</t>
      </text>
    </comment>
    <comment authorId="0" ref="F53">
      <text>
        <t xml:space="preserve">======
ID#AAAAGYAy0KU
BIWS    (2020-02-12 11:07:40)
From the 10-K due to lack of information in the 10-Q.</t>
      </text>
    </comment>
    <comment authorId="0" ref="BE25">
      <text>
        <t xml:space="preserve">======
ID#AAAAGYAy0Jw
BIWS    (2020-02-12 11:07:40)
So small that we're rounding this to 0.</t>
      </text>
    </comment>
    <comment authorId="0" ref="V24">
      <text>
        <t xml:space="preserve">======
ID#AAAAGYAy0H4
BIWS    (2020-02-12 11:07:40)
From 10-K. Assuming payments into the plan are tax-deductible.</t>
      </text>
    </comment>
    <comment authorId="0" ref="AK14">
      <text>
        <t xml:space="preserve">======
ID#AAAAGYAy0L8
BIWS    (2020-02-12 11:07:40)
Based on most recent annual financial statements. Previous years have strange items.</t>
      </text>
    </comment>
    <comment authorId="0" ref="Q20">
      <text>
        <t xml:space="preserve">======
ID#AAAAGYAy0KY
BIWS    (2020-02-12 11:07:40)
Company has $55 million of state NOLs, but they're not listed in the DTA… so not listing anything here.</t>
      </text>
    </comment>
    <comment authorId="0" ref="BD53">
      <text>
        <t xml:space="preserve">======
ID#AAAAGYAy0H8
BIWS    (2020-02-12 11:07:40)
Per the 10-K; no information in the 10-Q.</t>
      </text>
    </comment>
    <comment authorId="0" ref="S49">
      <text>
        <t xml:space="preserve">======
ID#AAAAGYAy0LQ
BIWS    (2020-02-12 11:07:40)
Technically, the company has a convertible bond, but the principal is very low, so we are simplifying and counting it as normal Debt here.</t>
      </text>
    </comment>
    <comment authorId="0" ref="AA20">
      <text>
        <t xml:space="preserve">======
ID#AAAAGYAy0Ko
BIWS    (2020-02-12 11:07:40)
Reduced proportionally by Valuation Allowance netted against Gross DTA.</t>
      </text>
    </comment>
    <comment authorId="0" ref="AZ21">
      <text>
        <t xml:space="preserve">======
ID#AAAAGYAy0I0
BIWS    (2020-02-12 11:07:40)
$3 million normal debt + $250 million convertible bonds - only count (fair value of $323.2) if share price is below conversion price, which it is not here. The $3 million comes from the 10-K. Also, the 10-Q mentions $253 million of Total Indebtedness.</t>
      </text>
    </comment>
    <comment authorId="0" ref="BD10">
      <text>
        <t xml:space="preserve">======
ID#AAAAGYAy0LU
BIWS    (2020-02-12 11:07:40)
Acquired in-process R&amp;D + merger costs + contract termination fee.</t>
      </text>
    </comment>
    <comment authorId="0" ref="AE11">
      <text>
        <t xml:space="preserve">======
ID#AAAAGYAy0Ks
BIWS    (2020-02-12 11:07:40)
Subtracting accelerated Depreciation associated with Biogen shutdown.</t>
      </text>
    </comment>
    <comment authorId="0" ref="AO53">
      <text>
        <t xml:space="preserve">======
ID#AAAAGYAy0LI
BIWS    (2020-02-12 11:07:40)
From 10-K. No information in the 10-Q.</t>
      </text>
    </comment>
    <comment authorId="0" ref="AA49">
      <text>
        <t xml:space="preserve">======
ID#AAAAGYAy0Kg
BIWS    (2020-02-12 11:07:40)
Hedged convertible bond, so we're using (Bond principal / conversion price) – ([Stock price * number of shares covered – convertible principal] / Stock price) to estimate dilution. The bondholders all convert their debt into shares, and then the company can use the proceeds from their covered calls (which equals the difference between the stock price and the strike price times the number of shares) to buy back shares at the current stock price.</t>
      </text>
    </comment>
    <comment authorId="0" ref="AS38">
      <text>
        <t xml:space="preserve">======
ID#AAAAGYAy0LM
BIWS    (2020-02-12 11:07:40)
Per the 10-Q.</t>
      </text>
    </comment>
    <comment authorId="0" ref="AZ20">
      <text>
        <t xml:space="preserve">======
ID#AAAAGYAy0Kk
BIWS    (2020-02-12 11:07:40)
Technically, the company has some small amount of NOLs, but the valuation allowance is large, and the Net DTA is small, so we're ignoring them.</t>
      </text>
    </comment>
    <comment authorId="0" ref="AF20">
      <text>
        <t xml:space="preserve">======
ID#AAAAGYAy0MA
BIWS    (2020-02-12 11:07:40)
Company had significant NOLs, but DTA went to near-0 in most recent quarter.</t>
      </text>
    </comment>
    <comment authorId="0" ref="AY53">
      <text>
        <t xml:space="preserve">======
ID#AAAAGYAy0Lc
BIWS    (2020-02-12 11:07:40)
To be consistent, we're also using the RSUs from the 10-K. Almost the same in the 10-Q.</t>
      </text>
    </comment>
    <comment authorId="0" ref="AK20">
      <text>
        <t xml:space="preserve">======
ID#AAAAGYAy0IA
BIWS    (2020-02-12 11:07:40)
Company had some NOLs in its 10-K, but DTA balance is so low as of Q2 that it's not worth even counting them here.</t>
      </text>
    </comment>
    <comment authorId="0" ref="BD49">
      <text>
        <t xml:space="preserve">======
ID#AAAAGYAy0ME
BIWS    (2020-02-12 11:07:40)
Per the 10-Q.</t>
      </text>
    </comment>
    <comment authorId="0" ref="U49">
      <text>
        <t xml:space="preserve">======
ID#AAAAGYAy0I4
BIWS    (2020-02-12 11:07:40)
Technically, the company has a convertible bond, but the principal is very low, so we are simplifying and counting it as normal Debt here.</t>
      </text>
    </comment>
    <comment authorId="0" ref="BE20">
      <text>
        <t xml:space="preserve">======
ID#AAAAGYAy0LY
BIWS    (2020-02-12 11:07:40)
Reduced proportionally by Valuation Allowance netted against Gross DTA.</t>
      </text>
    </comment>
    <comment authorId="0" ref="BC38">
      <text>
        <t xml:space="preserve">======
ID#AAAAGYAy0Kw
BIWS    (2020-02-12 11:07:40)
Per the 10-K; no information in the 10-Q.</t>
      </text>
    </comment>
    <comment authorId="0" ref="L24">
      <text>
        <t xml:space="preserve">======
ID#AAAAGYAy0HY
BIWS    (2020-02-12 11:07:40)
From 10-K. Assuming payments into the plan are tax-deductible.</t>
      </text>
    </comment>
    <comment authorId="0" ref="Q21">
      <text>
        <t xml:space="preserve">======
ID#AAAAGYAy0Hk
BIWS    (2020-02-12 11:07:40)
No information on fair market value.</t>
      </text>
    </comment>
    <comment authorId="0" ref="G20">
      <text>
        <t xml:space="preserve">======
ID#AAAAGYAy0Lo
BIWS    (2020-02-12 11:07:40)
Reduced proportionally by Valuation Allowance netted against Gross DTA.</t>
      </text>
    </comment>
    <comment authorId="0" ref="AU14">
      <text>
        <t xml:space="preserve">======
ID#AAAAGYAy0IM
BIWS    (2020-02-12 11:07:40)
Based on average rate in 2014 and 2015; last two "normal" years with positive pre-tax income.</t>
      </text>
    </comment>
    <comment authorId="0" ref="BB49">
      <text>
        <t xml:space="preserve">======
ID#AAAAGYAy0MQ
BIWS    (2020-02-12 11:07:40)
Per the 10-Q.</t>
      </text>
    </comment>
    <comment authorId="0" ref="AP18">
      <text>
        <t xml:space="preserve">======
ID#AAAAGYAy0Ho
BIWS    (2020-02-12 11:07:40)
Both included in "Other Assets."</t>
      </text>
    </comment>
    <comment authorId="0" ref="AA21">
      <text>
        <t xml:space="preserve">======
ID#AAAAGYAy0Ls
BIWS    (2020-02-12 11:07:40)
Convertible bond, so we use the fair market value of Debt if there's no conversion, or set it to 0 if diluted shares get created.</t>
      </text>
    </comment>
    <comment authorId="0" ref="AY10">
      <text>
        <t xml:space="preserve">======
ID#AAAAGYAy0J0
BIWS    (2020-02-12 11:07:40)
Change in contingent consideration value + write-downs + restructuring + retention payment costs.</t>
      </text>
    </comment>
    <comment authorId="0" ref="AI38">
      <text>
        <t xml:space="preserve">======
ID#AAAAGYAy0IQ
BIWS    (2020-02-12 11:07:40)
From the 10-Q.</t>
      </text>
    </comment>
    <comment authorId="0" ref="AP21">
      <text>
        <t xml:space="preserve">======
ID#AAAAGYAy0Hc
BIWS    (2020-02-12 11:07:40)
Estimated fair market value in 10-Q.</t>
      </text>
    </comment>
    <comment authorId="0" ref="BE14">
      <text>
        <t xml:space="preserve">======
ID#AAAAGYAy0Lg
BIWS    (2020-02-12 11:07:40)
Based on figure used in forecasts.</t>
      </text>
    </comment>
    <comment authorId="0" ref="Q24">
      <text>
        <t xml:space="preserve">======
ID#AAAAGYAy0MI
BIWS    (2020-02-12 11:07:40)
From 10-K. Assuming payments into the plan are tax-deductible.</t>
      </text>
    </comment>
    <comment authorId="0" ref="AO38">
      <text>
        <t xml:space="preserve">======
ID#AAAAGYAy0Hg
BIWS    (2020-02-12 11:07:40)
From 10-K.</t>
      </text>
    </comment>
    <comment authorId="0" ref="AN38">
      <text>
        <t xml:space="preserve">======
ID#AAAAGYAy0Lk
BIWS    (2020-02-12 11:07:40)
From 10-K. No information in the 10-Q.</t>
      </text>
    </comment>
    <comment authorId="0" ref="AW49">
      <text>
        <t xml:space="preserve">======
ID#AAAAGYAy0II
BIWS    (2020-02-12 11:07:40)
Disclosed in the 10-K and the 10-Q.</t>
      </text>
    </comment>
    <comment authorId="0" ref="AF14">
      <text>
        <t xml:space="preserve">======
ID#AAAAGYAy0MM
BIWS    (2020-02-12 11:07:40)
Based on projected Net Income / Pre-Tax Income.</t>
      </text>
    </comment>
    <comment authorId="0" ref="AE10">
      <text>
        <t xml:space="preserve">======
ID#AAAAGYAy0Hs
BIWS    (2020-02-12 11:07:40)
Biogen shutdown costs.</t>
      </text>
    </comment>
    <comment authorId="0" ref="AZ14">
      <text>
        <t xml:space="preserve">======
ID#AAAAGYAy0Lw
BIWS    (2020-02-12 11:07:40)
Based on historical average of last 3 years' effective tax rates in 10-K.</t>
      </text>
    </comment>
    <comment authorId="0" ref="V21">
      <text>
        <t xml:space="preserve">======
ID#AAAAGYAy0J4
BIWS    (2020-02-12 11:07:40)
Technically, the company has a convertible bond, but the principal is very low, so we are simplifying and counting it as normal Debt here. Using the fair market value per the 10-Q.</t>
      </text>
    </comment>
    <comment authorId="0" ref="AU20">
      <text>
        <t xml:space="preserve">======
ID#AAAAGYAy0IU
BIWS    (2020-02-12 11:07:40)
The company has NOLs, but only $4.4 of DTAs as of this quarter - so small now that they're not worth including.</t>
      </text>
    </comment>
    <comment authorId="0" ref="V20">
      <text>
        <t xml:space="preserve">======
ID#AAAAGYAy0Hw
BIWS    (2020-02-12 11:07:40)
Reduced proportionally by Valuation Allowance netted against Gross DTA.</t>
      </text>
    </comment>
    <comment authorId="0" ref="AK21">
      <text>
        <t xml:space="preserve">======
ID#AAAAGYAy0IY
BIWS    (2020-02-12 11:07:40)
$400 million of convertible bonds count as Debt only if  they cannot convert into equity. Based on fair market value of Debt excluding deferred financing fees.</t>
      </text>
    </comment>
    <comment authorId="0" ref="AT10">
      <text>
        <t xml:space="preserve">======
ID#AAAAGYAy0JM
BIWS    (2020-02-12 11:07:40)
Change in value of contingent consideration + 17.6 of merger costs.</t>
      </text>
    </comment>
    <comment authorId="0" ref="Z53">
      <text>
        <t xml:space="preserve">======
ID#AAAAGYAy0Ik
BIWS    (2020-02-12 11:07:40)
Per the 10-K.</t>
      </text>
    </comment>
    <comment authorId="0" ref="AI11">
      <text>
        <t xml:space="preserve">======
ID#AAAAGYAy0K0
BIWS    (2020-02-12 11:07:40)
Subtracting out amortization of debt discount and deferred financing costs.</t>
      </text>
    </comment>
    <comment authorId="0" ref="AA14">
      <text>
        <t xml:space="preserve">======
ID#AAAAGYAy0JQ
BIWS    (2020-02-12 11:07:40)
Based on most recent annual financial statements. Other years had negative Pre-Tax Income, so not a great proxy.</t>
      </text>
    </comment>
    <comment authorId="0" ref="L21">
      <text>
        <t xml:space="preserve">======
ID#AAAAGYAy0Io
BIWS    (2020-02-12 11:07:40)
Fair value of Debt approximates book value according to 10-Q.</t>
      </text>
    </comment>
    <comment authorId="0" ref="AJ49">
      <text>
        <t xml:space="preserve">======
ID#AAAAGYAy0K4
BIWS    (2020-02-12 11:07:40)
Per the 10-Q.</t>
      </text>
    </comment>
    <comment authorId="0" ref="J38">
      <text>
        <t xml:space="preserve">======
ID#AAAAGYAy0JE
BIWS    (2020-02-12 11:07:40)
From 10-K due to lack of information in 10-Q.</t>
      </text>
    </comment>
    <comment authorId="0" ref="AP20">
      <text>
        <t xml:space="preserve">======
ID#AAAAGYAy0Ic
BIWS    (2020-02-12 11:07:40)
Reduced proportionally by Valuation Allowance netted against Gross DTA.</t>
      </text>
    </comment>
    <comment authorId="0" ref="Q14">
      <text>
        <t xml:space="preserve">======
ID#AAAAGYAy0JI
BIWS    (2020-02-12 11:07:40)
Average of past 3 years of effective tax rates.</t>
      </text>
    </comment>
    <comment authorId="0" ref="AU21">
      <text>
        <t xml:space="preserve">======
ID#AAAAGYAy0Ig
BIWS    (2020-02-12 11:07:40)
Fair values approximate book values except for Convertible Notes; 294.8 quoted as fair value in 10-Q. Only count as Debt if they're not convertible.</t>
      </text>
    </comment>
    <comment authorId="0" ref="AH49">
      <text>
        <t xml:space="preserve">======
ID#AAAAGYAy0KA
BIWS    (2020-02-12 11:07:40)
Per the 10-Q.</t>
      </text>
    </comment>
    <comment authorId="0" ref="AE53">
      <text>
        <t xml:space="preserve">======
ID#AAAAGYAy0Jc
BIWS    (2020-02-12 11:07:40)
Going off the stated 0.2 impact in the 10-Q.</t>
      </text>
    </comment>
    <comment authorId="0" ref="AS10">
      <text>
        <t xml:space="preserve">======
ID#AAAAGYAy0JU
BIWS    (2020-02-12 11:07:40)
Change in contingent consideration value + restructuring + 0.6 acquisition costs.</t>
      </text>
    </comment>
    <comment authorId="0" ref="AT53">
      <text>
        <t xml:space="preserve">======
ID#AAAAGYAy0Is
BIWS    (2020-02-12 11:07:40)
Per the 10-Q.</t>
      </text>
    </comment>
    <comment authorId="0" ref="BE18">
      <text>
        <t xml:space="preserve">======
ID#AAAAGYAy0K8
BIWS    (2020-02-12 11:07:40)
Arrivo Bioventures investment disclosed in 10-K. Only the first $5 out of $25 million has been invested.</t>
      </text>
    </comment>
    <comment authorId="0" ref="AP14">
      <text>
        <t xml:space="preserve">======
ID#AAAAGYAy0JY
BIWS    (2020-02-12 11:07:40)
Based on most recent annual report; nothing else to go on, and historically, the company has never paid anything close to a normal tax rate.</t>
      </text>
    </comment>
    <comment authorId="0" ref="G14">
      <text>
        <t xml:space="preserve">======
ID#AAAAGYAy0Iw
BIWS    (2020-02-12 11:07:40)
Based on most recent annual financial statements. Huge losses, so tough to determine.</t>
      </text>
    </comment>
  </commentList>
  <extLst>
    <ext uri="GoogleSheetsCustomDataVersion1">
      <go:sheetsCustomData xmlns:go="http://customooxmlschemas.google.com/" r:id="rId1" roundtripDataSignature="AMtx7mhgKtwZ8xKSCGMB2Vl/lN+p0ZVkqQ=="/>
    </ext>
  </extLst>
</comments>
</file>

<file path=xl/sharedStrings.xml><?xml version="1.0" encoding="utf-8"?>
<sst xmlns="http://schemas.openxmlformats.org/spreadsheetml/2006/main" count="768" uniqueCount="321">
  <si>
    <t>($ in Millions Except Per Share and Per Unit Data)</t>
  </si>
  <si>
    <t>Assumptions:</t>
  </si>
  <si>
    <t>Discount Rate Calculations - Assumptions:</t>
  </si>
  <si>
    <t>Company Name:</t>
  </si>
  <si>
    <t>Activision Blizzard</t>
  </si>
  <si>
    <t>Last Fiscal Year:</t>
  </si>
  <si>
    <t>Ticker:</t>
  </si>
  <si>
    <t>ATVI</t>
  </si>
  <si>
    <t>Next Fiscal Year:</t>
  </si>
  <si>
    <t>Units (for Conversions):</t>
  </si>
  <si>
    <t>Most Recent Quarter End Date:</t>
  </si>
  <si>
    <t>Current Valuation Date:</t>
  </si>
  <si>
    <t>Current Share Price:</t>
  </si>
  <si>
    <t>Effective Tax Rate:</t>
  </si>
  <si>
    <t>Selected Scenario:</t>
  </si>
  <si>
    <t>Base</t>
  </si>
  <si>
    <t>Risk-Free Rate:</t>
  </si>
  <si>
    <t>Equity Risk Premium:</t>
  </si>
  <si>
    <t>Pre-Tax Cost of Debt:</t>
  </si>
  <si>
    <t>Cost of Preferred Stock:</t>
  </si>
  <si>
    <t>Comparable Companies - Unlevered Beta Calculation:</t>
  </si>
  <si>
    <t>Levered</t>
  </si>
  <si>
    <t>Preferred</t>
  </si>
  <si>
    <t>Equity</t>
  </si>
  <si>
    <t>Unlevered</t>
  </si>
  <si>
    <t>Name</t>
  </si>
  <si>
    <t>Ticker</t>
  </si>
  <si>
    <t>Beta</t>
  </si>
  <si>
    <t>Debt</t>
  </si>
  <si>
    <t>% Debt</t>
  </si>
  <si>
    <t>Stock</t>
  </si>
  <si>
    <t>% Preferred</t>
  </si>
  <si>
    <t>Value</t>
  </si>
  <si>
    <t>% Equity</t>
  </si>
  <si>
    <t>Tax Rate</t>
  </si>
  <si>
    <t>UBI</t>
  </si>
  <si>
    <t>Revenue Assumptions:</t>
  </si>
  <si>
    <t>Units:</t>
  </si>
  <si>
    <t>EA</t>
  </si>
  <si>
    <t xml:space="preserve">Activision America </t>
  </si>
  <si>
    <t>TTWO</t>
  </si>
  <si>
    <t>Min</t>
  </si>
  <si>
    <t>25th</t>
  </si>
  <si>
    <t>Median</t>
  </si>
  <si>
    <t>75th</t>
  </si>
  <si>
    <t>Max</t>
  </si>
  <si>
    <t>Min Point</t>
  </si>
  <si>
    <t>25th Point</t>
  </si>
  <si>
    <t>Median Point</t>
  </si>
  <si>
    <t>75th Point</t>
  </si>
  <si>
    <t>Max Point</t>
  </si>
  <si>
    <t xml:space="preserve">MAU </t>
  </si>
  <si>
    <t>$ as Stated</t>
  </si>
  <si>
    <t>CDR</t>
  </si>
  <si>
    <t>NCBDF</t>
  </si>
  <si>
    <t>3659.T</t>
  </si>
  <si>
    <t>Median:</t>
  </si>
  <si>
    <t>Upside</t>
  </si>
  <si>
    <t>Downside</t>
  </si>
  <si>
    <t>ARPU</t>
  </si>
  <si>
    <t>Current Capital Structure:</t>
  </si>
  <si>
    <t>"Optimal" Capital Structure:</t>
  </si>
  <si>
    <t>Activision America Revenue</t>
  </si>
  <si>
    <t>$ M</t>
  </si>
  <si>
    <t>Annual Growth Rate:</t>
  </si>
  <si>
    <t>Cost of Equity Based on Comparables, Current Capital Structure:</t>
  </si>
  <si>
    <t>%</t>
  </si>
  <si>
    <t>Cost of Equity Based on Comparables, "Optimal" Capital Structure:</t>
  </si>
  <si>
    <t>Activision Asia</t>
  </si>
  <si>
    <t>Cost of Equity Based on Historical Beta:</t>
  </si>
  <si>
    <t>WACC = Cost of Equity * % Equity + Cost of Debt * % Debt * (1 - Tax Rate) + Cost of Preferred Stock * % Preferred Stock</t>
  </si>
  <si>
    <t>WACC, Current Capital Structure:</t>
  </si>
  <si>
    <t>WACC, Current Capital Structure and Historical Cost of Equity:</t>
  </si>
  <si>
    <t>WACC, "Optimal" Capital Structure:</t>
  </si>
  <si>
    <t>Average WACC Produced by All Methods:</t>
  </si>
  <si>
    <t>Activision Asia Revenue</t>
  </si>
  <si>
    <t>Activision EMEA</t>
  </si>
  <si>
    <t>Activision EMEA Revenue</t>
  </si>
  <si>
    <t>Blizzard</t>
  </si>
  <si>
    <t>Revenue</t>
  </si>
  <si>
    <t>Range of Valuation Multiples / Premiums</t>
  </si>
  <si>
    <t>Implied Per-Share Value Range</t>
  </si>
  <si>
    <t>Applicable</t>
  </si>
  <si>
    <t>Maximum</t>
  </si>
  <si>
    <t>Percentile</t>
  </si>
  <si>
    <t>Minimum</t>
  </si>
  <si>
    <t>Company</t>
  </si>
  <si>
    <t>Methodology Name</t>
  </si>
  <si>
    <t>Multiple</t>
  </si>
  <si>
    <t>Figure</t>
  </si>
  <si>
    <t>Blizzard Total Revenue</t>
  </si>
  <si>
    <t>Public Company Comparables:</t>
  </si>
  <si>
    <t>KING Revenue</t>
  </si>
  <si>
    <t>Discounted Cash Flow Analysis:</t>
  </si>
  <si>
    <t>Implied Equity Value Calculations:</t>
  </si>
  <si>
    <t>Implied Enterprise Value or Equity Value at a Range of Multiples:</t>
  </si>
  <si>
    <t>Implied Enterprise Value:</t>
  </si>
  <si>
    <r>
      <t xml:space="preserve">Comparable Companies - Specialty Pharmaceutical Companies (U.S. and Canada-Based) That Sell Primarily </t>
    </r>
    <r>
      <rPr>
        <rFont val="Calibri"/>
        <b/>
        <i/>
        <color theme="1"/>
        <sz val="14.0"/>
      </rPr>
      <t>Branded</t>
    </r>
    <r>
      <rPr>
        <rFont val="Calibri"/>
        <b/>
        <color theme="1"/>
        <sz val="14.0"/>
      </rPr>
      <t xml:space="preserve"> Drugs, with LTM Revenue Between $500 Million and $5 Billion</t>
    </r>
  </si>
  <si>
    <t>Enterprise Value --&gt;</t>
  </si>
  <si>
    <t>King Revenue</t>
  </si>
  <si>
    <t>(+) Cash &amp; Cash-Equivalents:</t>
  </si>
  <si>
    <t>(+) Equity Investments:</t>
  </si>
  <si>
    <t>(+) Other Non-Core Assets, Net:</t>
  </si>
  <si>
    <t>Operating Statistics</t>
  </si>
  <si>
    <t>Capitalization</t>
  </si>
  <si>
    <t>(+) Net Operating Losses:</t>
  </si>
  <si>
    <t>Projected</t>
  </si>
  <si>
    <t>Share</t>
  </si>
  <si>
    <t>Enterprise</t>
  </si>
  <si>
    <t>(-) Debt &amp; Capital Leases</t>
  </si>
  <si>
    <t>EBITDA</t>
  </si>
  <si>
    <t>Reported Net Income</t>
  </si>
  <si>
    <t>EBITDA Margin</t>
  </si>
  <si>
    <t>Company Name</t>
  </si>
  <si>
    <t>Price</t>
  </si>
  <si>
    <t>(-) Preferred Stock:</t>
  </si>
  <si>
    <t>Equity Value --&gt;</t>
  </si>
  <si>
    <t>Expense and Cash Flow Assumptions:</t>
  </si>
  <si>
    <t>(-) Noncontrolling Interests:</t>
  </si>
  <si>
    <t>(-) Unfunded Pension Obligations:</t>
  </si>
  <si>
    <t>Growth</t>
  </si>
  <si>
    <t>(-) Restructuring &amp; Other Liabilities:</t>
  </si>
  <si>
    <t>Implied Equity Value:</t>
  </si>
  <si>
    <t>Changes in operating assets and liabilities:</t>
  </si>
  <si>
    <t>Accounts receivable, net</t>
  </si>
  <si>
    <t>Diluted Shares Outstanding:</t>
  </si>
  <si>
    <t>%rev.</t>
  </si>
  <si>
    <t>Implied Share Price from Selected Valuation Multiple:</t>
  </si>
  <si>
    <t>Inventories, net</t>
  </si>
  <si>
    <t># Employees</t>
  </si>
  <si>
    <t>Premium / (Discount) to Current:</t>
  </si>
  <si>
    <t>Software development and intellectual property licenses</t>
  </si>
  <si>
    <t>Exercise</t>
  </si>
  <si>
    <t>Other assets</t>
  </si>
  <si>
    <t>Type:</t>
  </si>
  <si>
    <t>Number:</t>
  </si>
  <si>
    <t>Price:</t>
  </si>
  <si>
    <t>Options A:</t>
  </si>
  <si>
    <t>Deferred revenues</t>
  </si>
  <si>
    <t>Convertible Bonds:</t>
  </si>
  <si>
    <t>Accounts payable</t>
  </si>
  <si>
    <t>RSUs:</t>
  </si>
  <si>
    <t>% opex.</t>
  </si>
  <si>
    <t>Total:</t>
  </si>
  <si>
    <t>Accrued expenses and other liabilities</t>
  </si>
  <si>
    <t>Capital expenditures</t>
  </si>
  <si>
    <t>%rev</t>
  </si>
  <si>
    <t>Depreciation</t>
  </si>
  <si>
    <t>Amortization and write-off of capitalized 
software development costs and 
intellectual property licenses (1)</t>
  </si>
  <si>
    <t>costs and expenses</t>
  </si>
  <si>
    <t>COGS</t>
  </si>
  <si>
    <t>Product Costs</t>
  </si>
  <si>
    <t>Software royalties, amortization, and intellectual property licenses</t>
  </si>
  <si>
    <t>Game operations and distribution costs</t>
  </si>
  <si>
    <t>R&amp;D Expenses (%Rev)</t>
  </si>
  <si>
    <t>75th Percentile</t>
  </si>
  <si>
    <t>SG&amp;A Expenses (%Rev)</t>
  </si>
  <si>
    <t>Restructuring Expenses (%Rev)</t>
  </si>
  <si>
    <t>25th Percentile</t>
  </si>
  <si>
    <t>Discounted Cash Flow (DCF) Analysis - Assumptions and Output:</t>
  </si>
  <si>
    <t>Average Discount Rate (WACC):</t>
  </si>
  <si>
    <t>Terminal Value - Multiples Method:</t>
  </si>
  <si>
    <t>Terminal Value - Perpetuity Growth Method:</t>
  </si>
  <si>
    <t>EBITDA multiple</t>
  </si>
  <si>
    <t>Terminal FCF growth Rate</t>
  </si>
  <si>
    <t>Baseline Terminal EBITDA Multiple:</t>
  </si>
  <si>
    <t>Baseline Terminal FCF Growth Rate:</t>
  </si>
  <si>
    <t>Valuation Statistics</t>
  </si>
  <si>
    <t xml:space="preserve">Enterprise Value / </t>
  </si>
  <si>
    <t>Baseline Terminal Value:</t>
  </si>
  <si>
    <t>P / E Multiple</t>
  </si>
  <si>
    <t>(+) PV of Terminal Value:</t>
  </si>
  <si>
    <t>(+) Sum of PV of Free Cash Flows:</t>
  </si>
  <si>
    <t>% of Implied EV from Terminal Value:</t>
  </si>
  <si>
    <t>(-) Total Debt &amp; Capital Leases:</t>
  </si>
  <si>
    <t>Implied Share Price from DCF:</t>
  </si>
  <si>
    <t>Normalized</t>
  </si>
  <si>
    <t>Unlevered Free Cash Flow Projections:</t>
  </si>
  <si>
    <t>Revenue:</t>
  </si>
  <si>
    <t>Activision Revenue</t>
  </si>
  <si>
    <t>Blizzard Revenue</t>
  </si>
  <si>
    <t>Total Revenue:</t>
  </si>
  <si>
    <t>Revenue Growth:</t>
  </si>
  <si>
    <t>Cost of Product Sales:</t>
  </si>
  <si>
    <t>Gross Profit:</t>
  </si>
  <si>
    <t>Gross Margin:</t>
  </si>
  <si>
    <t>Operating Expenses:</t>
  </si>
  <si>
    <t>(+) Selling, General, and Administrative:</t>
  </si>
  <si>
    <t>(+) Research and Development:</t>
  </si>
  <si>
    <t>Total Operating Expenses:</t>
  </si>
  <si>
    <t>Operating Income (EBIT):</t>
  </si>
  <si>
    <t>Operating (EBIT) Margin:</t>
  </si>
  <si>
    <t>(-) Taxes, Excluding Effect of Interest:</t>
  </si>
  <si>
    <t>Net Operating Profit After Tax (NOPAT):</t>
  </si>
  <si>
    <t>Adjustments for Non-Cash Charges:</t>
  </si>
  <si>
    <t>(+) Depreciation:</t>
  </si>
  <si>
    <t>(+) Amortization and write-off of capitalized:</t>
  </si>
  <si>
    <t>Total Adjustments for Non-Cash Charges:</t>
  </si>
  <si>
    <t>Changes in Operating Assets &amp; Liabilities:</t>
  </si>
  <si>
    <t>Accounts Receivable:</t>
  </si>
  <si>
    <t>Inventories:</t>
  </si>
  <si>
    <t>Ubisoft</t>
  </si>
  <si>
    <t>Electronic Arts</t>
  </si>
  <si>
    <t>Take Two Initiative</t>
  </si>
  <si>
    <t>Netmarble Games (BILL KRW)</t>
  </si>
  <si>
    <t>Square Enix Co. (MILL JPY)</t>
  </si>
  <si>
    <t>Nintendo (MILL JPY)</t>
  </si>
  <si>
    <t>CD Projekt (MILL PLN)</t>
  </si>
  <si>
    <t>Bandai Namco (BILL JPY)</t>
  </si>
  <si>
    <t>Nexon (BILL JPY)</t>
  </si>
  <si>
    <t>NCsoft Corp. (KRW)</t>
  </si>
  <si>
    <t>Other Long-Term Assets:</t>
  </si>
  <si>
    <t>Calendarization:</t>
  </si>
  <si>
    <t>Accounts Payable:</t>
  </si>
  <si>
    <t>Accrued Liabilities:</t>
  </si>
  <si>
    <t>Deferred Revenue:</t>
  </si>
  <si>
    <t>Total Changes in Operating Assets &amp; Liabilities:</t>
  </si>
  <si>
    <t>Old Partial</t>
  </si>
  <si>
    <t>New Partial</t>
  </si>
  <si>
    <t>FY</t>
  </si>
  <si>
    <t>LTM</t>
  </si>
  <si>
    <t>% Change in Revenue:</t>
  </si>
  <si>
    <t>(-) Capital Expenditures:</t>
  </si>
  <si>
    <t>% Revenue:</t>
  </si>
  <si>
    <t>Reported Net Income:</t>
  </si>
  <si>
    <t>Annual Unlevered Free Cash Flow:</t>
  </si>
  <si>
    <t>Unlevered Free Cash Flow for Remainder:</t>
  </si>
  <si>
    <t>Present Value of Free Cash Flow:</t>
  </si>
  <si>
    <t>Discount Rate (WACC):</t>
  </si>
  <si>
    <t>(+) Non-Recurring Items in EBIT:</t>
  </si>
  <si>
    <t>Cumulative Discount Factor - Normal:</t>
  </si>
  <si>
    <t>#</t>
  </si>
  <si>
    <t>Normal Discount Period:</t>
  </si>
  <si>
    <t>(+) Depreciation &amp; Amortization:</t>
  </si>
  <si>
    <t>Annual Free Cash Flow Growth Rate:</t>
  </si>
  <si>
    <t>EBITDA:</t>
  </si>
  <si>
    <t>Annual EBITDA:</t>
  </si>
  <si>
    <t>Annual EBITDA Growth Rate:</t>
  </si>
  <si>
    <t>Annual Net Income:</t>
  </si>
  <si>
    <t>Annual Net Income Growth Rate:</t>
  </si>
  <si>
    <t>Sensitivity Tables:</t>
  </si>
  <si>
    <t>Balance Sheet Data:</t>
  </si>
  <si>
    <t>Sensitivity - Terminal FCF Growth Rate vs. Discount Rate and Implied Share Price from DCF Analysis:</t>
  </si>
  <si>
    <t>Terminal FCF Growth Rate:</t>
  </si>
  <si>
    <t>(-) Cash &amp; Cash-Equivalents:</t>
  </si>
  <si>
    <t>Initial Discount Rate (WACC) (Steps down by 0.25% per year over 10 years):</t>
  </si>
  <si>
    <t>(-) Equity Investments:</t>
  </si>
  <si>
    <t>(-) Other Non-Core Assets, Net:</t>
  </si>
  <si>
    <t>(-) Net Operating Losses:</t>
  </si>
  <si>
    <t>Sensitivity - Terminal EBITDA Multiple vs. Discount Rate and Implied Share Price from DCF Analysis:</t>
  </si>
  <si>
    <t>Terminal EBITDA Multiple:</t>
  </si>
  <si>
    <t>(+) Debt &amp; Capital Leases</t>
  </si>
  <si>
    <t>(+) Preferred Stock:</t>
  </si>
  <si>
    <t>(+) Noncontrolling Interests:</t>
  </si>
  <si>
    <t>Cell Inputs and Lookup Cells for Use in Public Comps:</t>
  </si>
  <si>
    <t>Labels for Comparables:</t>
  </si>
  <si>
    <t>(+) Unfunded Pension Obligations:</t>
  </si>
  <si>
    <t>Last Twelve Months</t>
  </si>
  <si>
    <t>Forward Year 1</t>
  </si>
  <si>
    <t>Forward Year 2</t>
  </si>
  <si>
    <t>(+) Restructuring &amp; Other Liabilities:</t>
  </si>
  <si>
    <t>Forward Year 3</t>
  </si>
  <si>
    <t>Lookup Cells for Public Company Comparables:</t>
  </si>
  <si>
    <t>Share Price</t>
  </si>
  <si>
    <t>Equity Value</t>
  </si>
  <si>
    <t>Enterprise Value</t>
  </si>
  <si>
    <t>LTM Revenue</t>
  </si>
  <si>
    <t>Forward Year 1 Revenue</t>
  </si>
  <si>
    <t>Forward Year 2 Revenue</t>
  </si>
  <si>
    <t>Projected Financials:</t>
  </si>
  <si>
    <t>LTM EBITDA</t>
  </si>
  <si>
    <t>Forward Year 1 EBITDA</t>
  </si>
  <si>
    <t>Forward Year 2 EBITDA</t>
  </si>
  <si>
    <t>LTM Net Income</t>
  </si>
  <si>
    <t>Forward Year 1 Net Income</t>
  </si>
  <si>
    <t>Forward Year 2 Net Income</t>
  </si>
  <si>
    <t>LTM Revenue Multiple</t>
  </si>
  <si>
    <t>Forward Year 1 Revenue Multiple</t>
  </si>
  <si>
    <t>Forward Year 2 Revenue Multiple</t>
  </si>
  <si>
    <t>LTM EBITDA Multiple</t>
  </si>
  <si>
    <t>Forward Year 1 EBITDA Multiple</t>
  </si>
  <si>
    <t>Forward Year 2 EBITDA Multiple</t>
  </si>
  <si>
    <t>LTM P/E Multiple</t>
  </si>
  <si>
    <t>Forward Year 1 P/E Multiple</t>
  </si>
  <si>
    <t>Forward Year 2 P/E Multiple</t>
  </si>
  <si>
    <t>Levered Beta</t>
  </si>
  <si>
    <t>Preferred Stock</t>
  </si>
  <si>
    <t>Diluted Shares Calculations:</t>
  </si>
  <si>
    <t>Share Price as of the Valuation Date:</t>
  </si>
  <si>
    <t>Common Shares Outstanding:</t>
  </si>
  <si>
    <t>Options and Warrants:</t>
  </si>
  <si>
    <t>Total</t>
  </si>
  <si>
    <t>Strike</t>
  </si>
  <si>
    <t>Dilution</t>
  </si>
  <si>
    <t>$ Amount</t>
  </si>
  <si>
    <t>Par Value</t>
  </si>
  <si>
    <t>Conv. Price</t>
  </si>
  <si>
    <t># RSUs</t>
  </si>
  <si>
    <t>Restricted Stock Units (RSUs):</t>
  </si>
  <si>
    <t>Total Diluted Shares:</t>
  </si>
  <si>
    <t>Valuation Metrics:</t>
  </si>
  <si>
    <t>Equity Value:</t>
  </si>
  <si>
    <t>Enterprise Value:</t>
  </si>
  <si>
    <t>Beta:</t>
  </si>
  <si>
    <t>Valuation Multiples:</t>
  </si>
  <si>
    <t>EV / Revenue:</t>
  </si>
  <si>
    <t>EV / EBITDA:</t>
  </si>
  <si>
    <t>P / E:</t>
  </si>
  <si>
    <t>Lookup Variables:</t>
  </si>
  <si>
    <t>Corporate Website:</t>
  </si>
  <si>
    <t>http://investors.vrtx.com/</t>
  </si>
  <si>
    <t>http://ir.alexionpharm.com/</t>
  </si>
  <si>
    <t>http://ir.unither.com/</t>
  </si>
  <si>
    <t>http://www.incyte.com/ir/investor-overview.aspx</t>
  </si>
  <si>
    <t>http://investors.biomarin.com/</t>
  </si>
  <si>
    <t>https://www.bioverativ.com/newsroom/investor-relations.aspx</t>
  </si>
  <si>
    <t>http://ir.horizon-pharma.com/</t>
  </si>
  <si>
    <t>http://phx.corporate-ir.net/phoenix.zhtml?c=92211&amp;p=irol-irhome</t>
  </si>
  <si>
    <t>http://ir.acorda.com/investors/default.aspx</t>
  </si>
  <si>
    <t>http://investors.emergentbiosolutions.com/phoenix.zhtml?c=202582&amp;p=irol-IRHome</t>
  </si>
  <si>
    <t>http://investor.jazzpharma.com/phoenix.zhtml?c=210227&amp;p=irol-irhome</t>
  </si>
</sst>
</file>

<file path=xl/styles.xml><?xml version="1.0" encoding="utf-8"?>
<styleSheet xmlns="http://schemas.openxmlformats.org/spreadsheetml/2006/main" xmlns:x14ac="http://schemas.microsoft.com/office/spreadsheetml/2009/9/ac" xmlns:mc="http://schemas.openxmlformats.org/markup-compatibility/2006">
  <numFmts count="39">
    <numFmt numFmtId="164" formatCode="_(* #,##0.0_);_(* \(#,##0.0\);_(* &quot;-&quot;?_);_(@_)"/>
    <numFmt numFmtId="165" formatCode="yyyy\-mm\-dd"/>
    <numFmt numFmtId="166" formatCode="0.00%;\(0.00%\)"/>
    <numFmt numFmtId="167" formatCode="0.0\ \x"/>
    <numFmt numFmtId="168" formatCode="_(&quot;$&quot;* #,##0.00_);_(&quot;$&quot;* \(#,##0.00\);_(&quot;$&quot;* &quot;-&quot;??_);_(@_)"/>
    <numFmt numFmtId="169" formatCode="0.0%;\(0.0%\)"/>
    <numFmt numFmtId="170" formatCode="_(&quot;$&quot;* #,##0_);_(&quot;$&quot;* \(#,##0\);_(&quot;$&quot;* &quot;-&quot;_);_(@_)"/>
    <numFmt numFmtId="171" formatCode="#,##0_);\(#,##0\);\-_);@_)"/>
    <numFmt numFmtId="172" formatCode="_(0.00%_);\(0.00%\);_(&quot;–&quot;_)_%;_(@_)_%"/>
    <numFmt numFmtId="173" formatCode="_(#,##0.00_)_%;\(#,##0.00\)_%;_(&quot;–&quot;_)_%;_(@_)_%"/>
    <numFmt numFmtId="174" formatCode="_(&quot;$&quot;* #,##0.0_);_(&quot;$&quot;* \(#,##0.0\);_(&quot;$&quot;* &quot;-&quot;?_);_(@_)"/>
    <numFmt numFmtId="175" formatCode="_(0.0%_);\(0.0%\);_(&quot;–&quot;_)_%;_(@_)_%"/>
    <numFmt numFmtId="176" formatCode="&quot;FY&quot;yy"/>
    <numFmt numFmtId="177" formatCode="_(#,##0.00_);\(#,##0.00\);_(&quot;–&quot;_);_(@_)"/>
    <numFmt numFmtId="178" formatCode="_(#,##0_);\(#,##0\);_(&quot;–&quot;_);_(@_)"/>
    <numFmt numFmtId="179" formatCode="_(* #,##0.00_);_(* \(#,##0.00\);_(* &quot;-&quot;??_);_(@_)"/>
    <numFmt numFmtId="180" formatCode="_(&quot;$&quot;* #,##0.00_);_(&quot;$&quot;* \(#,##0.00\);_(&quot;$&quot;* &quot;-&quot;?_);_(@_)"/>
    <numFmt numFmtId="181" formatCode="_(&quot;$&quot;* #,##0.00_);_(&quot;$&quot;* \(#,##0.00\);_(&quot;$&quot;* &quot;-&quot;_);_(@_)"/>
    <numFmt numFmtId="182" formatCode="_(* #,##0.00_);_(* \(#,##0.00\);_(* &quot;-&quot;_);_(@_)"/>
    <numFmt numFmtId="183" formatCode="_(&quot;$&quot;* #,##0.0_);_(&quot;$&quot;* \(#,##0.0\);_(&quot;$&quot;* &quot;-&quot;_);_(@_)"/>
    <numFmt numFmtId="184" formatCode="0.0%"/>
    <numFmt numFmtId="185" formatCode="_(* #,##0_);_(* \(#,##0\);_(* &quot;-&quot;_);_(@_)"/>
    <numFmt numFmtId="186" formatCode="0.0\ \x;[Red]\ 0.0\ \x"/>
    <numFmt numFmtId="187" formatCode="_(&quot;$&quot;* #,##0.000_);_(&quot;$&quot;* \(#,##0.000\);_(&quot;$&quot;* &quot;-&quot;_);_(@_)"/>
    <numFmt numFmtId="188" formatCode="_(&quot;$&quot;* #,##0_);_(&quot;$&quot;* \(#,##0\);_(&quot;$&quot;* &quot;-&quot;?_);_(@_)"/>
    <numFmt numFmtId="189" formatCode="_(0.0%_);\(0.0%\);_(&quot;–&quot;_);_(@_)"/>
    <numFmt numFmtId="190" formatCode="#,##0.000"/>
    <numFmt numFmtId="191" formatCode="_(0.0\ \x_);\(0.0\ \x\);_(&quot;–&quot;_);_(@_)"/>
    <numFmt numFmtId="192" formatCode="_(* #,##0.000_);_(* \(#,##0.000\);_(* &quot;-&quot;???_);_(@_)"/>
    <numFmt numFmtId="193" formatCode="_(* #,##0.0000000_);_(* \(#,##0.0000000\);_(* &quot;-&quot;?_);_(@_)"/>
    <numFmt numFmtId="194" formatCode="#,##0.0_);\(#,##0.0\);\-_);@_)"/>
    <numFmt numFmtId="195" formatCode="#,##0.000_);\(#,##0.000\);\-_);@_)"/>
    <numFmt numFmtId="196" formatCode="_(* #,##0.0_);_(* \(#,##0.0\);_(* &quot;-&quot;??_);_(@_)"/>
    <numFmt numFmtId="197" formatCode="_(&quot;$&quot;#,##0.00_)_%;\(&quot;$&quot;#,##0.00\)_%;_(&quot;–&quot;_)_%;_(@_)_%"/>
    <numFmt numFmtId="198" formatCode="_(#,##0.00%_);\(#,##0.00%\);_(&quot;–&quot;_)_%;_(@_)_%"/>
    <numFmt numFmtId="199" formatCode="0.000"/>
    <numFmt numFmtId="200" formatCode="&quot;$&quot;#,##0_);[Red]\(&quot;$&quot;#,##0\)"/>
    <numFmt numFmtId="201" formatCode="0.00%;\(0.00%\);\-_)_%;@_)_%"/>
    <numFmt numFmtId="202" formatCode="_-* #,##0.0\ _€_-;\-* #,##0.0\ _€_-;_-* &quot;-&quot;?\ _€_-;_-@"/>
  </numFmts>
  <fonts count="34">
    <font>
      <sz val="11.0"/>
      <color theme="1"/>
      <name val="Calibri"/>
    </font>
    <font>
      <sz val="12.0"/>
      <color theme="1"/>
      <name val="Calibri"/>
    </font>
    <font>
      <i/>
      <sz val="12.0"/>
      <color theme="1"/>
      <name val="Calibri"/>
    </font>
    <font>
      <b/>
      <sz val="14.0"/>
      <color theme="1"/>
      <name val="Calibri"/>
    </font>
    <font>
      <b/>
      <sz val="12.0"/>
      <color theme="1"/>
      <name val="Calibri"/>
    </font>
    <font>
      <b/>
      <sz val="12.0"/>
      <color rgb="FFFFFFFF"/>
      <name val="Calibri"/>
    </font>
    <font>
      <b/>
      <u/>
      <sz val="12.0"/>
      <color rgb="FFFFFFFF"/>
      <name val="Calibri"/>
    </font>
    <font>
      <sz val="12.0"/>
      <color rgb="FF0000FF"/>
      <name val="Calibri"/>
    </font>
    <font>
      <sz val="12.0"/>
      <color theme="0"/>
      <name val="Calibri"/>
    </font>
    <font>
      <i/>
      <sz val="12.0"/>
      <color theme="0"/>
      <name val="Calibri"/>
    </font>
    <font>
      <sz val="12.0"/>
      <color rgb="FFFFFFFF"/>
      <name val="Calibri"/>
    </font>
    <font>
      <sz val="12.0"/>
      <color rgb="FFFF0000"/>
      <name val="Calibri"/>
    </font>
    <font>
      <sz val="12.0"/>
      <color rgb="FF00B050"/>
      <name val="Calibri"/>
    </font>
    <font>
      <b/>
      <sz val="12.0"/>
      <color theme="0"/>
      <name val="Calibri"/>
    </font>
    <font/>
    <font>
      <b/>
      <i/>
      <sz val="12.0"/>
      <color theme="0"/>
      <name val="Calibri"/>
    </font>
    <font>
      <sz val="12.0"/>
      <color rgb="FF000000"/>
      <name val="Calibri"/>
    </font>
    <font>
      <i/>
      <sz val="12.0"/>
      <color rgb="FF000000"/>
      <name val="Calibri"/>
    </font>
    <font>
      <sz val="7.0"/>
      <color rgb="FF000000"/>
      <name val="Arial"/>
    </font>
    <font>
      <b/>
      <u/>
      <sz val="12.0"/>
      <color rgb="FFFFFFFF"/>
      <name val="Calibri"/>
    </font>
    <font>
      <b/>
      <u/>
      <sz val="12.0"/>
      <color rgb="FFFFFFFF"/>
      <name val="Calibri"/>
    </font>
    <font>
      <u/>
      <sz val="12.0"/>
      <color rgb="FFFFFFFF"/>
      <name val="Calibri"/>
    </font>
    <font>
      <b/>
      <i/>
      <sz val="12.0"/>
      <color theme="1"/>
      <name val="Calibri"/>
    </font>
    <font>
      <sz val="9.0"/>
      <color theme="1"/>
      <name val="Arial"/>
    </font>
    <font>
      <i/>
      <sz val="11.0"/>
      <color theme="1"/>
      <name val="Calibri"/>
    </font>
    <font>
      <b/>
      <sz val="12.0"/>
      <color rgb="FF000000"/>
      <name val="Calibri"/>
    </font>
    <font>
      <b/>
      <u/>
      <sz val="12.0"/>
      <color rgb="FFFFFFFF"/>
      <name val="Calibri"/>
    </font>
    <font>
      <u/>
      <sz val="12.0"/>
      <color rgb="FFFFFFFF"/>
      <name val="Calibri"/>
    </font>
    <font>
      <b/>
      <u/>
      <sz val="12.0"/>
      <color rgb="FFFFFFFF"/>
      <name val="Calibri"/>
    </font>
    <font>
      <u/>
      <sz val="12.0"/>
      <color rgb="FFFFFFFF"/>
      <name val="Calibri"/>
    </font>
    <font>
      <b/>
      <sz val="12.0"/>
      <color rgb="FF0000FF"/>
      <name val="Calibri"/>
    </font>
    <font>
      <sz val="12.0"/>
      <color theme="4"/>
      <name val="Calibri"/>
    </font>
    <font>
      <sz val="12.0"/>
      <color rgb="FF0070C0"/>
      <name val="Calibri"/>
    </font>
    <font>
      <u/>
      <sz val="12.0"/>
      <color theme="10"/>
      <name val="Calibri"/>
    </font>
  </fonts>
  <fills count="13">
    <fill>
      <patternFill patternType="none"/>
    </fill>
    <fill>
      <patternFill patternType="lightGray"/>
    </fill>
    <fill>
      <patternFill patternType="solid">
        <fgColor rgb="FF1F497D"/>
        <bgColor rgb="FF1F497D"/>
      </patternFill>
    </fill>
    <fill>
      <patternFill patternType="solid">
        <fgColor rgb="FFFFFF99"/>
        <bgColor rgb="FFFFFF99"/>
      </patternFill>
    </fill>
    <fill>
      <patternFill patternType="solid">
        <fgColor rgb="FFD9D9D9"/>
        <bgColor rgb="FFD9D9D9"/>
      </patternFill>
    </fill>
    <fill>
      <patternFill patternType="solid">
        <fgColor rgb="FF8DB3E2"/>
        <bgColor rgb="FF8DB3E2"/>
      </patternFill>
    </fill>
    <fill>
      <patternFill patternType="solid">
        <fgColor rgb="FF0070C0"/>
        <bgColor rgb="FF0070C0"/>
      </patternFill>
    </fill>
    <fill>
      <patternFill patternType="solid">
        <fgColor theme="0"/>
        <bgColor theme="0"/>
      </patternFill>
    </fill>
    <fill>
      <patternFill patternType="solid">
        <fgColor rgb="FFD8D8D8"/>
        <bgColor rgb="FFD8D8D8"/>
      </patternFill>
    </fill>
    <fill>
      <patternFill patternType="solid">
        <fgColor rgb="FFB8CCE4"/>
        <bgColor rgb="FFB8CCE4"/>
      </patternFill>
    </fill>
    <fill>
      <patternFill patternType="solid">
        <fgColor rgb="FF548DD4"/>
        <bgColor rgb="FF548DD4"/>
      </patternFill>
    </fill>
    <fill>
      <patternFill patternType="solid">
        <fgColor rgb="FF000000"/>
        <bgColor rgb="FF000000"/>
      </patternFill>
    </fill>
    <fill>
      <patternFill patternType="solid">
        <fgColor theme="4"/>
        <bgColor theme="4"/>
      </patternFill>
    </fill>
  </fills>
  <borders count="52">
    <border/>
    <border>
      <left/>
      <right/>
      <top/>
      <bottom style="thin">
        <color rgb="FF000000"/>
      </bottom>
    </border>
    <border>
      <left style="thin">
        <color rgb="FFB2B2B2"/>
      </left>
      <right style="thin">
        <color rgb="FFB2B2B2"/>
      </right>
      <top style="thin">
        <color rgb="FFB2B2B2"/>
      </top>
      <bottom style="thin">
        <color rgb="FFB2B2B2"/>
      </bottom>
    </border>
    <border>
      <left/>
      <right/>
      <top/>
      <bottom/>
    </border>
    <border>
      <left style="thin">
        <color rgb="FFBFBFBF"/>
      </left>
      <right style="thin">
        <color rgb="FFBFBFBF"/>
      </right>
      <top style="thin">
        <color rgb="FFBFBFBF"/>
      </top>
      <bottom style="thin">
        <color rgb="FFBFBFBF"/>
      </bottom>
    </border>
    <border>
      <left/>
      <top/>
      <bottom style="thin">
        <color theme="0"/>
      </bottom>
    </border>
    <border>
      <top/>
      <bottom style="thin">
        <color theme="0"/>
      </bottom>
    </border>
    <border>
      <right/>
      <top/>
      <bottom style="thin">
        <color theme="0"/>
      </bottom>
    </border>
    <border>
      <right style="thin">
        <color theme="0"/>
      </right>
      <top/>
      <bottom style="thin">
        <color theme="0"/>
      </bottom>
    </border>
    <border>
      <left style="dotted">
        <color rgb="FFFF0000"/>
      </left>
    </border>
    <border>
      <left/>
      <right style="thin">
        <color theme="0"/>
      </right>
      <top/>
      <bottom style="thin">
        <color rgb="FF000000"/>
      </bottom>
    </border>
    <border>
      <top style="thin">
        <color rgb="FF000000"/>
      </top>
    </border>
    <border>
      <left/>
      <right style="thin">
        <color rgb="FF000000"/>
      </right>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style="thin">
        <color rgb="FF000000"/>
      </top>
      <bottom/>
    </border>
    <border>
      <left/>
      <right/>
      <top style="thin">
        <color rgb="FF000000"/>
      </top>
      <bottom/>
    </border>
    <border>
      <left style="thin">
        <color rgb="FF000000"/>
      </left>
      <right/>
      <top/>
      <bottom/>
    </border>
    <border>
      <left style="thin">
        <color rgb="FF000000"/>
      </left>
      <right/>
      <top/>
      <bottom style="thin">
        <color rgb="FF000000"/>
      </bottom>
    </border>
    <border>
      <bottom style="thin">
        <color rgb="FF000000"/>
      </bottom>
    </border>
    <border>
      <left/>
      <right style="thin">
        <color rgb="FF000000"/>
      </right>
      <top style="thin">
        <color rgb="FF000000"/>
      </top>
      <bottom/>
    </border>
    <border>
      <left/>
      <right style="thin">
        <color rgb="FF000000"/>
      </right>
      <top/>
      <bottom/>
    </border>
    <border>
      <left/>
      <top/>
      <bottom/>
    </border>
    <border>
      <top/>
      <bottom/>
    </border>
    <border>
      <right/>
      <top/>
      <bottom/>
    </border>
    <border>
      <left/>
      <top/>
      <bottom style="thin">
        <color rgb="FF000000"/>
      </bottom>
    </border>
    <border>
      <top/>
      <bottom style="thin">
        <color rgb="FF000000"/>
      </bottom>
    </border>
    <border>
      <right/>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bottom style="thin">
        <color rgb="FFBFBFBF"/>
      </bottom>
    </border>
    <border>
      <left style="thin">
        <color rgb="FFD8D8D8"/>
      </left>
      <right style="thin">
        <color rgb="FFD8D8D8"/>
      </right>
      <top style="thin">
        <color rgb="FFD8D8D8"/>
      </top>
      <bottom style="thin">
        <color rgb="FFD8D8D8"/>
      </bottom>
    </border>
    <border>
      <left style="thin">
        <color theme="0"/>
      </left>
      <right/>
      <top/>
      <bottom style="thin">
        <color theme="0"/>
      </bottom>
    </border>
    <border>
      <left style="thin">
        <color theme="0"/>
      </left>
      <right/>
      <top/>
      <bottom style="thin">
        <color rgb="FF000000"/>
      </bottom>
    </border>
    <border>
      <top style="thin">
        <color theme="0"/>
      </top>
    </border>
    <border>
      <left style="thin">
        <color rgb="FF000000"/>
      </left>
      <top/>
      <bottom/>
    </border>
    <border>
      <right style="thin">
        <color rgb="FF000000"/>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bottom style="thin">
        <color rgb="FF000000"/>
      </bottom>
    </border>
    <border>
      <left/>
      <top style="thin">
        <color rgb="FF000000"/>
      </top>
      <bottom style="thin">
        <color rgb="FF000000"/>
      </bottom>
    </border>
    <border>
      <left style="thin">
        <color rgb="FF000000"/>
      </left>
      <right style="thin">
        <color rgb="FF000000"/>
      </right>
      <top style="thin">
        <color rgb="FF000000"/>
      </top>
      <bottom/>
    </border>
  </borders>
  <cellStyleXfs count="1">
    <xf borderId="0" fillId="0" fontId="0" numFmtId="0" applyAlignment="1" applyFont="1"/>
  </cellStyleXfs>
  <cellXfs count="379">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4" numFmtId="0" xfId="0" applyFont="1"/>
    <xf borderId="1" fillId="2" fontId="5" numFmtId="0" xfId="0" applyAlignment="1" applyBorder="1" applyFill="1" applyFont="1">
      <alignment horizontal="left"/>
    </xf>
    <xf borderId="1" fillId="2" fontId="6" numFmtId="0" xfId="0" applyAlignment="1" applyBorder="1" applyFont="1">
      <alignment horizontal="left"/>
    </xf>
    <xf borderId="2" fillId="3" fontId="7" numFmtId="49" xfId="0" applyAlignment="1" applyBorder="1" applyFill="1" applyFont="1" applyNumberFormat="1">
      <alignment horizontal="left"/>
    </xf>
    <xf borderId="0" fillId="0" fontId="1" numFmtId="164" xfId="0" applyFont="1" applyNumberFormat="1"/>
    <xf borderId="2" fillId="3" fontId="7" numFmtId="165" xfId="0" applyAlignment="1" applyBorder="1" applyFont="1" applyNumberFormat="1">
      <alignment horizontal="center"/>
    </xf>
    <xf borderId="0" fillId="0" fontId="7" numFmtId="166" xfId="0" applyFont="1" applyNumberFormat="1"/>
    <xf borderId="2" fillId="3" fontId="7" numFmtId="49" xfId="0" applyAlignment="1" applyBorder="1" applyFont="1" applyNumberFormat="1">
      <alignment horizontal="center"/>
    </xf>
    <xf borderId="0" fillId="0" fontId="1" numFmtId="167" xfId="0" applyFont="1" applyNumberFormat="1"/>
    <xf borderId="2" fillId="3" fontId="1" numFmtId="165" xfId="0" applyAlignment="1" applyBorder="1" applyFont="1" applyNumberFormat="1">
      <alignment horizontal="center"/>
    </xf>
    <xf borderId="2" fillId="3" fontId="7" numFmtId="37" xfId="0" applyAlignment="1" applyBorder="1" applyFont="1" applyNumberFormat="1">
      <alignment horizontal="center"/>
    </xf>
    <xf borderId="0" fillId="0" fontId="7" numFmtId="167" xfId="0" applyFont="1" applyNumberFormat="1"/>
    <xf borderId="0" fillId="0" fontId="7" numFmtId="164" xfId="0" applyFont="1" applyNumberFormat="1"/>
    <xf borderId="2" fillId="3" fontId="7" numFmtId="168" xfId="0" applyBorder="1" applyFont="1" applyNumberFormat="1"/>
    <xf borderId="2" fillId="3" fontId="1" numFmtId="169" xfId="0" applyAlignment="1" applyBorder="1" applyFont="1" applyNumberFormat="1">
      <alignment horizontal="center"/>
    </xf>
    <xf borderId="0" fillId="0" fontId="2" numFmtId="169" xfId="0" applyFont="1" applyNumberFormat="1"/>
    <xf borderId="0" fillId="0" fontId="1" numFmtId="170" xfId="0" applyFont="1" applyNumberFormat="1"/>
    <xf borderId="2" fillId="3" fontId="7" numFmtId="171" xfId="0" applyAlignment="1" applyBorder="1" applyFont="1" applyNumberFormat="1">
      <alignment horizontal="center" readingOrder="0"/>
    </xf>
    <xf borderId="3" fillId="2" fontId="8" numFmtId="0" xfId="0" applyBorder="1" applyFont="1"/>
    <xf borderId="3" fillId="2" fontId="9" numFmtId="0" xfId="0" applyBorder="1" applyFont="1"/>
    <xf borderId="1" fillId="2" fontId="5" numFmtId="0" xfId="0" applyBorder="1" applyFont="1"/>
    <xf borderId="1" fillId="2" fontId="10" numFmtId="0" xfId="0" applyBorder="1" applyFont="1"/>
    <xf borderId="0" fillId="0" fontId="10" numFmtId="0" xfId="0" applyFont="1"/>
    <xf borderId="4" fillId="3" fontId="7" numFmtId="172" xfId="0" applyAlignment="1" applyBorder="1" applyFont="1" applyNumberFormat="1">
      <alignment horizontal="center"/>
    </xf>
    <xf borderId="0" fillId="0" fontId="7" numFmtId="172" xfId="0" applyFont="1" applyNumberFormat="1"/>
    <xf borderId="4" fillId="3" fontId="1" numFmtId="172" xfId="0" applyAlignment="1" applyBorder="1" applyFont="1" applyNumberFormat="1">
      <alignment horizontal="center"/>
    </xf>
    <xf borderId="0" fillId="0" fontId="11" numFmtId="0" xfId="0" applyFont="1"/>
    <xf borderId="0" fillId="0" fontId="12" numFmtId="1" xfId="0" applyFont="1" applyNumberFormat="1"/>
    <xf borderId="0" fillId="0" fontId="12" numFmtId="0" xfId="0" applyFont="1"/>
    <xf borderId="3" fillId="2" fontId="5" numFmtId="0" xfId="0" applyBorder="1" applyFont="1"/>
    <xf borderId="3" fillId="2" fontId="5" numFmtId="0" xfId="0" applyAlignment="1" applyBorder="1" applyFont="1">
      <alignment horizontal="center"/>
    </xf>
    <xf borderId="1" fillId="2" fontId="5" numFmtId="0" xfId="0" applyAlignment="1" applyBorder="1" applyFont="1">
      <alignment horizontal="center"/>
    </xf>
    <xf borderId="0" fillId="0" fontId="1" numFmtId="173" xfId="0" applyFont="1" applyNumberFormat="1"/>
    <xf borderId="0" fillId="0" fontId="1" numFmtId="174" xfId="0" applyFont="1" applyNumberFormat="1"/>
    <xf borderId="0" fillId="0" fontId="1" numFmtId="175" xfId="0" applyFont="1" applyNumberFormat="1"/>
    <xf borderId="5" fillId="2" fontId="13" numFmtId="0" xfId="0" applyAlignment="1" applyBorder="1" applyFont="1">
      <alignment horizontal="center"/>
    </xf>
    <xf borderId="6" fillId="0" fontId="14" numFmtId="0" xfId="0" applyBorder="1" applyFont="1"/>
    <xf borderId="7" fillId="0" fontId="14" numFmtId="0" xfId="0" applyBorder="1" applyFont="1"/>
    <xf borderId="8" fillId="0" fontId="14" numFmtId="0" xfId="0" applyBorder="1" applyFont="1"/>
    <xf borderId="9" fillId="0" fontId="1" numFmtId="0" xfId="0" applyBorder="1" applyFont="1"/>
    <xf borderId="1" fillId="2" fontId="13" numFmtId="0" xfId="0" applyBorder="1" applyFont="1"/>
    <xf borderId="1" fillId="2" fontId="15" numFmtId="0" xfId="0" applyAlignment="1" applyBorder="1" applyFont="1">
      <alignment horizontal="center"/>
    </xf>
    <xf borderId="1" fillId="2" fontId="13" numFmtId="176" xfId="0" applyAlignment="1" applyBorder="1" applyFont="1" applyNumberFormat="1">
      <alignment horizontal="center"/>
    </xf>
    <xf borderId="10" fillId="2" fontId="13" numFmtId="176" xfId="0" applyAlignment="1" applyBorder="1" applyFont="1" applyNumberFormat="1">
      <alignment horizontal="center"/>
    </xf>
    <xf borderId="0" fillId="0" fontId="1" numFmtId="171" xfId="0" applyFont="1" applyNumberFormat="1"/>
    <xf borderId="0" fillId="0" fontId="1" numFmtId="177" xfId="0" applyFont="1" applyNumberFormat="1"/>
    <xf borderId="11" fillId="0" fontId="1" numFmtId="171" xfId="0" applyBorder="1" applyFont="1" applyNumberFormat="1"/>
    <xf borderId="1" fillId="4" fontId="4" numFmtId="0" xfId="0" applyBorder="1" applyFill="1" applyFont="1"/>
    <xf borderId="1" fillId="4" fontId="2" numFmtId="0" xfId="0" applyBorder="1" applyFont="1"/>
    <xf borderId="1" fillId="4" fontId="4" numFmtId="176" xfId="0" applyAlignment="1" applyBorder="1" applyFont="1" applyNumberFormat="1">
      <alignment horizontal="center"/>
    </xf>
    <xf borderId="12" fillId="4" fontId="4" numFmtId="176" xfId="0" applyAlignment="1" applyBorder="1" applyFont="1" applyNumberFormat="1">
      <alignment horizontal="center"/>
    </xf>
    <xf borderId="0" fillId="0" fontId="1" numFmtId="0" xfId="0" applyAlignment="1" applyFont="1">
      <alignment horizontal="center"/>
    </xf>
    <xf borderId="0" fillId="0" fontId="12" numFmtId="168" xfId="0" applyFont="1" applyNumberFormat="1"/>
    <xf borderId="0" fillId="0" fontId="1" numFmtId="168" xfId="0" applyFont="1" applyNumberFormat="1"/>
    <xf borderId="0" fillId="0" fontId="16" numFmtId="0" xfId="0" applyAlignment="1" applyFont="1">
      <alignment horizontal="left"/>
    </xf>
    <xf borderId="0" fillId="0" fontId="7" numFmtId="178" xfId="0" applyFont="1" applyNumberFormat="1"/>
    <xf borderId="0" fillId="0" fontId="7" numFmtId="9" xfId="0" applyFont="1" applyNumberFormat="1"/>
    <xf borderId="0" fillId="0" fontId="2" numFmtId="0" xfId="0" applyAlignment="1" applyFont="1">
      <alignment horizontal="center"/>
    </xf>
    <xf borderId="0" fillId="0" fontId="12" numFmtId="179" xfId="0" applyFont="1" applyNumberFormat="1"/>
    <xf borderId="0" fillId="0" fontId="1" numFmtId="180" xfId="0" applyFont="1" applyNumberFormat="1"/>
    <xf borderId="0" fillId="0" fontId="16" numFmtId="181" xfId="0" applyFont="1" applyNumberFormat="1"/>
    <xf borderId="0" fillId="0" fontId="1" numFmtId="179" xfId="0" applyFont="1" applyNumberFormat="1"/>
    <xf borderId="0" fillId="0" fontId="17" numFmtId="175" xfId="0" applyFont="1" applyNumberFormat="1"/>
    <xf borderId="2" fillId="3" fontId="7" numFmtId="182" xfId="0" applyBorder="1" applyFont="1" applyNumberFormat="1"/>
    <xf borderId="13" fillId="5" fontId="4" numFmtId="0" xfId="0" applyAlignment="1" applyBorder="1" applyFill="1" applyFont="1">
      <alignment horizontal="left"/>
    </xf>
    <xf borderId="14" fillId="5" fontId="4" numFmtId="0" xfId="0" applyBorder="1" applyFont="1"/>
    <xf borderId="14" fillId="5" fontId="4" numFmtId="173" xfId="0" applyBorder="1" applyFont="1" applyNumberFormat="1"/>
    <xf borderId="14" fillId="5" fontId="4" numFmtId="174" xfId="0" applyBorder="1" applyFont="1" applyNumberFormat="1"/>
    <xf borderId="14" fillId="5" fontId="4" numFmtId="175" xfId="0" applyBorder="1" applyFont="1" applyNumberFormat="1"/>
    <xf borderId="0" fillId="0" fontId="16" numFmtId="182" xfId="0" applyFont="1" applyNumberFormat="1"/>
    <xf borderId="15" fillId="5" fontId="4" numFmtId="179" xfId="0" applyBorder="1" applyFont="1" applyNumberFormat="1"/>
    <xf borderId="13" fillId="6" fontId="13" numFmtId="49" xfId="0" applyBorder="1" applyFill="1" applyFont="1" applyNumberFormat="1"/>
    <xf borderId="14" fillId="6" fontId="13" numFmtId="49" xfId="0" applyBorder="1" applyFont="1" applyNumberFormat="1"/>
    <xf borderId="14" fillId="6" fontId="13" numFmtId="173" xfId="0" applyBorder="1" applyFont="1" applyNumberFormat="1"/>
    <xf borderId="14" fillId="6" fontId="13" numFmtId="183" xfId="0" applyBorder="1" applyFont="1" applyNumberFormat="1"/>
    <xf borderId="14" fillId="6" fontId="13" numFmtId="170" xfId="0" applyBorder="1" applyFont="1" applyNumberFormat="1"/>
    <xf borderId="14" fillId="6" fontId="13" numFmtId="9" xfId="0" applyBorder="1" applyFont="1" applyNumberFormat="1"/>
    <xf borderId="15" fillId="6" fontId="13" numFmtId="179" xfId="0" applyBorder="1" applyFont="1" applyNumberFormat="1"/>
    <xf borderId="11" fillId="0" fontId="1" numFmtId="0" xfId="0" applyBorder="1" applyFont="1"/>
    <xf borderId="11" fillId="0" fontId="1" numFmtId="49" xfId="0" applyBorder="1" applyFont="1" applyNumberFormat="1"/>
    <xf borderId="0" fillId="0" fontId="16" numFmtId="175" xfId="0" applyFont="1" applyNumberFormat="1"/>
    <xf borderId="11" fillId="0" fontId="1" numFmtId="173" xfId="0" applyBorder="1" applyFont="1" applyNumberFormat="1"/>
    <xf borderId="0" fillId="0" fontId="18" numFmtId="0" xfId="0" applyFont="1"/>
    <xf borderId="0" fillId="0" fontId="16" numFmtId="170" xfId="0" applyFont="1" applyNumberFormat="1"/>
    <xf borderId="11" fillId="0" fontId="1" numFmtId="174" xfId="0" applyBorder="1" applyFont="1" applyNumberFormat="1"/>
    <xf borderId="11" fillId="0" fontId="1" numFmtId="175" xfId="0" applyBorder="1" applyFont="1" applyNumberFormat="1"/>
    <xf borderId="11" fillId="0" fontId="1" numFmtId="184" xfId="0" applyBorder="1" applyFont="1" applyNumberFormat="1"/>
    <xf borderId="11" fillId="0" fontId="1" numFmtId="179" xfId="0" applyBorder="1" applyFont="1" applyNumberFormat="1"/>
    <xf borderId="0" fillId="0" fontId="1" numFmtId="49" xfId="0" applyFont="1" applyNumberFormat="1"/>
    <xf borderId="0" fillId="0" fontId="1" numFmtId="184" xfId="0" applyFont="1" applyNumberFormat="1"/>
    <xf borderId="0" fillId="0" fontId="17" numFmtId="0" xfId="0" applyAlignment="1" applyFont="1">
      <alignment horizontal="left"/>
    </xf>
    <xf borderId="16" fillId="6" fontId="13" numFmtId="0" xfId="0" applyBorder="1" applyFont="1"/>
    <xf borderId="0" fillId="0" fontId="2" numFmtId="175" xfId="0" applyFont="1" applyNumberFormat="1"/>
    <xf borderId="17" fillId="6" fontId="13" numFmtId="0" xfId="0" applyBorder="1" applyFont="1"/>
    <xf borderId="17" fillId="6" fontId="13" numFmtId="166" xfId="0" applyBorder="1" applyFont="1" applyNumberFormat="1"/>
    <xf borderId="18" fillId="6" fontId="13" numFmtId="0" xfId="0" applyBorder="1" applyFont="1"/>
    <xf borderId="0" fillId="0" fontId="7" numFmtId="169" xfId="0" applyFont="1" applyNumberFormat="1"/>
    <xf borderId="3" fillId="6" fontId="13" numFmtId="0" xfId="0" applyBorder="1" applyFont="1"/>
    <xf borderId="3" fillId="6" fontId="13" numFmtId="166" xfId="0" applyBorder="1" applyFont="1" applyNumberFormat="1"/>
    <xf borderId="19" fillId="6" fontId="13" numFmtId="0" xfId="0" applyBorder="1" applyFont="1"/>
    <xf borderId="1" fillId="6" fontId="13" numFmtId="0" xfId="0" applyBorder="1" applyFont="1"/>
    <xf borderId="1" fillId="6" fontId="13" numFmtId="166" xfId="0" applyBorder="1" applyFont="1" applyNumberFormat="1"/>
    <xf borderId="20" fillId="0" fontId="1" numFmtId="0" xfId="0" applyBorder="1" applyFont="1"/>
    <xf borderId="21" fillId="6" fontId="13" numFmtId="172" xfId="0" applyBorder="1" applyFont="1" applyNumberFormat="1"/>
    <xf borderId="22" fillId="6" fontId="13" numFmtId="172" xfId="0" applyBorder="1" applyFont="1" applyNumberFormat="1"/>
    <xf borderId="12" fillId="6" fontId="13" numFmtId="172" xfId="0" applyBorder="1" applyFont="1" applyNumberFormat="1"/>
    <xf borderId="13" fillId="6" fontId="13" numFmtId="0" xfId="0" applyBorder="1" applyFont="1"/>
    <xf borderId="14" fillId="6" fontId="13" numFmtId="0" xfId="0" applyBorder="1" applyFont="1"/>
    <xf borderId="15" fillId="6" fontId="13" numFmtId="172" xfId="0" applyBorder="1" applyFont="1" applyNumberFormat="1"/>
    <xf borderId="0" fillId="0" fontId="1" numFmtId="0" xfId="0" applyAlignment="1" applyFont="1">
      <alignment horizontal="left"/>
    </xf>
    <xf borderId="0" fillId="0" fontId="0" numFmtId="0" xfId="0" applyFont="1"/>
    <xf borderId="23" fillId="2" fontId="19" numFmtId="0" xfId="0" applyAlignment="1" applyBorder="1" applyFont="1">
      <alignment horizontal="center"/>
    </xf>
    <xf borderId="24" fillId="0" fontId="14" numFmtId="0" xfId="0" applyBorder="1" applyFont="1"/>
    <xf borderId="25" fillId="0" fontId="14" numFmtId="0" xfId="0" applyBorder="1" applyFont="1"/>
    <xf borderId="3" fillId="2" fontId="10" numFmtId="0" xfId="0" applyBorder="1" applyFont="1"/>
    <xf borderId="3" fillId="2" fontId="20" numFmtId="0" xfId="0" applyAlignment="1" applyBorder="1" applyFont="1">
      <alignment horizontal="center"/>
    </xf>
    <xf borderId="3" fillId="2" fontId="21" numFmtId="0" xfId="0" applyAlignment="1" applyBorder="1" applyFont="1">
      <alignment horizontal="center"/>
    </xf>
    <xf borderId="3" fillId="7" fontId="1" numFmtId="185" xfId="0" applyBorder="1" applyFill="1" applyFont="1" applyNumberFormat="1"/>
    <xf borderId="3" fillId="7" fontId="7" numFmtId="185" xfId="0" applyBorder="1" applyFont="1" applyNumberFormat="1"/>
    <xf borderId="0" fillId="0" fontId="12" numFmtId="186" xfId="0" applyFont="1" applyNumberFormat="1"/>
    <xf borderId="0" fillId="0" fontId="12" numFmtId="174" xfId="0" applyFont="1" applyNumberFormat="1"/>
    <xf borderId="0" fillId="0" fontId="12" numFmtId="164" xfId="0" applyFont="1" applyNumberFormat="1"/>
    <xf borderId="1" fillId="4" fontId="1" numFmtId="0" xfId="0" applyBorder="1" applyFont="1"/>
    <xf borderId="1" fillId="4" fontId="4" numFmtId="0" xfId="0" applyAlignment="1" applyBorder="1" applyFont="1">
      <alignment horizontal="center"/>
    </xf>
    <xf borderId="26" fillId="4" fontId="4" numFmtId="0" xfId="0" applyAlignment="1" applyBorder="1" applyFont="1">
      <alignment horizontal="center"/>
    </xf>
    <xf borderId="27" fillId="0" fontId="14" numFmtId="0" xfId="0" applyBorder="1" applyFont="1"/>
    <xf borderId="28" fillId="0" fontId="14" numFmtId="0" xfId="0" applyBorder="1" applyFont="1"/>
    <xf borderId="0" fillId="0" fontId="4" numFmtId="174" xfId="0" applyFont="1" applyNumberFormat="1"/>
    <xf borderId="0" fillId="0" fontId="16" numFmtId="187" xfId="0" applyFont="1" applyNumberFormat="1"/>
    <xf borderId="0" fillId="0" fontId="1" numFmtId="188" xfId="0" applyFont="1" applyNumberFormat="1"/>
    <xf borderId="3" fillId="2" fontId="5" numFmtId="0" xfId="0" applyAlignment="1" applyBorder="1" applyFont="1">
      <alignment horizontal="left"/>
    </xf>
    <xf borderId="3" fillId="2" fontId="10" numFmtId="0" xfId="0" applyAlignment="1" applyBorder="1" applyFont="1">
      <alignment horizontal="center"/>
    </xf>
    <xf borderId="0" fillId="0" fontId="2" numFmtId="0" xfId="0" applyAlignment="1" applyFont="1">
      <alignment horizontal="left"/>
    </xf>
    <xf borderId="1" fillId="2" fontId="5" numFmtId="14" xfId="0" applyAlignment="1" applyBorder="1" applyFont="1" applyNumberFormat="1">
      <alignment horizontal="center"/>
    </xf>
    <xf borderId="1" fillId="2" fontId="5" numFmtId="165" xfId="0" applyAlignment="1" applyBorder="1" applyFont="1" applyNumberFormat="1">
      <alignment horizontal="center"/>
    </xf>
    <xf borderId="11" fillId="0" fontId="4" numFmtId="0" xfId="0" applyAlignment="1" applyBorder="1" applyFont="1">
      <alignment horizontal="left"/>
    </xf>
    <xf borderId="0" fillId="0" fontId="22" numFmtId="0" xfId="0" applyFont="1"/>
    <xf borderId="0" fillId="0" fontId="4" numFmtId="176" xfId="0" applyAlignment="1" applyFont="1" applyNumberFormat="1">
      <alignment horizontal="center"/>
    </xf>
    <xf borderId="11" fillId="0" fontId="4" numFmtId="164" xfId="0" applyBorder="1" applyFont="1" applyNumberFormat="1"/>
    <xf borderId="0" fillId="0" fontId="16" numFmtId="164" xfId="0" applyFont="1" applyNumberFormat="1"/>
    <xf borderId="29" fillId="0" fontId="4" numFmtId="4" xfId="0" applyBorder="1" applyFont="1" applyNumberFormat="1"/>
    <xf borderId="0" fillId="0" fontId="1" numFmtId="169" xfId="0" applyFont="1" applyNumberFormat="1"/>
    <xf borderId="4" fillId="3" fontId="7" numFmtId="189" xfId="0" applyBorder="1" applyFont="1" applyNumberFormat="1"/>
    <xf borderId="16" fillId="5" fontId="4" numFmtId="0" xfId="0" applyBorder="1" applyFont="1"/>
    <xf borderId="17" fillId="5" fontId="1" numFmtId="0" xfId="0" applyBorder="1" applyFont="1"/>
    <xf borderId="21" fillId="5" fontId="4" numFmtId="168" xfId="0" applyBorder="1" applyFont="1" applyNumberFormat="1"/>
    <xf borderId="19" fillId="5" fontId="4" numFmtId="0" xfId="0" applyBorder="1" applyFont="1"/>
    <xf borderId="1" fillId="5" fontId="1" numFmtId="0" xfId="0" applyBorder="1" applyFont="1"/>
    <xf borderId="12" fillId="5" fontId="4" numFmtId="169" xfId="0" applyBorder="1" applyFont="1" applyNumberFormat="1"/>
    <xf borderId="30" fillId="0" fontId="4" numFmtId="168" xfId="0" applyBorder="1" applyFont="1" applyNumberFormat="1"/>
    <xf borderId="11" fillId="0" fontId="4" numFmtId="168" xfId="0" applyBorder="1" applyFont="1" applyNumberFormat="1"/>
    <xf borderId="3" fillId="4" fontId="1" numFmtId="0" xfId="0" applyBorder="1" applyFont="1"/>
    <xf borderId="3" fillId="4" fontId="4" numFmtId="0" xfId="0" applyAlignment="1" applyBorder="1" applyFont="1">
      <alignment horizontal="center"/>
    </xf>
    <xf borderId="0" fillId="0" fontId="1" numFmtId="183" xfId="0" applyFont="1" applyNumberFormat="1"/>
    <xf borderId="11" fillId="0" fontId="12" numFmtId="190" xfId="0" applyBorder="1" applyFont="1" applyNumberFormat="1"/>
    <xf borderId="11" fillId="0" fontId="12" numFmtId="168" xfId="0" applyAlignment="1" applyBorder="1" applyFont="1" applyNumberFormat="1">
      <alignment horizontal="right"/>
    </xf>
    <xf borderId="11" fillId="0" fontId="1" numFmtId="190" xfId="0" applyBorder="1" applyFont="1" applyNumberFormat="1"/>
    <xf borderId="0" fillId="0" fontId="12" numFmtId="179" xfId="0" applyAlignment="1" applyFont="1" applyNumberFormat="1">
      <alignment horizontal="right"/>
    </xf>
    <xf borderId="0" fillId="0" fontId="1" numFmtId="190" xfId="0" applyFont="1" applyNumberFormat="1"/>
    <xf borderId="0" fillId="0" fontId="12" numFmtId="190" xfId="0" applyFont="1" applyNumberFormat="1"/>
    <xf borderId="11" fillId="0" fontId="4" numFmtId="0" xfId="0" applyBorder="1" applyFont="1"/>
    <xf borderId="11" fillId="0" fontId="4" numFmtId="190" xfId="0" applyBorder="1" applyFont="1" applyNumberFormat="1"/>
    <xf borderId="11" fillId="0" fontId="2" numFmtId="0" xfId="0" applyBorder="1" applyFont="1"/>
    <xf borderId="3" fillId="7" fontId="23" numFmtId="10" xfId="0" applyAlignment="1" applyBorder="1" applyFont="1" applyNumberFormat="1">
      <alignment horizontal="left"/>
    </xf>
    <xf borderId="0" fillId="0" fontId="16" numFmtId="0" xfId="0" applyAlignment="1" applyFont="1">
      <alignment horizontal="left" shrinkToFit="0" wrapText="1"/>
    </xf>
    <xf borderId="2" fillId="3" fontId="7" numFmtId="164" xfId="0" applyAlignment="1" applyBorder="1" applyFont="1" applyNumberFormat="1">
      <alignment horizontal="center"/>
    </xf>
    <xf borderId="0" fillId="0" fontId="24" numFmtId="10" xfId="0" applyFont="1" applyNumberFormat="1"/>
    <xf borderId="30" fillId="0" fontId="1" numFmtId="0" xfId="0" applyBorder="1" applyFont="1"/>
    <xf borderId="11" fillId="0" fontId="1" numFmtId="168" xfId="0" applyBorder="1" applyFont="1" applyNumberFormat="1"/>
    <xf borderId="11" fillId="0" fontId="1" numFmtId="169" xfId="0" applyBorder="1" applyFont="1" applyNumberFormat="1"/>
    <xf borderId="31" fillId="0" fontId="1" numFmtId="169" xfId="0" applyBorder="1" applyFont="1" applyNumberFormat="1"/>
    <xf borderId="32" fillId="0" fontId="1" numFmtId="0" xfId="0" applyBorder="1" applyFont="1"/>
    <xf borderId="33" fillId="0" fontId="1" numFmtId="169" xfId="0" applyBorder="1" applyFont="1" applyNumberFormat="1"/>
    <xf borderId="13" fillId="5" fontId="4" numFmtId="0" xfId="0" applyBorder="1" applyFont="1"/>
    <xf borderId="14" fillId="5" fontId="4" numFmtId="168" xfId="0" applyBorder="1" applyFont="1" applyNumberFormat="1"/>
    <xf borderId="0" fillId="0" fontId="24" numFmtId="2" xfId="0" applyFont="1" applyNumberFormat="1"/>
    <xf borderId="14" fillId="5" fontId="4" numFmtId="169" xfId="0" applyBorder="1" applyFont="1" applyNumberFormat="1"/>
    <xf borderId="15" fillId="5" fontId="4" numFmtId="169" xfId="0" applyBorder="1" applyFont="1" applyNumberFormat="1"/>
    <xf borderId="0" fillId="0" fontId="1" numFmtId="49" xfId="0" applyAlignment="1" applyFont="1" applyNumberFormat="1">
      <alignment horizontal="left"/>
    </xf>
    <xf borderId="34" fillId="0" fontId="1" numFmtId="0" xfId="0" applyBorder="1" applyFont="1"/>
    <xf borderId="20" fillId="0" fontId="4" numFmtId="0" xfId="0" applyBorder="1" applyFont="1"/>
    <xf borderId="1" fillId="2" fontId="15" numFmtId="0" xfId="0" applyBorder="1" applyFont="1"/>
    <xf borderId="1" fillId="2" fontId="9" numFmtId="0" xfId="0" applyBorder="1" applyFont="1"/>
    <xf borderId="20" fillId="0" fontId="1" numFmtId="179" xfId="0" applyBorder="1" applyFont="1" applyNumberFormat="1"/>
    <xf borderId="20" fillId="0" fontId="1" numFmtId="164" xfId="0" applyBorder="1" applyFont="1" applyNumberFormat="1"/>
    <xf borderId="20" fillId="0" fontId="1" numFmtId="169" xfId="0" applyBorder="1" applyFont="1" applyNumberFormat="1"/>
    <xf borderId="35" fillId="0" fontId="1" numFmtId="169" xfId="0" applyBorder="1" applyFont="1" applyNumberFormat="1"/>
    <xf borderId="1" fillId="2" fontId="8" numFmtId="0" xfId="0" applyBorder="1" applyFont="1"/>
    <xf borderId="14" fillId="6" fontId="13" numFmtId="168" xfId="0" applyBorder="1" applyFont="1" applyNumberFormat="1"/>
    <xf borderId="14" fillId="6" fontId="13" numFmtId="174" xfId="0" applyBorder="1" applyFont="1" applyNumberFormat="1"/>
    <xf borderId="36" fillId="0" fontId="12" numFmtId="172" xfId="0" applyAlignment="1" applyBorder="1" applyFont="1" applyNumberFormat="1">
      <alignment horizontal="center"/>
    </xf>
    <xf borderId="1" fillId="8" fontId="4" numFmtId="0" xfId="0" applyBorder="1" applyFill="1" applyFont="1"/>
    <xf borderId="20" fillId="0" fontId="0" numFmtId="0" xfId="0" applyBorder="1" applyFont="1"/>
    <xf borderId="36" fillId="0" fontId="1" numFmtId="191" xfId="0" applyAlignment="1" applyBorder="1" applyFont="1" applyNumberFormat="1">
      <alignment horizontal="center"/>
    </xf>
    <xf borderId="36" fillId="0" fontId="1" numFmtId="189" xfId="0" applyAlignment="1" applyBorder="1" applyFont="1" applyNumberFormat="1">
      <alignment horizontal="center"/>
    </xf>
    <xf borderId="14" fillId="6" fontId="13" numFmtId="169" xfId="0" applyBorder="1" applyFont="1" applyNumberFormat="1"/>
    <xf borderId="15" fillId="6" fontId="13" numFmtId="169" xfId="0" applyBorder="1" applyFont="1" applyNumberFormat="1"/>
    <xf borderId="4" fillId="3" fontId="7" numFmtId="191" xfId="0" applyAlignment="1" applyBorder="1" applyFont="1" applyNumberFormat="1">
      <alignment horizontal="center"/>
    </xf>
    <xf borderId="4" fillId="3" fontId="7" numFmtId="189" xfId="0" applyAlignment="1" applyBorder="1" applyFont="1" applyNumberFormat="1">
      <alignment horizontal="center"/>
    </xf>
    <xf borderId="0" fillId="0" fontId="4" numFmtId="0" xfId="0" applyAlignment="1" applyFont="1">
      <alignment horizontal="center"/>
    </xf>
    <xf borderId="20" fillId="0" fontId="1" numFmtId="0" xfId="0" applyAlignment="1" applyBorder="1" applyFont="1">
      <alignment horizontal="left"/>
    </xf>
    <xf borderId="0" fillId="0" fontId="4" numFmtId="0" xfId="0" applyAlignment="1" applyFont="1">
      <alignment horizontal="left"/>
    </xf>
    <xf borderId="0" fillId="0" fontId="4" numFmtId="164" xfId="0" applyFont="1" applyNumberFormat="1"/>
    <xf borderId="37" fillId="3" fontId="1" numFmtId="192" xfId="0" applyBorder="1" applyFont="1" applyNumberFormat="1"/>
    <xf borderId="37" fillId="3" fontId="1" numFmtId="192" xfId="0" applyAlignment="1" applyBorder="1" applyFont="1" applyNumberFormat="1">
      <alignment horizontal="center"/>
    </xf>
    <xf borderId="38" fillId="2" fontId="13" numFmtId="0" xfId="0" applyAlignment="1" applyBorder="1" applyFont="1">
      <alignment horizontal="center"/>
    </xf>
    <xf borderId="39" fillId="2" fontId="13" numFmtId="176" xfId="0" applyAlignment="1" applyBorder="1" applyFont="1" applyNumberFormat="1">
      <alignment horizontal="center"/>
    </xf>
    <xf borderId="0" fillId="0" fontId="7" numFmtId="171" xfId="0" applyFont="1" applyNumberFormat="1"/>
    <xf borderId="11" fillId="0" fontId="1" numFmtId="167" xfId="0" applyBorder="1" applyFont="1" applyNumberFormat="1"/>
    <xf borderId="31" fillId="0" fontId="1" numFmtId="167" xfId="0" applyBorder="1" applyFont="1" applyNumberFormat="1"/>
    <xf borderId="33" fillId="0" fontId="1" numFmtId="167" xfId="0" applyBorder="1" applyFont="1" applyNumberFormat="1"/>
    <xf borderId="14" fillId="5" fontId="4" numFmtId="167" xfId="0" applyBorder="1" applyFont="1" applyNumberFormat="1"/>
    <xf borderId="11" fillId="0" fontId="25" numFmtId="164" xfId="0" applyBorder="1" applyFont="1" applyNumberFormat="1"/>
    <xf borderId="15" fillId="5" fontId="4" numFmtId="167" xfId="0" applyBorder="1" applyFont="1" applyNumberFormat="1"/>
    <xf borderId="40" fillId="0" fontId="2" numFmtId="169" xfId="0" applyBorder="1" applyFont="1" applyNumberFormat="1"/>
    <xf borderId="20" fillId="0" fontId="1" numFmtId="167" xfId="0" applyBorder="1" applyFont="1" applyNumberFormat="1"/>
    <xf borderId="2" fillId="3" fontId="7" numFmtId="175" xfId="0" applyAlignment="1" applyBorder="1" applyFont="1" applyNumberFormat="1">
      <alignment horizontal="center"/>
    </xf>
    <xf borderId="35" fillId="0" fontId="1" numFmtId="167" xfId="0" applyBorder="1" applyFont="1" applyNumberFormat="1"/>
    <xf borderId="0" fillId="0" fontId="22" numFmtId="193" xfId="0" applyFont="1" applyNumberFormat="1"/>
    <xf borderId="0" fillId="0" fontId="22" numFmtId="174" xfId="0" applyFont="1" applyNumberFormat="1"/>
    <xf borderId="0" fillId="0" fontId="4" numFmtId="194" xfId="0" applyFont="1" applyNumberFormat="1"/>
    <xf borderId="0" fillId="0" fontId="4" numFmtId="175" xfId="0" applyFont="1" applyNumberFormat="1"/>
    <xf borderId="0" fillId="0" fontId="4" numFmtId="195" xfId="0" applyFont="1" applyNumberFormat="1"/>
    <xf borderId="14" fillId="6" fontId="13" numFmtId="167" xfId="0" applyBorder="1" applyFont="1" applyNumberFormat="1"/>
    <xf borderId="0" fillId="0" fontId="1" numFmtId="196" xfId="0" applyFont="1" applyNumberFormat="1"/>
    <xf borderId="15" fillId="6" fontId="13" numFmtId="167" xfId="0" applyBorder="1" applyFont="1" applyNumberFormat="1"/>
    <xf borderId="0" fillId="0" fontId="1" numFmtId="197" xfId="0" applyFont="1" applyNumberFormat="1"/>
    <xf borderId="0" fillId="0" fontId="1" numFmtId="9" xfId="0" applyFont="1" applyNumberFormat="1"/>
    <xf borderId="0" fillId="0" fontId="7" numFmtId="196" xfId="0" applyFont="1" applyNumberFormat="1"/>
    <xf borderId="0" fillId="0" fontId="2" numFmtId="184" xfId="0" applyFont="1" applyNumberFormat="1"/>
    <xf borderId="0" fillId="0" fontId="4" numFmtId="196" xfId="0" applyFont="1" applyNumberFormat="1"/>
    <xf borderId="0" fillId="0" fontId="25" numFmtId="164" xfId="0" applyFont="1" applyNumberFormat="1"/>
    <xf borderId="0" fillId="0" fontId="2" numFmtId="179" xfId="0" applyFont="1" applyNumberFormat="1"/>
    <xf borderId="11" fillId="0" fontId="2" numFmtId="0" xfId="0" applyAlignment="1" applyBorder="1" applyFont="1">
      <alignment horizontal="center"/>
    </xf>
    <xf borderId="0" fillId="0" fontId="7" numFmtId="0" xfId="0" applyAlignment="1" applyFont="1">
      <alignment horizontal="center"/>
    </xf>
    <xf borderId="16" fillId="2" fontId="5" numFmtId="0" xfId="0" applyAlignment="1" applyBorder="1" applyFont="1">
      <alignment horizontal="left"/>
    </xf>
    <xf borderId="17" fillId="2" fontId="26" numFmtId="0" xfId="0" applyAlignment="1" applyBorder="1" applyFont="1">
      <alignment horizontal="left"/>
    </xf>
    <xf borderId="17" fillId="2" fontId="27" numFmtId="0" xfId="0" applyAlignment="1" applyBorder="1" applyFont="1">
      <alignment horizontal="left"/>
    </xf>
    <xf borderId="21" fillId="2" fontId="5" numFmtId="0" xfId="0" applyAlignment="1" applyBorder="1" applyFont="1">
      <alignment horizontal="right"/>
    </xf>
    <xf borderId="21" fillId="2" fontId="5" numFmtId="49" xfId="0" applyAlignment="1" applyBorder="1" applyFont="1" applyNumberFormat="1">
      <alignment horizontal="right"/>
    </xf>
    <xf borderId="18" fillId="2" fontId="5" numFmtId="0" xfId="0" applyAlignment="1" applyBorder="1" applyFont="1">
      <alignment horizontal="left"/>
    </xf>
    <xf borderId="3" fillId="2" fontId="28" numFmtId="0" xfId="0" applyAlignment="1" applyBorder="1" applyFont="1">
      <alignment horizontal="left"/>
    </xf>
    <xf borderId="3" fillId="2" fontId="29" numFmtId="0" xfId="0" applyAlignment="1" applyBorder="1" applyFont="1">
      <alignment horizontal="left"/>
    </xf>
    <xf borderId="22" fillId="2" fontId="5" numFmtId="0" xfId="0" applyAlignment="1" applyBorder="1" applyFont="1">
      <alignment horizontal="right"/>
    </xf>
    <xf borderId="22" fillId="2" fontId="5" numFmtId="49" xfId="0" applyAlignment="1" applyBorder="1" applyFont="1" applyNumberFormat="1">
      <alignment horizontal="right"/>
    </xf>
    <xf borderId="41" fillId="9" fontId="4" numFmtId="0" xfId="0" applyAlignment="1" applyBorder="1" applyFill="1" applyFont="1">
      <alignment horizontal="center"/>
    </xf>
    <xf borderId="42" fillId="0" fontId="14" numFmtId="0" xfId="0" applyBorder="1" applyFont="1"/>
    <xf borderId="13" fillId="9" fontId="1" numFmtId="165" xfId="0" applyAlignment="1" applyBorder="1" applyFont="1" applyNumberFormat="1">
      <alignment horizontal="center"/>
    </xf>
    <xf borderId="14" fillId="9" fontId="1" numFmtId="165" xfId="0" applyAlignment="1" applyBorder="1" applyFont="1" applyNumberFormat="1">
      <alignment horizontal="center"/>
    </xf>
    <xf borderId="20" fillId="0" fontId="2" numFmtId="0" xfId="0" applyAlignment="1" applyBorder="1" applyFont="1">
      <alignment horizontal="center"/>
    </xf>
    <xf borderId="20" fillId="0" fontId="7" numFmtId="164" xfId="0" applyBorder="1" applyFont="1" applyNumberFormat="1"/>
    <xf borderId="15" fillId="9" fontId="1" numFmtId="165" xfId="0" applyAlignment="1" applyBorder="1" applyFont="1" applyNumberFormat="1">
      <alignment horizontal="center"/>
    </xf>
    <xf borderId="29" fillId="9" fontId="1" numFmtId="165" xfId="0" applyAlignment="1" applyBorder="1" applyFont="1" applyNumberFormat="1">
      <alignment horizontal="center"/>
    </xf>
    <xf borderId="20" fillId="0" fontId="16" numFmtId="164" xfId="0" applyBorder="1" applyFont="1" applyNumberFormat="1"/>
    <xf borderId="43" fillId="0" fontId="1" numFmtId="165" xfId="0" applyAlignment="1" applyBorder="1" applyFont="1" applyNumberFormat="1">
      <alignment horizontal="center"/>
    </xf>
    <xf borderId="44" fillId="0" fontId="1" numFmtId="165" xfId="0" applyAlignment="1" applyBorder="1" applyFont="1" applyNumberFormat="1">
      <alignment horizontal="center"/>
    </xf>
    <xf borderId="45" fillId="0" fontId="1" numFmtId="165" xfId="0" applyAlignment="1" applyBorder="1" applyFont="1" applyNumberFormat="1">
      <alignment horizontal="center"/>
    </xf>
    <xf borderId="29" fillId="0" fontId="1" numFmtId="165" xfId="0" applyAlignment="1" applyBorder="1" applyFont="1" applyNumberFormat="1">
      <alignment horizontal="center"/>
    </xf>
    <xf borderId="32" fillId="0" fontId="7" numFmtId="174" xfId="0" applyBorder="1" applyFont="1" applyNumberFormat="1"/>
    <xf borderId="0" fillId="0" fontId="7" numFmtId="174" xfId="0" applyFont="1" applyNumberFormat="1"/>
    <xf borderId="33" fillId="0" fontId="1" numFmtId="174" xfId="0" applyBorder="1" applyFont="1" applyNumberFormat="1"/>
    <xf borderId="0" fillId="0" fontId="30" numFmtId="164" xfId="0" applyFont="1" applyNumberFormat="1"/>
    <xf borderId="32" fillId="0" fontId="7" numFmtId="164" xfId="0" applyBorder="1" applyFont="1" applyNumberFormat="1"/>
    <xf borderId="33" fillId="0" fontId="1" numFmtId="164" xfId="0" applyBorder="1" applyFont="1" applyNumberFormat="1"/>
    <xf borderId="3" fillId="10" fontId="4" numFmtId="0" xfId="0" applyBorder="1" applyFill="1" applyFont="1"/>
    <xf borderId="3" fillId="10" fontId="2" numFmtId="0" xfId="0" applyAlignment="1" applyBorder="1" applyFont="1">
      <alignment horizontal="center"/>
    </xf>
    <xf borderId="3" fillId="10" fontId="25" numFmtId="164" xfId="0" applyBorder="1" applyFont="1" applyNumberFormat="1"/>
    <xf borderId="0" fillId="0" fontId="1" numFmtId="192" xfId="0" applyFont="1" applyNumberFormat="1"/>
    <xf borderId="0" fillId="0" fontId="1" numFmtId="198" xfId="0" applyFont="1" applyNumberFormat="1"/>
    <xf borderId="32" fillId="0" fontId="1" numFmtId="164" xfId="0" applyBorder="1" applyFont="1" applyNumberFormat="1"/>
    <xf borderId="0" fillId="0" fontId="1" numFmtId="199" xfId="0" applyFont="1" applyNumberFormat="1"/>
    <xf borderId="11" fillId="0" fontId="1" numFmtId="0" xfId="0" applyAlignment="1" applyBorder="1" applyFont="1">
      <alignment horizontal="left"/>
    </xf>
    <xf borderId="30" fillId="0" fontId="4" numFmtId="174" xfId="0" applyBorder="1" applyFont="1" applyNumberFormat="1"/>
    <xf borderId="11" fillId="0" fontId="4" numFmtId="174" xfId="0" applyBorder="1" applyFont="1" applyNumberFormat="1"/>
    <xf borderId="3" fillId="5" fontId="4" numFmtId="0" xfId="0" applyBorder="1" applyFont="1"/>
    <xf borderId="31" fillId="0" fontId="4" numFmtId="174" xfId="0" applyBorder="1" applyFont="1" applyNumberFormat="1"/>
    <xf borderId="3" fillId="5" fontId="2" numFmtId="0" xfId="0" applyAlignment="1" applyBorder="1" applyFont="1">
      <alignment horizontal="center"/>
    </xf>
    <xf borderId="3" fillId="5" fontId="4" numFmtId="164" xfId="0" applyBorder="1" applyFont="1" applyNumberFormat="1"/>
    <xf borderId="32" fillId="0" fontId="12" numFmtId="9" xfId="0" applyBorder="1" applyFont="1" applyNumberFormat="1"/>
    <xf borderId="0" fillId="0" fontId="12" numFmtId="9" xfId="0" applyFont="1" applyNumberFormat="1"/>
    <xf borderId="33" fillId="0" fontId="1" numFmtId="175" xfId="0" applyBorder="1" applyFont="1" applyNumberFormat="1"/>
    <xf borderId="33" fillId="0" fontId="7" numFmtId="175" xfId="0" applyBorder="1" applyFont="1" applyNumberFormat="1"/>
    <xf borderId="33" fillId="0" fontId="12" numFmtId="175" xfId="0" applyBorder="1" applyFont="1" applyNumberFormat="1"/>
    <xf borderId="0" fillId="0" fontId="1" numFmtId="200" xfId="0" applyFont="1" applyNumberFormat="1"/>
    <xf borderId="33" fillId="0" fontId="1" numFmtId="9" xfId="0" applyBorder="1" applyFont="1" applyNumberFormat="1"/>
    <xf borderId="43" fillId="2" fontId="13" numFmtId="0" xfId="0" applyAlignment="1" applyBorder="1" applyFont="1">
      <alignment horizontal="center"/>
    </xf>
    <xf borderId="44" fillId="0" fontId="14" numFmtId="0" xfId="0" applyBorder="1" applyFont="1"/>
    <xf borderId="45" fillId="0" fontId="14" numFmtId="0" xfId="0" applyBorder="1" applyFont="1"/>
    <xf borderId="16" fillId="11" fontId="8" numFmtId="0" xfId="0" applyBorder="1" applyFill="1" applyFont="1"/>
    <xf borderId="14" fillId="11" fontId="8" numFmtId="0" xfId="0" applyBorder="1" applyFont="1"/>
    <xf borderId="14" fillId="11" fontId="13" numFmtId="0" xfId="0" applyAlignment="1" applyBorder="1" applyFont="1">
      <alignment horizontal="center"/>
    </xf>
    <xf borderId="15" fillId="11" fontId="13" numFmtId="0" xfId="0" applyAlignment="1" applyBorder="1" applyFont="1">
      <alignment horizontal="center"/>
    </xf>
    <xf borderId="18" fillId="8" fontId="4" numFmtId="0" xfId="0" applyAlignment="1" applyBorder="1" applyFont="1">
      <alignment horizontal="center"/>
    </xf>
    <xf borderId="18" fillId="11" fontId="8" numFmtId="0" xfId="0" applyBorder="1" applyFont="1"/>
    <xf borderId="3" fillId="8" fontId="1" numFmtId="0" xfId="0" applyAlignment="1" applyBorder="1" applyFont="1">
      <alignment horizontal="center"/>
    </xf>
    <xf borderId="18" fillId="12" fontId="31" numFmtId="169" xfId="0" applyBorder="1" applyFill="1" applyFont="1" applyNumberFormat="1"/>
    <xf borderId="29" fillId="0" fontId="1" numFmtId="174" xfId="0" applyBorder="1" applyFont="1" applyNumberFormat="1"/>
    <xf borderId="3" fillId="12" fontId="13" numFmtId="201" xfId="0" applyAlignment="1" applyBorder="1" applyFont="1" applyNumberFormat="1">
      <alignment horizontal="center"/>
    </xf>
    <xf borderId="12" fillId="12" fontId="13" numFmtId="201" xfId="0" applyAlignment="1" applyBorder="1" applyFont="1" applyNumberFormat="1">
      <alignment horizontal="center"/>
    </xf>
    <xf borderId="29" fillId="0" fontId="7" numFmtId="174" xfId="0" applyBorder="1" applyFont="1" applyNumberFormat="1"/>
    <xf borderId="46" fillId="11" fontId="13" numFmtId="0" xfId="0" applyAlignment="1" applyBorder="1" applyFont="1">
      <alignment horizontal="center" shrinkToFit="0" vertical="center" wrapText="1"/>
    </xf>
    <xf borderId="3" fillId="12" fontId="13" numFmtId="166" xfId="0" applyAlignment="1" applyBorder="1" applyFont="1" applyNumberFormat="1">
      <alignment horizontal="center"/>
    </xf>
    <xf borderId="29" fillId="0" fontId="7" numFmtId="164" xfId="0" applyBorder="1" applyFont="1" applyNumberFormat="1"/>
    <xf borderId="30" fillId="0" fontId="1" numFmtId="168" xfId="0" applyBorder="1" applyFont="1" applyNumberFormat="1"/>
    <xf borderId="47" fillId="0" fontId="14" numFmtId="0" xfId="0" applyBorder="1" applyFont="1"/>
    <xf borderId="29" fillId="0" fontId="1" numFmtId="164" xfId="0" applyBorder="1" applyFont="1" applyNumberFormat="1"/>
    <xf borderId="32" fillId="0" fontId="4" numFmtId="179" xfId="0" applyBorder="1" applyFont="1" applyNumberFormat="1"/>
    <xf borderId="0" fillId="0" fontId="4" numFmtId="179" xfId="0" applyFont="1" applyNumberFormat="1"/>
    <xf borderId="32" fillId="0" fontId="1" numFmtId="179" xfId="0" applyBorder="1" applyFont="1" applyNumberFormat="1"/>
    <xf borderId="48" fillId="0" fontId="14" numFmtId="0" xfId="0" applyBorder="1" applyFont="1"/>
    <xf borderId="49" fillId="12" fontId="13" numFmtId="166" xfId="0" applyAlignment="1" applyBorder="1" applyFont="1" applyNumberFormat="1">
      <alignment horizontal="center"/>
    </xf>
    <xf borderId="50" fillId="11" fontId="13" numFmtId="0" xfId="0" applyAlignment="1" applyBorder="1" applyFont="1">
      <alignment horizontal="center"/>
    </xf>
    <xf borderId="3" fillId="12" fontId="13" numFmtId="191" xfId="0" applyAlignment="1" applyBorder="1" applyFont="1" applyNumberFormat="1">
      <alignment horizontal="center"/>
    </xf>
    <xf borderId="29" fillId="0" fontId="7" numFmtId="164" xfId="0" applyAlignment="1" applyBorder="1" applyFont="1" applyNumberFormat="1">
      <alignment horizontal="right"/>
    </xf>
    <xf borderId="15" fillId="12" fontId="13" numFmtId="191" xfId="0" applyAlignment="1" applyBorder="1" applyFont="1" applyNumberFormat="1">
      <alignment horizontal="center"/>
    </xf>
    <xf borderId="29" fillId="0" fontId="7" numFmtId="164" xfId="0" applyAlignment="1" applyBorder="1" applyFont="1" applyNumberFormat="1">
      <alignment horizontal="left"/>
    </xf>
    <xf borderId="22" fillId="8" fontId="1" numFmtId="0" xfId="0" applyAlignment="1" applyBorder="1" applyFont="1">
      <alignment horizontal="center"/>
    </xf>
    <xf borderId="0" fillId="0" fontId="1" numFmtId="14" xfId="0" applyFont="1" applyNumberFormat="1"/>
    <xf borderId="0" fillId="0" fontId="16" numFmtId="165" xfId="0" applyFont="1" applyNumberFormat="1"/>
    <xf borderId="19" fillId="8" fontId="4" numFmtId="0" xfId="0" applyAlignment="1" applyBorder="1" applyFont="1">
      <alignment horizontal="center"/>
    </xf>
    <xf borderId="1" fillId="8" fontId="1" numFmtId="0" xfId="0" applyAlignment="1" applyBorder="1" applyFont="1">
      <alignment horizontal="center"/>
    </xf>
    <xf borderId="0" fillId="0" fontId="32" numFmtId="0" xfId="0" applyFont="1"/>
    <xf borderId="0" fillId="0" fontId="1" numFmtId="1" xfId="0" applyFont="1" applyNumberFormat="1"/>
    <xf borderId="33" fillId="0" fontId="1" numFmtId="0" xfId="0" applyBorder="1" applyFont="1"/>
    <xf borderId="13" fillId="9" fontId="1" numFmtId="1" xfId="0" applyAlignment="1" applyBorder="1" applyFont="1" applyNumberFormat="1">
      <alignment horizontal="center"/>
    </xf>
    <xf borderId="14" fillId="9" fontId="1" numFmtId="1" xfId="0" applyAlignment="1" applyBorder="1" applyFont="1" applyNumberFormat="1">
      <alignment horizontal="center"/>
    </xf>
    <xf borderId="51" fillId="8" fontId="1" numFmtId="1" xfId="0" applyAlignment="1" applyBorder="1" applyFont="1" applyNumberFormat="1">
      <alignment horizontal="center"/>
    </xf>
    <xf borderId="51" fillId="8" fontId="1" numFmtId="0" xfId="0" applyAlignment="1" applyBorder="1" applyFont="1">
      <alignment horizontal="center"/>
    </xf>
    <xf borderId="29" fillId="0" fontId="12" numFmtId="174" xfId="0" applyBorder="1" applyFont="1" applyNumberFormat="1"/>
    <xf borderId="29" fillId="0" fontId="12" numFmtId="164" xfId="0" applyBorder="1" applyFont="1" applyNumberFormat="1"/>
    <xf borderId="49" fillId="8" fontId="1" numFmtId="0" xfId="0" applyAlignment="1" applyBorder="1" applyFont="1">
      <alignment horizontal="center"/>
    </xf>
    <xf borderId="16" fillId="8" fontId="4" numFmtId="0" xfId="0" applyAlignment="1" applyBorder="1" applyFont="1">
      <alignment horizontal="center"/>
    </xf>
    <xf borderId="17" fillId="8" fontId="1" numFmtId="0" xfId="0" applyAlignment="1" applyBorder="1" applyFont="1">
      <alignment horizontal="center"/>
    </xf>
    <xf borderId="29" fillId="0" fontId="7" numFmtId="168" xfId="0" applyBorder="1" applyFont="1" applyNumberFormat="1"/>
    <xf borderId="29" fillId="0" fontId="12" numFmtId="168" xfId="0" applyBorder="1" applyFont="1" applyNumberFormat="1"/>
    <xf borderId="29" fillId="0" fontId="7" numFmtId="4" xfId="0" applyAlignment="1" applyBorder="1" applyFont="1" applyNumberFormat="1">
      <alignment horizontal="right"/>
    </xf>
    <xf borderId="18" fillId="8" fontId="1" numFmtId="0" xfId="0" applyBorder="1" applyFont="1"/>
    <xf borderId="3" fillId="8" fontId="1" numFmtId="0" xfId="0" applyBorder="1" applyFont="1"/>
    <xf borderId="22" fillId="8" fontId="1" numFmtId="0" xfId="0" applyBorder="1" applyFont="1"/>
    <xf borderId="13" fillId="9" fontId="4" numFmtId="0" xfId="0" applyAlignment="1" applyBorder="1" applyFont="1">
      <alignment horizontal="center"/>
    </xf>
    <xf borderId="14" fillId="9" fontId="4" numFmtId="0" xfId="0" applyAlignment="1" applyBorder="1" applyFont="1">
      <alignment horizontal="center"/>
    </xf>
    <xf borderId="15" fillId="9" fontId="4" numFmtId="0" xfId="0" applyAlignment="1" applyBorder="1" applyFont="1">
      <alignment horizontal="center"/>
    </xf>
    <xf borderId="29" fillId="0" fontId="7" numFmtId="190" xfId="0" applyBorder="1" applyFont="1" applyNumberFormat="1"/>
    <xf borderId="29" fillId="0" fontId="7" numFmtId="168" xfId="0" applyAlignment="1" applyBorder="1" applyFont="1" applyNumberFormat="1">
      <alignment horizontal="right"/>
    </xf>
    <xf borderId="29" fillId="0" fontId="1" numFmtId="190" xfId="0" applyBorder="1" applyFont="1" applyNumberFormat="1"/>
    <xf borderId="14" fillId="8" fontId="7" numFmtId="190" xfId="0" applyBorder="1" applyFont="1" applyNumberFormat="1"/>
    <xf borderId="14" fillId="8" fontId="7" numFmtId="168" xfId="0" applyAlignment="1" applyBorder="1" applyFont="1" applyNumberFormat="1">
      <alignment horizontal="right"/>
    </xf>
    <xf borderId="15" fillId="8" fontId="1" numFmtId="4" xfId="0" applyBorder="1" applyFont="1" applyNumberFormat="1"/>
    <xf borderId="29" fillId="0" fontId="7" numFmtId="170" xfId="0" applyBorder="1" applyFont="1" applyNumberFormat="1"/>
    <xf borderId="44" fillId="0" fontId="7" numFmtId="168" xfId="0" applyBorder="1" applyFont="1" applyNumberFormat="1"/>
    <xf borderId="17" fillId="8" fontId="7" numFmtId="190" xfId="0" applyBorder="1" applyFont="1" applyNumberFormat="1"/>
    <xf borderId="17" fillId="8" fontId="7" numFmtId="168" xfId="0" applyAlignment="1" applyBorder="1" applyFont="1" applyNumberFormat="1">
      <alignment horizontal="right"/>
    </xf>
    <xf borderId="21" fillId="8" fontId="1" numFmtId="4" xfId="0" applyBorder="1" applyFont="1" applyNumberFormat="1"/>
    <xf borderId="22" fillId="8" fontId="7" numFmtId="190" xfId="0" applyBorder="1" applyFont="1" applyNumberFormat="1"/>
    <xf borderId="29" fillId="9" fontId="4" numFmtId="0" xfId="0" applyAlignment="1" applyBorder="1" applyFont="1">
      <alignment horizontal="center"/>
    </xf>
    <xf borderId="3" fillId="8" fontId="7" numFmtId="190" xfId="0" applyBorder="1" applyFont="1" applyNumberFormat="1"/>
    <xf borderId="15" fillId="8" fontId="7" numFmtId="190" xfId="0" applyBorder="1" applyFont="1" applyNumberFormat="1"/>
    <xf borderId="19" fillId="8" fontId="1" numFmtId="0" xfId="0" applyBorder="1" applyFont="1"/>
    <xf borderId="1" fillId="8" fontId="1" numFmtId="0" xfId="0" applyBorder="1" applyFont="1"/>
    <xf borderId="31" fillId="0" fontId="1" numFmtId="0" xfId="0" applyBorder="1" applyFont="1"/>
    <xf borderId="21" fillId="8" fontId="1" numFmtId="0" xfId="0" applyAlignment="1" applyBorder="1" applyFont="1">
      <alignment horizontal="center"/>
    </xf>
    <xf borderId="0" fillId="0" fontId="1" numFmtId="202" xfId="0" applyFont="1" applyNumberFormat="1"/>
    <xf borderId="29" fillId="0" fontId="7" numFmtId="4" xfId="0" applyBorder="1" applyFont="1" applyNumberFormat="1"/>
    <xf borderId="30" fillId="0" fontId="1" numFmtId="186" xfId="0" applyBorder="1" applyFont="1" applyNumberFormat="1"/>
    <xf borderId="11" fillId="0" fontId="1" numFmtId="186" xfId="0" applyBorder="1" applyFont="1" applyNumberFormat="1"/>
    <xf borderId="31" fillId="0" fontId="1" numFmtId="186" xfId="0" applyBorder="1" applyFont="1" applyNumberFormat="1"/>
    <xf borderId="32" fillId="0" fontId="1" numFmtId="186" xfId="0" applyBorder="1" applyFont="1" applyNumberFormat="1"/>
    <xf borderId="0" fillId="0" fontId="1" numFmtId="186" xfId="0" applyFont="1" applyNumberFormat="1"/>
    <xf borderId="33" fillId="0" fontId="1" numFmtId="186" xfId="0" applyBorder="1" applyFont="1" applyNumberFormat="1"/>
    <xf borderId="34" fillId="0" fontId="1" numFmtId="186" xfId="0" applyBorder="1" applyFont="1" applyNumberFormat="1"/>
    <xf borderId="20" fillId="0" fontId="1" numFmtId="186" xfId="0" applyBorder="1" applyFont="1" applyNumberFormat="1"/>
    <xf borderId="35" fillId="0" fontId="1" numFmtId="186" xfId="0" applyBorder="1" applyFont="1" applyNumberFormat="1"/>
    <xf borderId="21" fillId="8" fontId="1" numFmtId="0" xfId="0" applyBorder="1" applyFont="1"/>
    <xf borderId="29" fillId="0" fontId="1" numFmtId="186" xfId="0" applyBorder="1" applyFont="1" applyNumberFormat="1"/>
    <xf borderId="0" fillId="0" fontId="33"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11" Type="http://customschemas.google.com/relationships/workbookmetadata" Target="metadata"/><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400">
                <a:solidFill>
                  <a:srgbClr val="000000"/>
                </a:solidFill>
                <a:latin typeface="+mn-lt"/>
              </a:defRPr>
            </a:pPr>
            <a:r>
              <a:t>Activision Blizzard Valuation - Range of Implied Share Prices</a:t>
            </a:r>
          </a:p>
        </c:rich>
      </c:tx>
      <c:overlay val="0"/>
    </c:title>
    <c:plotArea>
      <c:layout>
        <c:manualLayout>
          <c:xMode val="edge"/>
          <c:yMode val="edge"/>
          <c:x val="0.25856744686426014"/>
          <c:y val="0.0856896847993346"/>
          <c:w val="0.6412165606837793"/>
          <c:h val="0.8034699455897102"/>
        </c:manualLayout>
      </c:layout>
      <c:barChart>
        <c:barDir val="bar"/>
        <c:grouping val="stacked"/>
        <c:ser>
          <c:idx val="0"/>
          <c:order val="0"/>
          <c:tx>
            <c:strRef>
              <c:f>ValGraph!$N$33</c:f>
            </c:strRef>
          </c:tx>
          <c:spPr>
            <a:solidFill>
              <a:schemeClr val="accent1"/>
            </a:solidFill>
          </c:spPr>
          <c:cat>
            <c:strRef>
              <c:f>ValGraph!$B$34:$B$46</c:f>
            </c:strRef>
          </c:cat>
          <c:val>
            <c:numRef>
              <c:f>ValGraph!$N$34:$N$46</c:f>
            </c:numRef>
          </c:val>
        </c:ser>
        <c:ser>
          <c:idx val="1"/>
          <c:order val="1"/>
          <c:tx>
            <c:strRef>
              <c:f>ValGraph!$O$33</c:f>
            </c:strRef>
          </c:tx>
          <c:spPr>
            <a:solidFill>
              <a:schemeClr val="accent2"/>
            </a:solidFill>
          </c:spPr>
          <c:cat>
            <c:strRef>
              <c:f>ValGraph!$B$34:$B$46</c:f>
            </c:strRef>
          </c:cat>
          <c:val>
            <c:numRef>
              <c:f>ValGraph!$O$34:$O$46</c:f>
            </c:numRef>
          </c:val>
        </c:ser>
        <c:overlap val="100"/>
        <c:axId val="1309585516"/>
        <c:axId val="1611525622"/>
      </c:barChart>
      <c:catAx>
        <c:axId val="1309585516"/>
        <c:scaling>
          <c:orientation val="maxMin"/>
        </c:scaling>
        <c:delete val="0"/>
        <c:axPos val="l"/>
        <c:title>
          <c:tx>
            <c:rich>
              <a:bodyPr/>
              <a:lstStyle/>
              <a:p>
                <a:pPr lvl="0">
                  <a:defRPr b="0">
                    <a:solidFill>
                      <a:srgbClr val="000000"/>
                    </a:solidFill>
                    <a:latin typeface="+mn-lt"/>
                  </a:defRPr>
                </a:pPr>
                <a:r>
                  <a:t/>
                </a:r>
              </a:p>
            </c:rich>
          </c:tx>
          <c:overlay val="0"/>
        </c:title>
        <c:txPr>
          <a:bodyPr/>
          <a:lstStyle/>
          <a:p>
            <a:pPr lvl="0">
              <a:defRPr b="0" i="0" sz="1200">
                <a:solidFill>
                  <a:srgbClr val="000000"/>
                </a:solidFill>
                <a:latin typeface="+mn-lt"/>
              </a:defRPr>
            </a:pPr>
          </a:p>
        </c:txPr>
        <c:crossAx val="1611525622"/>
      </c:catAx>
      <c:valAx>
        <c:axId val="1611525622"/>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1" i="0" sz="1400">
                    <a:solidFill>
                      <a:srgbClr val="000000"/>
                    </a:solidFill>
                    <a:latin typeface="+mn-lt"/>
                  </a:defRPr>
                </a:pPr>
                <a:r>
                  <a:t>Implied Share Price</a:t>
                </a:r>
              </a:p>
            </c:rich>
          </c:tx>
          <c:overlay val="0"/>
        </c:title>
        <c:numFmt formatCode="General" sourceLinked="1"/>
        <c:tickLblPos val="nextTo"/>
        <c:spPr>
          <a:ln w="47625">
            <a:noFill/>
          </a:ln>
        </c:spPr>
        <c:txPr>
          <a:bodyPr/>
          <a:lstStyle/>
          <a:p>
            <a:pPr lvl="0">
              <a:defRPr b="0" i="0" sz="1200">
                <a:solidFill>
                  <a:srgbClr val="000000"/>
                </a:solidFill>
                <a:latin typeface="+mn-lt"/>
              </a:defRPr>
            </a:pPr>
          </a:p>
        </c:txPr>
        <c:crossAx val="1309585516"/>
        <c:crosses val="max"/>
      </c:valAx>
    </c:plotArea>
    <c:legend>
      <c:legendPos val="r"/>
      <c:overlay val="0"/>
      <c:txPr>
        <a:bodyPr/>
        <a:lstStyle/>
        <a:p>
          <a:pPr lvl="0">
            <a:defRPr b="0" i="0" sz="1200">
              <a:solidFill>
                <a:srgbClr val="000000"/>
              </a:solidFill>
              <a:latin typeface="+mn-lt"/>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15</xdr:col>
      <xdr:colOff>523875</xdr:colOff>
      <xdr:row>5</xdr:row>
      <xdr:rowOff>38100</xdr:rowOff>
    </xdr:from>
    <xdr:ext cx="1981200" cy="14859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123825</xdr:colOff>
      <xdr:row>3</xdr:row>
      <xdr:rowOff>19050</xdr:rowOff>
    </xdr:from>
    <xdr:ext cx="1524000" cy="11430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57150</xdr:rowOff>
    </xdr:from>
    <xdr:ext cx="16154400" cy="5934075"/>
    <xdr:graphicFrame>
      <xdr:nvGraphicFramePr>
        <xdr:cNvPr id="1525335768" name="Chart 1"/>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17</xdr:col>
      <xdr:colOff>314325</xdr:colOff>
      <xdr:row>3</xdr:row>
      <xdr:rowOff>133350</xdr:rowOff>
    </xdr:from>
    <xdr:ext cx="38100" cy="4743450"/>
    <xdr:grpSp>
      <xdr:nvGrpSpPr>
        <xdr:cNvPr id="2" name="Shape 2"/>
        <xdr:cNvGrpSpPr/>
      </xdr:nvGrpSpPr>
      <xdr:grpSpPr>
        <a:xfrm>
          <a:off x="5346000" y="1408275"/>
          <a:ext cx="0" cy="4743450"/>
          <a:chOff x="5346000" y="1408275"/>
          <a:chExt cx="0" cy="4743450"/>
        </a:xfrm>
      </xdr:grpSpPr>
      <xdr:cxnSp>
        <xdr:nvCxnSpPr>
          <xdr:cNvPr id="3" name="Shape 3"/>
          <xdr:cNvCxnSpPr/>
        </xdr:nvCxnSpPr>
        <xdr:spPr>
          <a:xfrm rot="10800000">
            <a:off x="5346000" y="1408275"/>
            <a:ext cx="0" cy="4743450"/>
          </a:xfrm>
          <a:prstGeom prst="straightConnector1">
            <a:avLst/>
          </a:prstGeom>
          <a:noFill/>
          <a:ln cap="flat" cmpd="sng" w="19050">
            <a:solidFill>
              <a:schemeClr val="accent2"/>
            </a:solidFill>
            <a:prstDash val="solid"/>
            <a:miter lim="800000"/>
            <a:headEnd len="sm" w="sm" type="none"/>
            <a:tailEnd len="sm" w="sm" type="none"/>
          </a:ln>
        </xdr:spPr>
      </xdr:cxnSp>
    </xdr:grpSp>
    <xdr:clientData fLocksWithSheet="0"/>
  </xdr:oneCellAnchor>
  <xdr:oneCellAnchor>
    <xdr:from>
      <xdr:col>15</xdr:col>
      <xdr:colOff>400050</xdr:colOff>
      <xdr:row>3</xdr:row>
      <xdr:rowOff>104775</xdr:rowOff>
    </xdr:from>
    <xdr:ext cx="2514600" cy="333375"/>
    <xdr:sp>
      <xdr:nvSpPr>
        <xdr:cNvPr id="4" name="Shape 4"/>
        <xdr:cNvSpPr txBox="1"/>
      </xdr:nvSpPr>
      <xdr:spPr>
        <a:xfrm>
          <a:off x="4093463" y="3618075"/>
          <a:ext cx="2505075" cy="32385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FF0000"/>
              </a:solidFill>
              <a:latin typeface="Calibri"/>
              <a:ea typeface="Calibri"/>
              <a:cs typeface="Calibri"/>
              <a:sym typeface="Calibri"/>
            </a:rPr>
            <a:t>Current Share Price:</a:t>
          </a:r>
          <a:endParaRPr sz="1400"/>
        </a:p>
      </xdr:txBody>
    </xdr: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1" Type="http://schemas.openxmlformats.org/officeDocument/2006/relationships/hyperlink" Target="http://investors.emergentbiosolutions.com/phoenix.zhtml?c=202582&amp;p=irol-IRHome" TargetMode="External"/><Relationship Id="rId10" Type="http://schemas.openxmlformats.org/officeDocument/2006/relationships/hyperlink" Target="http://ir.acorda.com/investors/default.aspx" TargetMode="External"/><Relationship Id="rId13" Type="http://schemas.openxmlformats.org/officeDocument/2006/relationships/drawing" Target="../drawings/drawing6.xml"/><Relationship Id="rId12" Type="http://schemas.openxmlformats.org/officeDocument/2006/relationships/hyperlink" Target="http://investor.jazzpharma.com/phoenix.zhtml?c=210227&amp;p=irol-irhome" TargetMode="External"/><Relationship Id="rId1" Type="http://schemas.openxmlformats.org/officeDocument/2006/relationships/comments" Target="../comments3.xml"/><Relationship Id="rId2" Type="http://schemas.openxmlformats.org/officeDocument/2006/relationships/hyperlink" Target="http://investors.vrtx.com/" TargetMode="External"/><Relationship Id="rId3" Type="http://schemas.openxmlformats.org/officeDocument/2006/relationships/hyperlink" Target="http://ir.alexionpharm.com/" TargetMode="External"/><Relationship Id="rId4" Type="http://schemas.openxmlformats.org/officeDocument/2006/relationships/hyperlink" Target="http://ir.unither.com/" TargetMode="External"/><Relationship Id="rId9" Type="http://schemas.openxmlformats.org/officeDocument/2006/relationships/hyperlink" Target="http://phx.corporate-ir.net/phoenix.zhtml?c=92211&amp;p=irol-irhome" TargetMode="External"/><Relationship Id="rId14" Type="http://schemas.openxmlformats.org/officeDocument/2006/relationships/vmlDrawing" Target="../drawings/vmlDrawing3.vml"/><Relationship Id="rId5" Type="http://schemas.openxmlformats.org/officeDocument/2006/relationships/hyperlink" Target="http://www.incyte.com/ir/investor-overview.aspx" TargetMode="External"/><Relationship Id="rId6" Type="http://schemas.openxmlformats.org/officeDocument/2006/relationships/hyperlink" Target="http://investors.biomarin.com/" TargetMode="External"/><Relationship Id="rId7" Type="http://schemas.openxmlformats.org/officeDocument/2006/relationships/hyperlink" Target="https://www.bioverativ.com/newsroom/investor-relations.aspx" TargetMode="External"/><Relationship Id="rId8" Type="http://schemas.openxmlformats.org/officeDocument/2006/relationships/hyperlink" Target="http://ir.horizon-pharma.com/"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outlineLevelCol="1" outlineLevelRow="2"/>
  <cols>
    <col customWidth="1" min="1" max="2" width="2.71"/>
    <col customWidth="1" min="3" max="3" width="47.71"/>
    <col customWidth="1" min="4" max="4" width="12.71"/>
    <col customWidth="1" min="5" max="8" width="12.71" outlineLevel="1"/>
    <col customWidth="1" min="9" max="9" width="11.57"/>
    <col customWidth="1" min="10" max="13" width="12.71"/>
    <col customWidth="1" min="14" max="14" width="13.57"/>
    <col customWidth="1" min="15" max="19" width="12.71"/>
    <col customWidth="1" min="20" max="20" width="2.71"/>
    <col customWidth="1" min="21" max="26" width="8.86"/>
  </cols>
  <sheetData>
    <row r="1" ht="15.75" customHeight="1">
      <c r="A1" s="1"/>
      <c r="B1" s="1"/>
      <c r="C1" s="1"/>
      <c r="D1" s="2"/>
      <c r="E1" s="2"/>
      <c r="F1" s="2"/>
      <c r="G1" s="1"/>
      <c r="H1" s="1"/>
      <c r="I1" s="1"/>
      <c r="J1" s="1"/>
      <c r="K1" s="1"/>
      <c r="L1" s="1"/>
      <c r="M1" s="1"/>
      <c r="N1" s="1"/>
      <c r="O1" s="1"/>
      <c r="P1" s="1"/>
      <c r="Q1" s="1"/>
      <c r="R1" s="1"/>
      <c r="S1" s="1"/>
      <c r="T1" s="1"/>
      <c r="U1" s="1"/>
      <c r="V1" s="1"/>
      <c r="W1" s="1"/>
      <c r="X1" s="1"/>
      <c r="Y1" s="1"/>
      <c r="Z1" s="1"/>
    </row>
    <row r="2" ht="15.75" customHeight="1">
      <c r="A2" s="1"/>
      <c r="B2" s="3" t="str">
        <f>Company_Name&amp;" - Operating Model and DCF Analysis - "&amp;Scenario&amp;" Case"</f>
        <v>Activision Blizzard - Operating Model and DCF Analysis - Base Case</v>
      </c>
      <c r="C2" s="1"/>
      <c r="D2" s="2"/>
      <c r="E2" s="2"/>
      <c r="F2" s="2"/>
      <c r="G2" s="1"/>
      <c r="H2" s="1"/>
      <c r="I2" s="1"/>
      <c r="J2" s="1"/>
      <c r="K2" s="1"/>
      <c r="L2" s="1"/>
      <c r="M2" s="1"/>
      <c r="N2" s="1"/>
      <c r="O2" s="1"/>
      <c r="P2" s="1"/>
      <c r="Q2" s="1"/>
      <c r="R2" s="1"/>
      <c r="S2" s="1"/>
      <c r="T2" s="1"/>
      <c r="U2" s="1"/>
      <c r="V2" s="1"/>
      <c r="W2" s="1"/>
      <c r="X2" s="1"/>
      <c r="Y2" s="1"/>
      <c r="Z2" s="1"/>
    </row>
    <row r="3" ht="15.75" customHeight="1">
      <c r="A3" s="1"/>
      <c r="B3" s="1" t="s">
        <v>0</v>
      </c>
      <c r="C3" s="1"/>
      <c r="D3" s="2"/>
      <c r="E3" s="2"/>
      <c r="F3" s="2"/>
      <c r="G3" s="1"/>
      <c r="H3" s="1"/>
      <c r="I3" s="1"/>
      <c r="J3" s="1"/>
      <c r="K3" s="1"/>
      <c r="L3" s="1"/>
      <c r="M3" s="1"/>
      <c r="N3" s="1"/>
      <c r="O3" s="1"/>
      <c r="P3" s="1"/>
      <c r="Q3" s="1"/>
      <c r="R3" s="1"/>
      <c r="S3" s="1"/>
      <c r="T3" s="1"/>
      <c r="U3" s="1"/>
      <c r="V3" s="1"/>
      <c r="W3" s="1"/>
      <c r="X3" s="1"/>
      <c r="Y3" s="1"/>
      <c r="Z3" s="1"/>
    </row>
    <row r="4" ht="15.75" customHeight="1">
      <c r="A4" s="1"/>
      <c r="B4" s="1"/>
      <c r="C4" s="1"/>
      <c r="D4" s="2"/>
      <c r="E4" s="2"/>
      <c r="F4" s="2"/>
      <c r="G4" s="1"/>
      <c r="H4" s="1"/>
      <c r="I4" s="1"/>
      <c r="J4" s="1"/>
      <c r="K4" s="1"/>
      <c r="L4" s="1"/>
      <c r="M4" s="1"/>
      <c r="N4" s="1"/>
      <c r="O4" s="1"/>
      <c r="P4" s="1"/>
      <c r="Q4" s="1"/>
      <c r="R4" s="1"/>
      <c r="S4" s="1"/>
      <c r="T4" s="1"/>
      <c r="U4" s="1"/>
      <c r="V4" s="1"/>
      <c r="W4" s="1"/>
      <c r="X4" s="1"/>
      <c r="Y4" s="1"/>
      <c r="Z4" s="1"/>
    </row>
    <row r="5" ht="15.75" customHeight="1">
      <c r="A5" s="1"/>
      <c r="B5" s="5" t="s">
        <v>1</v>
      </c>
      <c r="C5" s="6"/>
      <c r="D5" s="6"/>
      <c r="E5" s="6"/>
      <c r="F5" s="6"/>
      <c r="G5" s="6"/>
      <c r="H5" s="6"/>
      <c r="I5" s="6"/>
      <c r="J5" s="6"/>
      <c r="K5" s="6"/>
      <c r="L5" s="6"/>
      <c r="M5" s="6"/>
      <c r="N5" s="6"/>
      <c r="O5" s="6"/>
      <c r="P5" s="6"/>
      <c r="Q5" s="6"/>
      <c r="R5" s="6"/>
      <c r="S5" s="1"/>
      <c r="T5" s="1"/>
      <c r="U5" s="1"/>
      <c r="V5" s="1"/>
      <c r="W5" s="1"/>
      <c r="X5" s="1"/>
      <c r="Y5" s="1"/>
      <c r="Z5" s="1"/>
    </row>
    <row r="6" ht="15.75" customHeight="1" outlineLevel="1">
      <c r="A6" s="1"/>
      <c r="B6" s="4"/>
      <c r="C6" s="1"/>
      <c r="D6" s="2"/>
      <c r="E6" s="2"/>
      <c r="F6" s="2"/>
      <c r="G6" s="1"/>
      <c r="H6" s="1"/>
      <c r="I6" s="2"/>
      <c r="J6" s="1"/>
      <c r="K6" s="1"/>
      <c r="L6" s="1"/>
      <c r="M6" s="1"/>
      <c r="N6" s="1"/>
      <c r="O6" s="1"/>
      <c r="P6" s="1"/>
      <c r="Q6" s="1"/>
      <c r="R6" s="1"/>
      <c r="S6" s="1"/>
      <c r="T6" s="1"/>
      <c r="U6" s="1"/>
      <c r="V6" s="1"/>
      <c r="W6" s="1"/>
      <c r="X6" s="1"/>
      <c r="Y6" s="1"/>
      <c r="Z6" s="1"/>
    </row>
    <row r="7" ht="15.75" customHeight="1" outlineLevel="1">
      <c r="A7" s="1"/>
      <c r="B7" s="1"/>
      <c r="C7" s="1" t="s">
        <v>3</v>
      </c>
      <c r="D7" s="7" t="s">
        <v>4</v>
      </c>
      <c r="E7" s="7"/>
      <c r="F7" s="2"/>
      <c r="G7" s="1" t="s">
        <v>5</v>
      </c>
      <c r="H7" s="1"/>
      <c r="I7" s="8"/>
      <c r="J7" s="9">
        <v>43830.0</v>
      </c>
      <c r="K7" s="1"/>
      <c r="L7" s="1"/>
      <c r="M7" s="10"/>
      <c r="N7" s="1"/>
      <c r="O7" s="1"/>
      <c r="P7" s="1"/>
      <c r="Q7" s="1"/>
      <c r="R7" s="1"/>
      <c r="S7" s="1"/>
      <c r="T7" s="1"/>
      <c r="U7" s="1"/>
      <c r="V7" s="1"/>
      <c r="W7" s="1"/>
      <c r="X7" s="1"/>
      <c r="Y7" s="1"/>
      <c r="Z7" s="1"/>
    </row>
    <row r="8" ht="15.75" customHeight="1" outlineLevel="1">
      <c r="A8" s="1"/>
      <c r="B8" s="1"/>
      <c r="C8" s="1" t="s">
        <v>6</v>
      </c>
      <c r="D8" s="11" t="s">
        <v>7</v>
      </c>
      <c r="E8" s="2"/>
      <c r="F8" s="2"/>
      <c r="G8" s="1" t="s">
        <v>8</v>
      </c>
      <c r="H8" s="1"/>
      <c r="I8" s="12"/>
      <c r="J8" s="13">
        <f>EOMONTH(Hist_Year,12)</f>
        <v>44196</v>
      </c>
      <c r="K8" s="1"/>
      <c r="L8" s="1"/>
      <c r="M8" s="8"/>
      <c r="N8" s="1"/>
      <c r="O8" s="1"/>
      <c r="P8" s="1"/>
      <c r="Q8" s="1"/>
      <c r="R8" s="1"/>
      <c r="S8" s="1"/>
      <c r="T8" s="1"/>
      <c r="U8" s="1"/>
      <c r="V8" s="1"/>
      <c r="W8" s="1"/>
      <c r="X8" s="1"/>
      <c r="Y8" s="1"/>
      <c r="Z8" s="1"/>
    </row>
    <row r="9" ht="15.75" customHeight="1" outlineLevel="1">
      <c r="A9" s="1"/>
      <c r="B9" s="1"/>
      <c r="C9" s="1" t="s">
        <v>9</v>
      </c>
      <c r="D9" s="14">
        <v>1000000.0</v>
      </c>
      <c r="E9" s="2"/>
      <c r="F9" s="1"/>
      <c r="G9" s="1" t="s">
        <v>10</v>
      </c>
      <c r="H9" s="1"/>
      <c r="I9" s="12"/>
      <c r="J9" s="9">
        <v>43830.0</v>
      </c>
      <c r="K9" s="1"/>
      <c r="L9" s="1"/>
      <c r="M9" s="10"/>
      <c r="N9" s="1"/>
      <c r="O9" s="1"/>
      <c r="P9" s="1"/>
      <c r="Q9" s="1"/>
      <c r="R9" s="1"/>
      <c r="S9" s="1"/>
      <c r="T9" s="1"/>
      <c r="U9" s="1"/>
      <c r="V9" s="1"/>
      <c r="W9" s="1"/>
      <c r="X9" s="1"/>
      <c r="Y9" s="1"/>
      <c r="Z9" s="1"/>
    </row>
    <row r="10" ht="15.75" customHeight="1" outlineLevel="1">
      <c r="A10" s="1"/>
      <c r="B10" s="1"/>
      <c r="C10" s="1"/>
      <c r="D10" s="2"/>
      <c r="E10" s="2"/>
      <c r="F10" s="1"/>
      <c r="G10" s="1" t="s">
        <v>11</v>
      </c>
      <c r="H10" s="1"/>
      <c r="I10" s="15"/>
      <c r="J10" s="9">
        <v>43872.0</v>
      </c>
      <c r="K10" s="1"/>
      <c r="L10" s="1"/>
      <c r="M10" s="16"/>
      <c r="N10" s="1"/>
      <c r="O10" s="1"/>
      <c r="P10" s="1"/>
      <c r="Q10" s="1"/>
      <c r="R10" s="1"/>
      <c r="S10" s="1"/>
      <c r="T10" s="1"/>
      <c r="U10" s="1"/>
      <c r="V10" s="1"/>
      <c r="W10" s="1"/>
      <c r="X10" s="1"/>
      <c r="Y10" s="1"/>
      <c r="Z10" s="1"/>
    </row>
    <row r="11" ht="15.75" customHeight="1" outlineLevel="1">
      <c r="A11" s="1"/>
      <c r="B11" s="1"/>
      <c r="C11" s="1" t="s">
        <v>12</v>
      </c>
      <c r="D11" s="17">
        <v>60.78</v>
      </c>
      <c r="E11" s="2"/>
      <c r="F11" s="1"/>
      <c r="G11" s="1"/>
      <c r="H11" s="1"/>
      <c r="I11" s="1"/>
      <c r="J11" s="1"/>
      <c r="K11" s="1"/>
      <c r="L11" s="1"/>
      <c r="M11" s="16"/>
      <c r="N11" s="1"/>
      <c r="O11" s="1"/>
      <c r="P11" s="1"/>
      <c r="Q11" s="1"/>
      <c r="R11" s="1"/>
      <c r="S11" s="1"/>
      <c r="T11" s="1"/>
      <c r="U11" s="1"/>
      <c r="V11" s="1"/>
      <c r="W11" s="1"/>
      <c r="X11" s="1"/>
      <c r="Y11" s="1"/>
      <c r="Z11" s="1"/>
    </row>
    <row r="12" ht="15.75" customHeight="1" outlineLevel="1">
      <c r="A12" s="1"/>
      <c r="B12" s="1"/>
      <c r="C12" s="1" t="s">
        <v>13</v>
      </c>
      <c r="D12" s="18">
        <v>0.1919</v>
      </c>
      <c r="E12" s="1"/>
      <c r="F12" s="2"/>
      <c r="G12" s="1"/>
      <c r="H12" s="1"/>
      <c r="I12" s="1"/>
      <c r="J12" s="1"/>
      <c r="K12" s="1"/>
      <c r="L12" s="1"/>
      <c r="M12" s="1"/>
      <c r="N12" s="1"/>
      <c r="O12" s="1"/>
      <c r="P12" s="1"/>
      <c r="Q12" s="1"/>
      <c r="R12" s="1"/>
      <c r="S12" s="1"/>
      <c r="T12" s="1"/>
      <c r="U12" s="1"/>
      <c r="V12" s="1"/>
      <c r="W12" s="1"/>
      <c r="X12" s="1"/>
      <c r="Y12" s="1"/>
      <c r="Z12" s="1"/>
    </row>
    <row r="13" ht="15.75" customHeight="1" outlineLevel="1">
      <c r="A13" s="1"/>
      <c r="B13" s="1"/>
      <c r="C13" s="1"/>
      <c r="D13" s="19"/>
      <c r="E13" s="20"/>
      <c r="F13" s="2"/>
      <c r="G13" s="1"/>
      <c r="H13" s="1"/>
      <c r="I13" s="1"/>
      <c r="J13" s="1"/>
      <c r="K13" s="1"/>
      <c r="L13" s="1"/>
      <c r="M13" s="1"/>
      <c r="N13" s="1"/>
      <c r="O13" s="1"/>
      <c r="P13" s="1"/>
      <c r="Q13" s="1"/>
      <c r="R13" s="1"/>
      <c r="S13" s="1"/>
      <c r="T13" s="1"/>
      <c r="U13" s="1"/>
      <c r="V13" s="1"/>
      <c r="W13" s="1"/>
      <c r="X13" s="1"/>
      <c r="Y13" s="1"/>
      <c r="Z13" s="1"/>
    </row>
    <row r="14" ht="15.75" customHeight="1" outlineLevel="1">
      <c r="A14" s="1"/>
      <c r="B14" s="1"/>
      <c r="C14" s="1" t="s">
        <v>14</v>
      </c>
      <c r="D14" s="21" t="s">
        <v>15</v>
      </c>
      <c r="E14" s="20"/>
      <c r="F14" s="2"/>
      <c r="G14" s="1"/>
      <c r="H14" s="1"/>
      <c r="I14" s="1"/>
      <c r="J14" s="1"/>
      <c r="K14" s="1"/>
      <c r="L14" s="1"/>
      <c r="M14" s="1"/>
      <c r="N14" s="1"/>
      <c r="O14" s="1"/>
      <c r="P14" s="1"/>
      <c r="Q14" s="1"/>
      <c r="R14" s="1"/>
      <c r="S14" s="1"/>
      <c r="T14" s="1"/>
      <c r="U14" s="1"/>
      <c r="V14" s="1"/>
      <c r="W14" s="1"/>
      <c r="X14" s="1"/>
      <c r="Y14" s="1"/>
      <c r="Z14" s="1"/>
    </row>
    <row r="15" ht="15.75" customHeight="1" outlineLevel="1">
      <c r="A15" s="1"/>
      <c r="B15" s="1"/>
      <c r="C15" s="1"/>
      <c r="D15" s="19"/>
      <c r="E15" s="20"/>
      <c r="F15" s="2"/>
      <c r="G15" s="1"/>
      <c r="H15" s="1"/>
      <c r="I15" s="1"/>
      <c r="J15" s="1"/>
      <c r="K15" s="1"/>
      <c r="L15" s="1"/>
      <c r="M15" s="1"/>
      <c r="N15" s="1"/>
      <c r="O15" s="1"/>
      <c r="P15" s="1"/>
      <c r="Q15" s="1"/>
      <c r="R15" s="1"/>
      <c r="S15" s="1"/>
      <c r="T15" s="1"/>
      <c r="U15" s="1"/>
      <c r="V15" s="1"/>
      <c r="W15" s="1"/>
      <c r="X15" s="1"/>
      <c r="Y15" s="1"/>
      <c r="Z15" s="1"/>
    </row>
    <row r="16" ht="15.75" customHeight="1">
      <c r="A16" s="1"/>
      <c r="B16" s="1"/>
      <c r="C16" s="1"/>
      <c r="D16" s="2"/>
      <c r="E16" s="2"/>
      <c r="F16" s="2"/>
      <c r="G16" s="1"/>
      <c r="H16" s="1"/>
      <c r="I16" s="1"/>
      <c r="J16" s="1"/>
      <c r="K16" s="1"/>
      <c r="L16" s="1"/>
      <c r="M16" s="1"/>
      <c r="N16" s="1"/>
      <c r="O16" s="1"/>
      <c r="P16" s="1"/>
      <c r="Q16" s="1"/>
      <c r="R16" s="1"/>
      <c r="S16" s="1"/>
      <c r="T16" s="1"/>
      <c r="U16" s="1"/>
      <c r="V16" s="1"/>
      <c r="W16" s="1"/>
      <c r="X16" s="1"/>
      <c r="Y16" s="1"/>
      <c r="Z16" s="1"/>
    </row>
    <row r="17" ht="15.75" customHeight="1">
      <c r="A17" s="1"/>
      <c r="B17" s="22"/>
      <c r="C17" s="22"/>
      <c r="D17" s="23"/>
      <c r="E17" s="39" t="str">
        <f>$E$17</f>
        <v>#REF!</v>
      </c>
      <c r="F17" s="40"/>
      <c r="G17" s="40"/>
      <c r="H17" s="41"/>
      <c r="I17" s="39" t="str">
        <f>$I$17</f>
        <v>#REF!</v>
      </c>
      <c r="J17" s="40"/>
      <c r="K17" s="40"/>
      <c r="L17" s="40"/>
      <c r="M17" s="40"/>
      <c r="N17" s="40"/>
      <c r="O17" s="40"/>
      <c r="P17" s="40"/>
      <c r="Q17" s="40"/>
      <c r="R17" s="40"/>
      <c r="S17" s="42"/>
      <c r="T17" s="1"/>
      <c r="U17" s="1"/>
      <c r="V17" s="1"/>
      <c r="W17" s="1"/>
      <c r="X17" s="1"/>
      <c r="Y17" s="1"/>
      <c r="Z17" s="1"/>
    </row>
    <row r="18" ht="15.75" customHeight="1">
      <c r="A18" s="43"/>
      <c r="B18" s="44" t="s">
        <v>36</v>
      </c>
      <c r="C18" s="44"/>
      <c r="D18" s="45" t="s">
        <v>37</v>
      </c>
      <c r="E18" s="46">
        <f t="shared" ref="E18:G18" si="1">EOMONTH(F18,-12)</f>
        <v>42735</v>
      </c>
      <c r="F18" s="46">
        <f t="shared" si="1"/>
        <v>43100</v>
      </c>
      <c r="G18" s="46">
        <f t="shared" si="1"/>
        <v>43465</v>
      </c>
      <c r="H18" s="47">
        <f>Hist_Year</f>
        <v>43830</v>
      </c>
      <c r="I18" s="46">
        <f t="shared" ref="I18:R18" si="2">EOMONTH(H18,12)</f>
        <v>44196</v>
      </c>
      <c r="J18" s="46">
        <f t="shared" si="2"/>
        <v>44561</v>
      </c>
      <c r="K18" s="46">
        <f t="shared" si="2"/>
        <v>44926</v>
      </c>
      <c r="L18" s="46">
        <f t="shared" si="2"/>
        <v>45291</v>
      </c>
      <c r="M18" s="46">
        <f t="shared" si="2"/>
        <v>45657</v>
      </c>
      <c r="N18" s="46">
        <f t="shared" si="2"/>
        <v>46022</v>
      </c>
      <c r="O18" s="46">
        <f t="shared" si="2"/>
        <v>46387</v>
      </c>
      <c r="P18" s="46">
        <f t="shared" si="2"/>
        <v>46752</v>
      </c>
      <c r="Q18" s="46">
        <f t="shared" si="2"/>
        <v>47118</v>
      </c>
      <c r="R18" s="46">
        <f t="shared" si="2"/>
        <v>47483</v>
      </c>
      <c r="S18" s="46"/>
      <c r="T18" s="1"/>
      <c r="U18" s="1"/>
      <c r="V18" s="1"/>
      <c r="W18" s="1"/>
      <c r="X18" s="1"/>
      <c r="Y18" s="1"/>
      <c r="Z18" s="1"/>
    </row>
    <row r="19" ht="15.75" customHeight="1" outlineLevel="1">
      <c r="A19" s="43"/>
      <c r="B19" s="1"/>
      <c r="C19" s="1"/>
      <c r="D19" s="2"/>
      <c r="E19" s="48"/>
      <c r="F19" s="48"/>
      <c r="G19" s="48"/>
      <c r="H19" s="48"/>
      <c r="I19" s="48"/>
      <c r="J19" s="48"/>
      <c r="K19" s="48"/>
      <c r="L19" s="48"/>
      <c r="M19" s="50"/>
      <c r="N19" s="1"/>
      <c r="O19" s="1"/>
      <c r="P19" s="1"/>
      <c r="Q19" s="1"/>
      <c r="R19" s="1"/>
      <c r="S19" s="1"/>
      <c r="T19" s="1"/>
      <c r="U19" s="1"/>
      <c r="V19" s="1"/>
      <c r="W19" s="1"/>
      <c r="X19" s="1"/>
      <c r="Y19" s="1"/>
      <c r="Z19" s="1"/>
    </row>
    <row r="20" ht="15.75" customHeight="1" outlineLevel="1">
      <c r="A20" s="43"/>
      <c r="B20" s="1"/>
      <c r="C20" s="51" t="s">
        <v>39</v>
      </c>
      <c r="D20" s="52"/>
      <c r="E20" s="53">
        <f>$E$18</f>
        <v>42735</v>
      </c>
      <c r="F20" s="53">
        <f>$F$18</f>
        <v>43100</v>
      </c>
      <c r="G20" s="53">
        <f>$G$18</f>
        <v>43465</v>
      </c>
      <c r="H20" s="54">
        <f>$H$18</f>
        <v>43830</v>
      </c>
      <c r="I20" s="53">
        <f>$I$18</f>
        <v>44196</v>
      </c>
      <c r="J20" s="53">
        <f>$J$18</f>
        <v>44561</v>
      </c>
      <c r="K20" s="53">
        <f>$K$18</f>
        <v>44926</v>
      </c>
      <c r="L20" s="53">
        <f>$L$18</f>
        <v>45291</v>
      </c>
      <c r="M20" s="53">
        <f>$M$18</f>
        <v>45657</v>
      </c>
      <c r="N20" s="53">
        <f>$N$18</f>
        <v>46022</v>
      </c>
      <c r="O20" s="53">
        <f>$O$18</f>
        <v>46387</v>
      </c>
      <c r="P20" s="53">
        <f>$P$18</f>
        <v>46752</v>
      </c>
      <c r="Q20" s="53">
        <f>$Q$18</f>
        <v>47118</v>
      </c>
      <c r="R20" s="53">
        <f>$R$18</f>
        <v>47483</v>
      </c>
      <c r="S20" s="53"/>
      <c r="T20" s="1"/>
      <c r="U20" s="1"/>
      <c r="V20" s="1"/>
      <c r="W20" s="1"/>
      <c r="X20" s="1"/>
      <c r="Y20" s="1"/>
      <c r="Z20" s="1"/>
    </row>
    <row r="21" ht="15.75" customHeight="1" outlineLevel="1">
      <c r="A21" s="43"/>
      <c r="B21" s="1"/>
      <c r="C21" s="4"/>
      <c r="D21" s="2"/>
      <c r="E21" s="48"/>
      <c r="F21" s="48"/>
      <c r="G21" s="48"/>
      <c r="H21" s="48"/>
      <c r="I21" s="48"/>
      <c r="J21" s="48"/>
      <c r="K21" s="48"/>
      <c r="L21" s="48"/>
      <c r="M21" s="48"/>
      <c r="N21" s="1"/>
      <c r="O21" s="1"/>
      <c r="P21" s="1"/>
      <c r="Q21" s="1"/>
      <c r="R21" s="1"/>
      <c r="S21" s="1"/>
      <c r="T21" s="1"/>
      <c r="U21" s="1"/>
      <c r="V21" s="1"/>
      <c r="W21" s="1"/>
      <c r="X21" s="1"/>
      <c r="Y21" s="1"/>
      <c r="Z21" s="1"/>
    </row>
    <row r="22" ht="15.75" customHeight="1" outlineLevel="1">
      <c r="A22" s="1"/>
      <c r="B22" s="1"/>
      <c r="C22" s="58"/>
      <c r="D22" s="1"/>
      <c r="E22" s="59"/>
      <c r="F22" s="59"/>
      <c r="G22" s="59"/>
      <c r="H22" s="59"/>
      <c r="I22" s="59"/>
      <c r="J22" s="59"/>
      <c r="K22" s="59"/>
      <c r="L22" s="59"/>
      <c r="M22" s="59"/>
      <c r="N22" s="59"/>
      <c r="O22" s="59"/>
      <c r="P22" s="59"/>
      <c r="Q22" s="59"/>
      <c r="R22" s="60"/>
      <c r="S22" s="1"/>
      <c r="T22" s="1"/>
      <c r="U22" s="1"/>
      <c r="V22" s="1"/>
      <c r="W22" s="1"/>
      <c r="X22" s="1"/>
      <c r="Y22" s="1"/>
      <c r="Z22" s="1"/>
    </row>
    <row r="23" ht="15.75" customHeight="1" outlineLevel="1">
      <c r="A23" s="1"/>
      <c r="B23" s="1"/>
      <c r="C23" s="58" t="s">
        <v>51</v>
      </c>
      <c r="D23" s="61" t="s">
        <v>52</v>
      </c>
      <c r="E23" s="63">
        <v>25.653</v>
      </c>
      <c r="F23" s="63">
        <v>25.398</v>
      </c>
      <c r="G23" s="63">
        <v>24.888</v>
      </c>
      <c r="H23" s="63">
        <v>30.855</v>
      </c>
      <c r="I23" s="64">
        <f t="array" ref="I23">INDEX(I24:I26,MATCH(Scenario,$C24:$C26,0))</f>
        <v>19.89</v>
      </c>
      <c r="J23" s="64">
        <f t="array" ref="J23">INDEX(J24:J26,MATCH(Scenario,$C24:$C26,0))</f>
        <v>19.89</v>
      </c>
      <c r="K23" s="64">
        <f t="array" ref="K23">INDEX(K24:K26,MATCH(Scenario,$C24:$C26,0))</f>
        <v>19.89</v>
      </c>
      <c r="L23" s="64">
        <f t="array" ref="L23">INDEX(L24:L26,MATCH(Scenario,$C24:$C26,0))</f>
        <v>19</v>
      </c>
      <c r="M23" s="64">
        <f t="array" ref="M23">INDEX(M24:M26,MATCH(Scenario,$C24:$C26,0))</f>
        <v>19</v>
      </c>
      <c r="N23" s="64">
        <f t="array" ref="N23">INDEX(N24:N26,MATCH(Scenario,$C24:$C26,0))</f>
        <v>18</v>
      </c>
      <c r="O23" s="64">
        <f t="array" ref="O23">INDEX(O24:O26,MATCH(Scenario,$C24:$C26,0))</f>
        <v>18</v>
      </c>
      <c r="P23" s="64">
        <f t="array" ref="P23">INDEX(P24:P26,MATCH(Scenario,$C24:$C26,0))</f>
        <v>17</v>
      </c>
      <c r="Q23" s="64">
        <f t="array" ref="Q23">INDEX(Q24:Q26,MATCH(Scenario,$C24:$C26,0))</f>
        <v>17</v>
      </c>
      <c r="R23" s="64">
        <f t="array" ref="R23">INDEX(R24:R26,MATCH(Scenario,$C24:$C26,0))</f>
        <v>16</v>
      </c>
      <c r="S23" s="1"/>
      <c r="T23" s="1"/>
      <c r="U23" s="1"/>
      <c r="V23" s="1"/>
      <c r="W23" s="1"/>
      <c r="X23" s="1"/>
      <c r="Y23" s="1"/>
      <c r="Z23" s="1"/>
    </row>
    <row r="24" ht="15.75" customHeight="1" outlineLevel="1">
      <c r="A24" s="1"/>
      <c r="B24" s="1"/>
      <c r="C24" s="58" t="s">
        <v>15</v>
      </c>
      <c r="D24" s="61" t="s">
        <v>52</v>
      </c>
      <c r="E24" s="66"/>
      <c r="F24" s="66"/>
      <c r="G24" s="66"/>
      <c r="H24" s="66"/>
      <c r="I24" s="67">
        <v>19.89</v>
      </c>
      <c r="J24" s="67">
        <v>19.89</v>
      </c>
      <c r="K24" s="67">
        <v>19.89</v>
      </c>
      <c r="L24" s="67">
        <v>19.0</v>
      </c>
      <c r="M24" s="67">
        <v>19.0</v>
      </c>
      <c r="N24" s="67">
        <v>18.0</v>
      </c>
      <c r="O24" s="67">
        <v>18.0</v>
      </c>
      <c r="P24" s="67">
        <v>17.0</v>
      </c>
      <c r="Q24" s="67">
        <v>17.0</v>
      </c>
      <c r="R24" s="67">
        <v>16.0</v>
      </c>
      <c r="U24" s="1"/>
      <c r="V24" s="1"/>
      <c r="W24" s="1"/>
      <c r="X24" s="1"/>
      <c r="Y24" s="1"/>
      <c r="Z24" s="1"/>
    </row>
    <row r="25" ht="15.75" customHeight="1" outlineLevel="1">
      <c r="A25" s="1"/>
      <c r="B25" s="1"/>
      <c r="C25" s="58" t="s">
        <v>57</v>
      </c>
      <c r="D25" s="61" t="s">
        <v>52</v>
      </c>
      <c r="E25" s="66"/>
      <c r="F25" s="66"/>
      <c r="G25" s="66"/>
      <c r="H25" s="66"/>
      <c r="I25" s="67">
        <v>19.89</v>
      </c>
      <c r="J25" s="67">
        <v>20.88</v>
      </c>
      <c r="K25" s="67">
        <v>22.92</v>
      </c>
      <c r="L25" s="67">
        <v>23.0</v>
      </c>
      <c r="M25" s="67">
        <v>23.0</v>
      </c>
      <c r="N25" s="67">
        <v>23.0</v>
      </c>
      <c r="O25" s="67">
        <v>18.0</v>
      </c>
      <c r="P25" s="67">
        <v>17.0</v>
      </c>
      <c r="Q25" s="67">
        <v>17.0</v>
      </c>
      <c r="R25" s="67">
        <v>17.0</v>
      </c>
      <c r="U25" s="1"/>
      <c r="V25" s="1"/>
      <c r="W25" s="1"/>
      <c r="X25" s="1"/>
      <c r="Y25" s="1"/>
      <c r="Z25" s="1"/>
    </row>
    <row r="26" ht="15.75" customHeight="1" outlineLevel="1">
      <c r="A26" s="1"/>
      <c r="B26" s="1"/>
      <c r="C26" s="58" t="s">
        <v>58</v>
      </c>
      <c r="D26" s="61" t="s">
        <v>52</v>
      </c>
      <c r="E26" s="66"/>
      <c r="F26" s="66"/>
      <c r="G26" s="66"/>
      <c r="H26" s="66"/>
      <c r="I26" s="67">
        <v>19.2933</v>
      </c>
      <c r="J26" s="67">
        <v>19.0</v>
      </c>
      <c r="K26" s="67">
        <v>18.0</v>
      </c>
      <c r="L26" s="67">
        <v>17.0</v>
      </c>
      <c r="M26" s="67">
        <v>16.0</v>
      </c>
      <c r="N26" s="67">
        <v>16.0</v>
      </c>
      <c r="O26" s="67">
        <v>15.0</v>
      </c>
      <c r="P26" s="67">
        <v>14.0</v>
      </c>
      <c r="Q26" s="67">
        <v>13.0</v>
      </c>
      <c r="R26" s="67">
        <v>13.0</v>
      </c>
      <c r="U26" s="1"/>
      <c r="V26" s="1"/>
      <c r="W26" s="1"/>
      <c r="X26" s="1"/>
      <c r="Y26" s="1"/>
      <c r="Z26" s="1"/>
    </row>
    <row r="27" ht="15.75" customHeight="1" outlineLevel="1">
      <c r="A27" s="1"/>
      <c r="B27" s="1"/>
      <c r="C27" s="58"/>
      <c r="D27" s="2"/>
      <c r="E27" s="66"/>
      <c r="F27" s="66"/>
      <c r="G27" s="66"/>
      <c r="H27" s="66"/>
      <c r="I27" s="73"/>
      <c r="J27" s="73"/>
      <c r="K27" s="73"/>
      <c r="L27" s="73"/>
      <c r="M27" s="73"/>
      <c r="N27" s="73"/>
      <c r="O27" s="73"/>
      <c r="P27" s="73"/>
      <c r="Q27" s="73"/>
      <c r="R27" s="73"/>
      <c r="U27" s="1"/>
      <c r="V27" s="1"/>
      <c r="W27" s="1"/>
      <c r="X27" s="1"/>
      <c r="Y27" s="1"/>
      <c r="Z27" s="1"/>
    </row>
    <row r="28" ht="15.75" customHeight="1" outlineLevel="1">
      <c r="A28" s="43"/>
      <c r="B28" s="1"/>
      <c r="C28" s="58" t="s">
        <v>59</v>
      </c>
      <c r="D28" s="61" t="s">
        <v>52</v>
      </c>
      <c r="E28" s="64">
        <v>51.27</v>
      </c>
      <c r="F28" s="64">
        <v>61.3</v>
      </c>
      <c r="G28" s="64">
        <v>65.17</v>
      </c>
      <c r="H28" s="64">
        <v>66.09</v>
      </c>
      <c r="I28" s="64">
        <f t="array" ref="I28">INDEX(I29:I31,MATCH(Scenario,$C29:$C31,0))</f>
        <v>67.58</v>
      </c>
      <c r="J28" s="64">
        <f t="array" ref="J28">INDEX(J29:J31,MATCH(Scenario,$C29:$C31,0))</f>
        <v>69.1</v>
      </c>
      <c r="K28" s="64">
        <f t="array" ref="K28">INDEX(K29:K31,MATCH(Scenario,$C29:$C31,0))</f>
        <v>70.65</v>
      </c>
      <c r="L28" s="64">
        <f t="array" ref="L28">INDEX(L29:L31,MATCH(Scenario,$C29:$C31,0))</f>
        <v>72.24</v>
      </c>
      <c r="M28" s="64">
        <f t="array" ref="M28">INDEX(M29:M31,MATCH(Scenario,$C29:$C31,0))</f>
        <v>73.87</v>
      </c>
      <c r="N28" s="64">
        <f t="array" ref="N28">INDEX(N29:N31,MATCH(Scenario,$C29:$C31,0))</f>
        <v>75.53</v>
      </c>
      <c r="O28" s="64">
        <f t="array" ref="O28">INDEX(O29:O31,MATCH(Scenario,$C29:$C31,0))</f>
        <v>77.23</v>
      </c>
      <c r="P28" s="64">
        <f t="array" ref="P28">INDEX(P29:P31,MATCH(Scenario,$C29:$C31,0))</f>
        <v>78.97</v>
      </c>
      <c r="Q28" s="64">
        <f t="array" ref="Q28">INDEX(Q29:Q31,MATCH(Scenario,$C29:$C31,0))</f>
        <v>80.74</v>
      </c>
      <c r="R28" s="64">
        <f t="array" ref="R28">INDEX(R29:R31,MATCH(Scenario,$C29:$C31,0))</f>
        <v>82.56</v>
      </c>
      <c r="U28" s="1"/>
      <c r="V28" s="1"/>
      <c r="W28" s="1"/>
      <c r="X28" s="1"/>
      <c r="Y28" s="1"/>
      <c r="Z28" s="1"/>
    </row>
    <row r="29" ht="15.75" customHeight="1" outlineLevel="1">
      <c r="A29" s="1"/>
      <c r="B29" s="1"/>
      <c r="C29" s="58" t="str">
        <f>+$C$24</f>
        <v>Base</v>
      </c>
      <c r="D29" s="61" t="s">
        <v>52</v>
      </c>
      <c r="E29" s="84"/>
      <c r="F29" s="86"/>
      <c r="G29" s="87"/>
      <c r="H29" s="87"/>
      <c r="I29" s="67">
        <v>67.58</v>
      </c>
      <c r="J29" s="67">
        <v>69.1</v>
      </c>
      <c r="K29" s="67">
        <v>70.65</v>
      </c>
      <c r="L29" s="67">
        <v>72.24</v>
      </c>
      <c r="M29" s="67">
        <v>73.87</v>
      </c>
      <c r="N29" s="67">
        <v>75.53</v>
      </c>
      <c r="O29" s="67">
        <v>77.23</v>
      </c>
      <c r="P29" s="67">
        <v>78.97</v>
      </c>
      <c r="Q29" s="67">
        <v>80.74</v>
      </c>
      <c r="R29" s="67">
        <v>82.56</v>
      </c>
      <c r="U29" s="1"/>
      <c r="V29" s="1"/>
      <c r="W29" s="1"/>
      <c r="X29" s="1"/>
      <c r="Y29" s="1"/>
      <c r="Z29" s="1"/>
    </row>
    <row r="30" ht="15.75" customHeight="1" outlineLevel="1">
      <c r="A30" s="1"/>
      <c r="B30" s="1"/>
      <c r="C30" s="58" t="str">
        <f>+$C$25</f>
        <v>Upside</v>
      </c>
      <c r="D30" s="61" t="s">
        <v>52</v>
      </c>
      <c r="E30" s="87"/>
      <c r="F30" s="86"/>
      <c r="G30" s="87"/>
      <c r="H30" s="87"/>
      <c r="I30" s="67">
        <v>67.58</v>
      </c>
      <c r="J30" s="67">
        <v>69.1</v>
      </c>
      <c r="K30" s="67">
        <v>70.65</v>
      </c>
      <c r="L30" s="67">
        <v>72.24</v>
      </c>
      <c r="M30" s="67">
        <v>73.87</v>
      </c>
      <c r="N30" s="67">
        <v>75.53</v>
      </c>
      <c r="O30" s="67">
        <v>77.23</v>
      </c>
      <c r="P30" s="67">
        <v>78.97</v>
      </c>
      <c r="Q30" s="67">
        <v>80.74</v>
      </c>
      <c r="R30" s="67">
        <v>82.56</v>
      </c>
      <c r="U30" s="1"/>
      <c r="V30" s="1"/>
      <c r="W30" s="1"/>
      <c r="X30" s="1"/>
      <c r="Y30" s="1"/>
      <c r="Z30" s="1"/>
    </row>
    <row r="31" ht="15.75" customHeight="1" outlineLevel="1">
      <c r="A31" s="1"/>
      <c r="B31" s="1"/>
      <c r="C31" s="58" t="str">
        <f>+$C$26</f>
        <v>Downside</v>
      </c>
      <c r="D31" s="61" t="s">
        <v>52</v>
      </c>
      <c r="E31" s="87"/>
      <c r="F31" s="86"/>
      <c r="G31" s="87"/>
      <c r="H31" s="87"/>
      <c r="I31" s="67">
        <v>67.58</v>
      </c>
      <c r="J31" s="67">
        <v>69.1</v>
      </c>
      <c r="K31" s="67">
        <v>70.65</v>
      </c>
      <c r="L31" s="67">
        <v>72.24</v>
      </c>
      <c r="M31" s="67">
        <v>73.87</v>
      </c>
      <c r="N31" s="67">
        <v>75.53</v>
      </c>
      <c r="O31" s="67">
        <v>77.23</v>
      </c>
      <c r="P31" s="67">
        <v>78.97</v>
      </c>
      <c r="Q31" s="67">
        <v>80.74</v>
      </c>
      <c r="R31" s="67">
        <v>82.56</v>
      </c>
      <c r="U31" s="1"/>
      <c r="V31" s="1"/>
      <c r="W31" s="1"/>
      <c r="X31" s="1"/>
      <c r="Y31" s="1"/>
      <c r="Z31" s="1"/>
    </row>
    <row r="32" ht="15.75" customHeight="1" outlineLevel="1">
      <c r="A32" s="1"/>
      <c r="B32" s="1"/>
      <c r="C32" s="58"/>
      <c r="D32" s="61"/>
      <c r="E32" s="87"/>
      <c r="F32" s="87"/>
      <c r="G32" s="87"/>
      <c r="H32" s="87"/>
      <c r="I32" s="87"/>
      <c r="J32" s="87"/>
      <c r="K32" s="87"/>
      <c r="L32" s="87"/>
      <c r="M32" s="87"/>
      <c r="N32" s="87"/>
      <c r="O32" s="87"/>
      <c r="P32" s="87"/>
      <c r="Q32" s="87"/>
      <c r="R32" s="87"/>
      <c r="U32" s="1"/>
      <c r="V32" s="1"/>
      <c r="W32" s="1"/>
      <c r="X32" s="1"/>
      <c r="Y32" s="1"/>
      <c r="Z32" s="1"/>
    </row>
    <row r="33" ht="15.75" customHeight="1" outlineLevel="1">
      <c r="A33" s="1"/>
      <c r="B33" s="1"/>
      <c r="C33" s="58"/>
      <c r="D33" s="1"/>
      <c r="E33" s="59"/>
      <c r="F33" s="59"/>
      <c r="G33" s="59"/>
      <c r="H33" s="59"/>
      <c r="I33" s="59"/>
      <c r="J33" s="59"/>
      <c r="K33" s="59"/>
      <c r="L33" s="59"/>
      <c r="M33" s="59"/>
      <c r="N33" s="59"/>
      <c r="O33" s="59"/>
      <c r="P33" s="59"/>
      <c r="Q33" s="59"/>
      <c r="R33" s="59"/>
      <c r="S33" s="1"/>
      <c r="T33" s="1"/>
      <c r="U33" s="1"/>
      <c r="V33" s="1"/>
      <c r="W33" s="1"/>
      <c r="X33" s="1"/>
      <c r="Y33" s="1"/>
      <c r="Z33" s="1"/>
    </row>
    <row r="34" ht="15.75" customHeight="1" outlineLevel="1">
      <c r="A34" s="1"/>
      <c r="B34" s="1"/>
      <c r="C34" s="58" t="s">
        <v>62</v>
      </c>
      <c r="D34" s="61" t="s">
        <v>63</v>
      </c>
      <c r="E34" s="37">
        <f t="shared" ref="E34:R34" si="3">E23*E28</f>
        <v>1315.22931</v>
      </c>
      <c r="F34" s="37">
        <f t="shared" si="3"/>
        <v>1556.8974</v>
      </c>
      <c r="G34" s="37">
        <f t="shared" si="3"/>
        <v>1621.95096</v>
      </c>
      <c r="H34" s="37">
        <f t="shared" si="3"/>
        <v>2039.20695</v>
      </c>
      <c r="I34" s="37">
        <f t="shared" si="3"/>
        <v>1344.1662</v>
      </c>
      <c r="J34" s="37">
        <f t="shared" si="3"/>
        <v>1374.399</v>
      </c>
      <c r="K34" s="37">
        <f t="shared" si="3"/>
        <v>1405.2285</v>
      </c>
      <c r="L34" s="37">
        <f t="shared" si="3"/>
        <v>1372.56</v>
      </c>
      <c r="M34" s="37">
        <f t="shared" si="3"/>
        <v>1403.53</v>
      </c>
      <c r="N34" s="37">
        <f t="shared" si="3"/>
        <v>1359.54</v>
      </c>
      <c r="O34" s="37">
        <f t="shared" si="3"/>
        <v>1390.14</v>
      </c>
      <c r="P34" s="37">
        <f t="shared" si="3"/>
        <v>1342.49</v>
      </c>
      <c r="Q34" s="37">
        <f t="shared" si="3"/>
        <v>1372.58</v>
      </c>
      <c r="R34" s="37">
        <f t="shared" si="3"/>
        <v>1320.96</v>
      </c>
      <c r="S34" s="1"/>
      <c r="T34" s="1"/>
      <c r="U34" s="1"/>
      <c r="V34" s="1"/>
      <c r="W34" s="1"/>
      <c r="X34" s="1"/>
      <c r="Y34" s="1"/>
      <c r="Z34" s="1"/>
    </row>
    <row r="35" ht="15.75" customHeight="1" outlineLevel="1">
      <c r="A35" s="1"/>
      <c r="B35" s="1"/>
      <c r="C35" s="94" t="s">
        <v>64</v>
      </c>
      <c r="D35" s="61" t="s">
        <v>66</v>
      </c>
      <c r="E35" s="96">
        <f>+E34/378.663-1</f>
        <v>2.473350473</v>
      </c>
      <c r="F35" s="96">
        <f t="shared" ref="F35:R35" si="4">+F34/E34-1</f>
        <v>0.1837459735</v>
      </c>
      <c r="G35" s="96">
        <f t="shared" si="4"/>
        <v>0.04178410215</v>
      </c>
      <c r="H35" s="96">
        <f t="shared" si="4"/>
        <v>0.2572556139</v>
      </c>
      <c r="I35" s="96">
        <f t="shared" si="4"/>
        <v>-0.3408387511</v>
      </c>
      <c r="J35" s="96">
        <f t="shared" si="4"/>
        <v>0.0224918615</v>
      </c>
      <c r="K35" s="96">
        <f t="shared" si="4"/>
        <v>0.02243125904</v>
      </c>
      <c r="L35" s="96">
        <f t="shared" si="4"/>
        <v>-0.02324782055</v>
      </c>
      <c r="M35" s="96">
        <f t="shared" si="4"/>
        <v>0.02256367663</v>
      </c>
      <c r="N35" s="96">
        <f t="shared" si="4"/>
        <v>-0.03134240095</v>
      </c>
      <c r="O35" s="96">
        <f t="shared" si="4"/>
        <v>0.02250761287</v>
      </c>
      <c r="P35" s="96">
        <f t="shared" si="4"/>
        <v>-0.03427712317</v>
      </c>
      <c r="Q35" s="96">
        <f t="shared" si="4"/>
        <v>0.02241357478</v>
      </c>
      <c r="R35" s="96">
        <f t="shared" si="4"/>
        <v>-0.03760800828</v>
      </c>
      <c r="S35" s="1"/>
      <c r="T35" s="1"/>
      <c r="U35" s="1"/>
      <c r="V35" s="1"/>
      <c r="W35" s="1"/>
      <c r="X35" s="1"/>
      <c r="Y35" s="1"/>
      <c r="Z35" s="1"/>
    </row>
    <row r="36" ht="15.75" customHeight="1" outlineLevel="1">
      <c r="A36" s="43"/>
      <c r="B36" s="1"/>
      <c r="C36" s="1"/>
      <c r="D36" s="2"/>
      <c r="E36" s="48"/>
      <c r="F36" s="38"/>
      <c r="G36" s="38"/>
      <c r="H36" s="38"/>
      <c r="I36" s="100"/>
      <c r="J36" s="100"/>
      <c r="K36" s="100"/>
      <c r="L36" s="100"/>
      <c r="M36" s="100"/>
      <c r="N36" s="100"/>
      <c r="O36" s="100"/>
      <c r="P36" s="100"/>
      <c r="Q36" s="100"/>
      <c r="R36" s="100"/>
      <c r="S36" s="1"/>
      <c r="T36" s="1"/>
      <c r="U36" s="1"/>
      <c r="V36" s="1"/>
      <c r="W36" s="1"/>
      <c r="X36" s="1"/>
      <c r="Y36" s="1"/>
      <c r="Z36" s="1"/>
    </row>
    <row r="37" ht="15.75" customHeight="1" outlineLevel="1">
      <c r="A37" s="43"/>
      <c r="B37" s="1"/>
      <c r="C37" s="51" t="s">
        <v>68</v>
      </c>
      <c r="D37" s="52"/>
      <c r="E37" s="53">
        <f>$E$18</f>
        <v>42735</v>
      </c>
      <c r="F37" s="53">
        <f>$F$18</f>
        <v>43100</v>
      </c>
      <c r="G37" s="53">
        <f>$G$18</f>
        <v>43465</v>
      </c>
      <c r="H37" s="54">
        <f>$H$18</f>
        <v>43830</v>
      </c>
      <c r="I37" s="53">
        <f>$I$18</f>
        <v>44196</v>
      </c>
      <c r="J37" s="53">
        <f>$J$18</f>
        <v>44561</v>
      </c>
      <c r="K37" s="53">
        <f>$K$18</f>
        <v>44926</v>
      </c>
      <c r="L37" s="53">
        <f>$L$18</f>
        <v>45291</v>
      </c>
      <c r="M37" s="53">
        <f>$M$18</f>
        <v>45657</v>
      </c>
      <c r="N37" s="53">
        <f>$N$18</f>
        <v>46022</v>
      </c>
      <c r="O37" s="53">
        <f>$O$18</f>
        <v>46387</v>
      </c>
      <c r="P37" s="53">
        <f>$P$18</f>
        <v>46752</v>
      </c>
      <c r="Q37" s="53">
        <f>$Q$18</f>
        <v>47118</v>
      </c>
      <c r="R37" s="53">
        <f>$R$18</f>
        <v>47483</v>
      </c>
      <c r="S37" s="1"/>
      <c r="T37" s="1"/>
      <c r="U37" s="1"/>
      <c r="V37" s="1"/>
      <c r="W37" s="1"/>
      <c r="X37" s="1"/>
      <c r="Y37" s="1"/>
      <c r="Z37" s="1"/>
    </row>
    <row r="38" ht="15.75" customHeight="1" outlineLevel="1">
      <c r="A38" s="43"/>
      <c r="B38" s="1"/>
      <c r="C38" s="1"/>
      <c r="D38" s="2"/>
      <c r="E38" s="48"/>
      <c r="F38" s="38"/>
      <c r="G38" s="38"/>
      <c r="H38" s="38"/>
      <c r="I38" s="100"/>
      <c r="J38" s="100"/>
      <c r="K38" s="100"/>
      <c r="L38" s="100"/>
      <c r="M38" s="100"/>
      <c r="N38" s="100"/>
      <c r="O38" s="100"/>
      <c r="P38" s="100"/>
      <c r="Q38" s="100"/>
      <c r="R38" s="100"/>
      <c r="S38" s="1"/>
      <c r="T38" s="1"/>
      <c r="U38" s="1"/>
      <c r="V38" s="1"/>
      <c r="W38" s="1"/>
      <c r="X38" s="1"/>
      <c r="Y38" s="1"/>
      <c r="Z38" s="1"/>
    </row>
    <row r="39" ht="15.75" customHeight="1" outlineLevel="1">
      <c r="A39" s="43"/>
      <c r="B39" s="1"/>
      <c r="C39" s="58" t="s">
        <v>51</v>
      </c>
      <c r="D39" s="61" t="s">
        <v>52</v>
      </c>
      <c r="E39" s="64">
        <v>5.53</v>
      </c>
      <c r="F39" s="64">
        <v>5.48</v>
      </c>
      <c r="G39" s="64">
        <v>5.37</v>
      </c>
      <c r="H39" s="64">
        <v>6.66</v>
      </c>
      <c r="I39" s="64">
        <f t="array" ref="I39">INDEX(I40:I42,MATCH(Scenario,$C40:$C42,0))</f>
        <v>4.29</v>
      </c>
      <c r="J39" s="64">
        <f t="array" ref="J39">INDEX(J40:J42,MATCH(Scenario,$C40:$C42,0))</f>
        <v>4.29</v>
      </c>
      <c r="K39" s="64">
        <f t="array" ref="K39">INDEX(K40:K42,MATCH(Scenario,$C40:$C42,0))</f>
        <v>4.29</v>
      </c>
      <c r="L39" s="64">
        <f t="array" ref="L39">INDEX(L40:L42,MATCH(Scenario,$C40:$C42,0))</f>
        <v>4.29</v>
      </c>
      <c r="M39" s="64">
        <f t="array" ref="M39">INDEX(M40:M42,MATCH(Scenario,$C40:$C42,0))</f>
        <v>4.2</v>
      </c>
      <c r="N39" s="64">
        <f t="array" ref="N39">INDEX(N40:N42,MATCH(Scenario,$C40:$C42,0))</f>
        <v>4.12</v>
      </c>
      <c r="O39" s="64">
        <f t="array" ref="O39">INDEX(O40:O42,MATCH(Scenario,$C40:$C42,0))</f>
        <v>4.04</v>
      </c>
      <c r="P39" s="64">
        <f t="array" ref="P39">INDEX(P40:P42,MATCH(Scenario,$C40:$C42,0))</f>
        <v>3.96</v>
      </c>
      <c r="Q39" s="64">
        <f t="array" ref="Q39">INDEX(Q40:Q42,MATCH(Scenario,$C40:$C42,0))</f>
        <v>3.8</v>
      </c>
      <c r="R39" s="64">
        <f t="array" ref="R39">INDEX(R40:R42,MATCH(Scenario,$C40:$C42,0))</f>
        <v>3.65</v>
      </c>
      <c r="S39" s="1"/>
      <c r="T39" s="1"/>
      <c r="U39" s="1"/>
      <c r="V39" s="1"/>
      <c r="W39" s="1"/>
      <c r="X39" s="1"/>
      <c r="Y39" s="1"/>
      <c r="Z39" s="1"/>
    </row>
    <row r="40" ht="15.75" customHeight="1" outlineLevel="1">
      <c r="A40" s="43"/>
      <c r="B40" s="1"/>
      <c r="C40" s="58" t="s">
        <v>15</v>
      </c>
      <c r="D40" s="61" t="s">
        <v>52</v>
      </c>
      <c r="E40" s="64"/>
      <c r="F40" s="64"/>
      <c r="G40" s="64"/>
      <c r="H40" s="64"/>
      <c r="I40" s="67">
        <v>4.29</v>
      </c>
      <c r="J40" s="67">
        <v>4.29</v>
      </c>
      <c r="K40" s="67">
        <v>4.29</v>
      </c>
      <c r="L40" s="67">
        <v>4.29</v>
      </c>
      <c r="M40" s="67">
        <v>4.2</v>
      </c>
      <c r="N40" s="67">
        <v>4.12</v>
      </c>
      <c r="O40" s="67">
        <v>4.04</v>
      </c>
      <c r="P40" s="67">
        <v>3.96</v>
      </c>
      <c r="Q40" s="67">
        <v>3.8</v>
      </c>
      <c r="R40" s="67">
        <v>3.65</v>
      </c>
      <c r="S40" s="1"/>
      <c r="T40" s="1"/>
      <c r="U40" s="1"/>
      <c r="V40" s="1"/>
      <c r="W40" s="1"/>
      <c r="X40" s="1"/>
      <c r="Y40" s="1"/>
      <c r="Z40" s="1"/>
    </row>
    <row r="41" ht="15.75" customHeight="1" outlineLevel="1">
      <c r="A41" s="43"/>
      <c r="B41" s="1"/>
      <c r="C41" s="58" t="s">
        <v>57</v>
      </c>
      <c r="D41" s="61" t="s">
        <v>52</v>
      </c>
      <c r="E41" s="64"/>
      <c r="F41" s="64"/>
      <c r="G41" s="64"/>
      <c r="H41" s="64"/>
      <c r="I41" s="67">
        <v>4.5</v>
      </c>
      <c r="J41" s="67">
        <v>4.86</v>
      </c>
      <c r="K41" s="67">
        <v>5.21</v>
      </c>
      <c r="L41" s="67">
        <v>5.36</v>
      </c>
      <c r="M41" s="67">
        <v>5.31</v>
      </c>
      <c r="N41" s="67">
        <v>5.2</v>
      </c>
      <c r="O41" s="67">
        <v>4.42</v>
      </c>
      <c r="P41" s="67">
        <v>4.24</v>
      </c>
      <c r="Q41" s="67">
        <v>4.07</v>
      </c>
      <c r="R41" s="67">
        <v>3.91</v>
      </c>
      <c r="S41" s="1"/>
      <c r="T41" s="1"/>
      <c r="U41" s="1"/>
      <c r="V41" s="1"/>
      <c r="W41" s="1"/>
      <c r="X41" s="1"/>
      <c r="Y41" s="1"/>
      <c r="Z41" s="1"/>
    </row>
    <row r="42" ht="15.75" customHeight="1" outlineLevel="1">
      <c r="A42" s="43"/>
      <c r="B42" s="1"/>
      <c r="C42" s="58" t="s">
        <v>58</v>
      </c>
      <c r="D42" s="61" t="s">
        <v>52</v>
      </c>
      <c r="E42" s="64"/>
      <c r="F42" s="64"/>
      <c r="G42" s="64"/>
      <c r="H42" s="64"/>
      <c r="I42" s="67">
        <v>4.12</v>
      </c>
      <c r="J42" s="67">
        <v>3.95</v>
      </c>
      <c r="K42" s="67">
        <v>3.8</v>
      </c>
      <c r="L42" s="67">
        <v>3.64</v>
      </c>
      <c r="M42" s="67">
        <v>3.39</v>
      </c>
      <c r="N42" s="67">
        <v>3.15</v>
      </c>
      <c r="O42" s="67">
        <v>2.93</v>
      </c>
      <c r="P42" s="67">
        <v>2.73</v>
      </c>
      <c r="Q42" s="67">
        <v>2.51</v>
      </c>
      <c r="R42" s="67">
        <v>2.31</v>
      </c>
      <c r="S42" s="1"/>
      <c r="T42" s="1"/>
      <c r="U42" s="1"/>
      <c r="V42" s="1"/>
      <c r="W42" s="1"/>
      <c r="X42" s="1"/>
      <c r="Y42" s="1"/>
      <c r="Z42" s="1"/>
    </row>
    <row r="43" ht="15.75" customHeight="1" outlineLevel="1">
      <c r="A43" s="43"/>
      <c r="B43" s="1"/>
      <c r="C43" s="58"/>
      <c r="D43" s="2"/>
      <c r="E43" s="64"/>
      <c r="F43" s="64"/>
      <c r="G43" s="64"/>
      <c r="H43" s="64"/>
      <c r="I43" s="73"/>
      <c r="J43" s="73"/>
      <c r="K43" s="73"/>
      <c r="L43" s="73"/>
      <c r="M43" s="73"/>
      <c r="N43" s="73"/>
      <c r="O43" s="73"/>
      <c r="P43" s="73"/>
      <c r="Q43" s="73"/>
      <c r="R43" s="73"/>
      <c r="S43" s="1"/>
      <c r="T43" s="1"/>
      <c r="U43" s="1"/>
      <c r="V43" s="1"/>
      <c r="W43" s="1"/>
      <c r="X43" s="1"/>
      <c r="Y43" s="1"/>
      <c r="Z43" s="1"/>
    </row>
    <row r="44" ht="15.75" customHeight="1" outlineLevel="1">
      <c r="A44" s="43"/>
      <c r="B44" s="1"/>
      <c r="C44" s="58" t="s">
        <v>59</v>
      </c>
      <c r="D44" s="61" t="s">
        <v>52</v>
      </c>
      <c r="E44" s="64">
        <v>32.09</v>
      </c>
      <c r="F44" s="64">
        <v>38.37</v>
      </c>
      <c r="G44" s="64">
        <v>40.8</v>
      </c>
      <c r="H44" s="64">
        <v>41.37</v>
      </c>
      <c r="I44" s="64">
        <f t="array" ref="I44">INDEX(I45:I47,MATCH(Scenario,$C45:$C47,0))</f>
        <v>42.74</v>
      </c>
      <c r="J44" s="64">
        <f t="array" ref="J44">INDEX(J45:J47,MATCH(Scenario,$C45:$C47,0))</f>
        <v>44.15</v>
      </c>
      <c r="K44" s="64">
        <f t="array" ref="K44">INDEX(K45:K47,MATCH(Scenario,$C45:$C47,0))</f>
        <v>45.6</v>
      </c>
      <c r="L44" s="64">
        <f t="array" ref="L44">INDEX(L45:L47,MATCH(Scenario,$C45:$C47,0))</f>
        <v>47.11</v>
      </c>
      <c r="M44" s="64">
        <f t="array" ref="M44">INDEX(M45:M47,MATCH(Scenario,$C45:$C47,0))</f>
        <v>48.66</v>
      </c>
      <c r="N44" s="64">
        <f t="array" ref="N44">INDEX(N45:N47,MATCH(Scenario,$C45:$C47,0))</f>
        <v>50.27</v>
      </c>
      <c r="O44" s="64">
        <f t="array" ref="O44">INDEX(O45:O47,MATCH(Scenario,$C45:$C47,0))</f>
        <v>51.68</v>
      </c>
      <c r="P44" s="64">
        <f t="array" ref="P44">INDEX(P45:P47,MATCH(Scenario,$C45:$C47,0))</f>
        <v>53.12</v>
      </c>
      <c r="Q44" s="64">
        <f t="array" ref="Q44">INDEX(Q45:Q47,MATCH(Scenario,$C45:$C47,0))</f>
        <v>54.5</v>
      </c>
      <c r="R44" s="64">
        <f t="array" ref="R44">INDEX(R45:R47,MATCH(Scenario,$C45:$C47,0))</f>
        <v>55.92</v>
      </c>
      <c r="S44" s="1"/>
      <c r="T44" s="1"/>
      <c r="U44" s="1"/>
      <c r="V44" s="1"/>
      <c r="W44" s="1"/>
      <c r="X44" s="1"/>
      <c r="Y44" s="1"/>
      <c r="Z44" s="1"/>
    </row>
    <row r="45" ht="15.75" customHeight="1" outlineLevel="1">
      <c r="A45" s="43"/>
      <c r="B45" s="1"/>
      <c r="C45" s="58" t="str">
        <f>+$C$24</f>
        <v>Base</v>
      </c>
      <c r="D45" s="61" t="s">
        <v>52</v>
      </c>
      <c r="E45" s="84"/>
      <c r="F45" s="86"/>
      <c r="G45" s="87"/>
      <c r="H45" s="87"/>
      <c r="I45" s="67">
        <v>42.74</v>
      </c>
      <c r="J45" s="67">
        <v>44.15</v>
      </c>
      <c r="K45" s="67">
        <v>45.6</v>
      </c>
      <c r="L45" s="67">
        <v>47.11</v>
      </c>
      <c r="M45" s="67">
        <v>48.66</v>
      </c>
      <c r="N45" s="67">
        <v>50.27</v>
      </c>
      <c r="O45" s="67">
        <v>51.68</v>
      </c>
      <c r="P45" s="67">
        <v>53.12</v>
      </c>
      <c r="Q45" s="67">
        <v>54.5</v>
      </c>
      <c r="R45" s="67">
        <v>55.92</v>
      </c>
      <c r="S45" s="1"/>
      <c r="T45" s="1"/>
      <c r="U45" s="1"/>
      <c r="V45" s="1"/>
      <c r="W45" s="1"/>
      <c r="X45" s="1"/>
      <c r="Y45" s="1"/>
      <c r="Z45" s="1"/>
    </row>
    <row r="46" ht="15.75" customHeight="1" outlineLevel="1">
      <c r="A46" s="43"/>
      <c r="B46" s="1"/>
      <c r="C46" s="58" t="str">
        <f>+$C$25</f>
        <v>Upside</v>
      </c>
      <c r="D46" s="61" t="s">
        <v>52</v>
      </c>
      <c r="E46" s="87"/>
      <c r="F46" s="86"/>
      <c r="G46" s="87"/>
      <c r="H46" s="87"/>
      <c r="I46" s="67">
        <v>42.74</v>
      </c>
      <c r="J46" s="67">
        <v>44.15</v>
      </c>
      <c r="K46" s="67">
        <v>45.6</v>
      </c>
      <c r="L46" s="67">
        <v>47.11</v>
      </c>
      <c r="M46" s="67">
        <v>48.66</v>
      </c>
      <c r="N46" s="67">
        <v>50.27</v>
      </c>
      <c r="O46" s="67">
        <v>51.68</v>
      </c>
      <c r="P46" s="67">
        <v>53.12</v>
      </c>
      <c r="Q46" s="67">
        <v>54.5</v>
      </c>
      <c r="R46" s="67">
        <v>55.92</v>
      </c>
      <c r="S46" s="1"/>
      <c r="T46" s="1"/>
      <c r="U46" s="1"/>
      <c r="V46" s="1"/>
      <c r="W46" s="1"/>
      <c r="X46" s="1"/>
      <c r="Y46" s="1"/>
      <c r="Z46" s="1"/>
    </row>
    <row r="47" ht="15.75" customHeight="1" outlineLevel="1">
      <c r="A47" s="43"/>
      <c r="B47" s="1"/>
      <c r="C47" s="58" t="str">
        <f>+$C$26</f>
        <v>Downside</v>
      </c>
      <c r="D47" s="61" t="s">
        <v>52</v>
      </c>
      <c r="E47" s="87"/>
      <c r="F47" s="86"/>
      <c r="G47" s="87"/>
      <c r="H47" s="87"/>
      <c r="I47" s="67">
        <v>42.74</v>
      </c>
      <c r="J47" s="67">
        <v>44.15</v>
      </c>
      <c r="K47" s="67">
        <v>45.6</v>
      </c>
      <c r="L47" s="67">
        <v>47.11</v>
      </c>
      <c r="M47" s="67">
        <v>48.66</v>
      </c>
      <c r="N47" s="67">
        <v>50.27</v>
      </c>
      <c r="O47" s="67">
        <v>51.68</v>
      </c>
      <c r="P47" s="67">
        <v>53.12</v>
      </c>
      <c r="Q47" s="67">
        <v>54.5</v>
      </c>
      <c r="R47" s="67">
        <v>55.92</v>
      </c>
      <c r="S47" s="1"/>
      <c r="T47" s="1"/>
      <c r="U47" s="1"/>
      <c r="V47" s="1"/>
      <c r="W47" s="1"/>
      <c r="X47" s="1"/>
      <c r="Y47" s="1"/>
      <c r="Z47" s="1"/>
    </row>
    <row r="48" ht="15.75" customHeight="1" outlineLevel="1">
      <c r="A48" s="43"/>
      <c r="B48" s="1"/>
      <c r="C48" s="58"/>
      <c r="D48" s="61"/>
      <c r="E48" s="87"/>
      <c r="F48" s="87"/>
      <c r="G48" s="87"/>
      <c r="H48" s="87"/>
      <c r="I48" s="87"/>
      <c r="J48" s="87"/>
      <c r="K48" s="87"/>
      <c r="L48" s="87"/>
      <c r="M48" s="87"/>
      <c r="N48" s="87"/>
      <c r="O48" s="87"/>
      <c r="P48" s="87"/>
      <c r="Q48" s="87"/>
      <c r="R48" s="87"/>
      <c r="S48" s="1"/>
      <c r="T48" s="1"/>
      <c r="U48" s="1"/>
      <c r="V48" s="1"/>
      <c r="W48" s="1"/>
      <c r="X48" s="1"/>
      <c r="Y48" s="1"/>
      <c r="Z48" s="1"/>
    </row>
    <row r="49" ht="15.75" customHeight="1" outlineLevel="1">
      <c r="A49" s="43"/>
      <c r="B49" s="1"/>
      <c r="C49" s="58"/>
      <c r="D49" s="1"/>
      <c r="E49" s="59"/>
      <c r="F49" s="59"/>
      <c r="G49" s="59"/>
      <c r="H49" s="59"/>
      <c r="I49" s="59"/>
      <c r="J49" s="59"/>
      <c r="K49" s="59"/>
      <c r="L49" s="59"/>
      <c r="M49" s="59"/>
      <c r="N49" s="59"/>
      <c r="O49" s="59"/>
      <c r="P49" s="59"/>
      <c r="Q49" s="59"/>
      <c r="R49" s="59"/>
      <c r="S49" s="1"/>
      <c r="T49" s="1"/>
      <c r="U49" s="1"/>
      <c r="V49" s="1"/>
      <c r="W49" s="1"/>
      <c r="X49" s="1"/>
      <c r="Y49" s="1"/>
      <c r="Z49" s="1"/>
    </row>
    <row r="50" ht="15.75" customHeight="1" outlineLevel="1">
      <c r="A50" s="43"/>
      <c r="B50" s="1"/>
      <c r="C50" s="58" t="s">
        <v>75</v>
      </c>
      <c r="D50" s="61" t="s">
        <v>63</v>
      </c>
      <c r="E50" s="37">
        <f t="shared" ref="E50:R50" si="5">E39*E44</f>
        <v>177.4577</v>
      </c>
      <c r="F50" s="37">
        <f t="shared" si="5"/>
        <v>210.2676</v>
      </c>
      <c r="G50" s="37">
        <f t="shared" si="5"/>
        <v>219.096</v>
      </c>
      <c r="H50" s="37">
        <f t="shared" si="5"/>
        <v>275.5242</v>
      </c>
      <c r="I50" s="37">
        <f t="shared" si="5"/>
        <v>183.3546</v>
      </c>
      <c r="J50" s="37">
        <f t="shared" si="5"/>
        <v>189.4035</v>
      </c>
      <c r="K50" s="37">
        <f t="shared" si="5"/>
        <v>195.624</v>
      </c>
      <c r="L50" s="37">
        <f t="shared" si="5"/>
        <v>202.1019</v>
      </c>
      <c r="M50" s="37">
        <f t="shared" si="5"/>
        <v>204.372</v>
      </c>
      <c r="N50" s="37">
        <f t="shared" si="5"/>
        <v>207.1124</v>
      </c>
      <c r="O50" s="37">
        <f t="shared" si="5"/>
        <v>208.7872</v>
      </c>
      <c r="P50" s="37">
        <f t="shared" si="5"/>
        <v>210.3552</v>
      </c>
      <c r="Q50" s="37">
        <f t="shared" si="5"/>
        <v>207.1</v>
      </c>
      <c r="R50" s="37">
        <f t="shared" si="5"/>
        <v>204.108</v>
      </c>
      <c r="S50" s="1"/>
      <c r="T50" s="1"/>
      <c r="U50" s="1"/>
      <c r="V50" s="1"/>
      <c r="W50" s="1"/>
      <c r="X50" s="1"/>
      <c r="Y50" s="1"/>
      <c r="Z50" s="1"/>
    </row>
    <row r="51" ht="15.75" customHeight="1" outlineLevel="1">
      <c r="A51" s="43"/>
      <c r="B51" s="1"/>
      <c r="C51" s="94" t="s">
        <v>64</v>
      </c>
      <c r="D51" s="61" t="s">
        <v>66</v>
      </c>
      <c r="E51" s="96">
        <f>+E50/378.663-1</f>
        <v>-0.5313571698</v>
      </c>
      <c r="F51" s="96">
        <f t="shared" ref="F51:R51" si="6">+F50/E50-1</f>
        <v>0.1848885678</v>
      </c>
      <c r="G51" s="96">
        <f t="shared" si="6"/>
        <v>0.04198649721</v>
      </c>
      <c r="H51" s="96">
        <f t="shared" si="6"/>
        <v>0.257550115</v>
      </c>
      <c r="I51" s="96">
        <f t="shared" si="6"/>
        <v>-0.3345245173</v>
      </c>
      <c r="J51" s="96">
        <f t="shared" si="6"/>
        <v>0.03299017314</v>
      </c>
      <c r="K51" s="96">
        <f t="shared" si="6"/>
        <v>0.03284258211</v>
      </c>
      <c r="L51" s="96">
        <f t="shared" si="6"/>
        <v>0.03311403509</v>
      </c>
      <c r="M51" s="96">
        <f t="shared" si="6"/>
        <v>0.01123245254</v>
      </c>
      <c r="N51" s="96">
        <f t="shared" si="6"/>
        <v>0.01340888184</v>
      </c>
      <c r="O51" s="96">
        <f t="shared" si="6"/>
        <v>0.008086430363</v>
      </c>
      <c r="P51" s="96">
        <f t="shared" si="6"/>
        <v>0.00751003893</v>
      </c>
      <c r="Q51" s="96">
        <f t="shared" si="6"/>
        <v>-0.0154747779</v>
      </c>
      <c r="R51" s="96">
        <f t="shared" si="6"/>
        <v>-0.01444712699</v>
      </c>
      <c r="S51" s="1"/>
      <c r="T51" s="1"/>
      <c r="U51" s="1"/>
      <c r="V51" s="1"/>
      <c r="W51" s="1"/>
      <c r="X51" s="1"/>
      <c r="Y51" s="1"/>
      <c r="Z51" s="1"/>
    </row>
    <row r="52" ht="15.75" customHeight="1" outlineLevel="1">
      <c r="A52" s="43"/>
      <c r="B52" s="1"/>
      <c r="C52" s="113"/>
      <c r="D52" s="1"/>
      <c r="E52" s="59"/>
      <c r="F52" s="59"/>
      <c r="G52" s="59"/>
      <c r="H52" s="59"/>
      <c r="I52" s="59"/>
      <c r="J52" s="59"/>
      <c r="K52" s="59"/>
      <c r="L52" s="59"/>
      <c r="M52" s="59"/>
      <c r="N52" s="59"/>
      <c r="O52" s="59"/>
      <c r="P52" s="59"/>
      <c r="Q52" s="59"/>
      <c r="R52" s="59"/>
      <c r="S52" s="1"/>
      <c r="T52" s="1"/>
      <c r="U52" s="1"/>
      <c r="V52" s="1"/>
      <c r="W52" s="1"/>
      <c r="X52" s="1"/>
      <c r="Y52" s="1"/>
      <c r="Z52" s="1"/>
    </row>
    <row r="53" ht="15.75" customHeight="1" outlineLevel="1">
      <c r="A53" s="43"/>
      <c r="B53" s="1"/>
      <c r="C53" s="51" t="s">
        <v>76</v>
      </c>
      <c r="D53" s="52"/>
      <c r="E53" s="53">
        <f>$E$18</f>
        <v>42735</v>
      </c>
      <c r="F53" s="53">
        <f>$F$18</f>
        <v>43100</v>
      </c>
      <c r="G53" s="53">
        <f>$G$18</f>
        <v>43465</v>
      </c>
      <c r="H53" s="54">
        <f>$H$18</f>
        <v>43830</v>
      </c>
      <c r="I53" s="53">
        <f>$I$18</f>
        <v>44196</v>
      </c>
      <c r="J53" s="53">
        <f>$J$18</f>
        <v>44561</v>
      </c>
      <c r="K53" s="53">
        <f>$K$18</f>
        <v>44926</v>
      </c>
      <c r="L53" s="53">
        <f>$L$18</f>
        <v>45291</v>
      </c>
      <c r="M53" s="53">
        <f>$M$18</f>
        <v>45657</v>
      </c>
      <c r="N53" s="53">
        <f>$N$18</f>
        <v>46022</v>
      </c>
      <c r="O53" s="53">
        <f>$O$18</f>
        <v>46387</v>
      </c>
      <c r="P53" s="53">
        <f>$P$18</f>
        <v>46752</v>
      </c>
      <c r="Q53" s="53">
        <f>$Q$18</f>
        <v>47118</v>
      </c>
      <c r="R53" s="53">
        <f>$R$18</f>
        <v>47483</v>
      </c>
      <c r="S53" s="1"/>
      <c r="T53" s="1"/>
      <c r="U53" s="1"/>
      <c r="V53" s="1"/>
      <c r="W53" s="1"/>
      <c r="X53" s="1"/>
      <c r="Y53" s="1"/>
      <c r="Z53" s="1"/>
    </row>
    <row r="54" ht="15.75" customHeight="1" outlineLevel="1">
      <c r="A54" s="43"/>
      <c r="B54" s="1"/>
      <c r="C54" s="113"/>
      <c r="D54" s="1"/>
      <c r="E54" s="59"/>
      <c r="F54" s="59"/>
      <c r="G54" s="59"/>
      <c r="H54" s="59"/>
      <c r="I54" s="59"/>
      <c r="J54" s="59"/>
      <c r="K54" s="59"/>
      <c r="L54" s="59"/>
      <c r="M54" s="59"/>
      <c r="N54" s="59"/>
      <c r="O54" s="59"/>
      <c r="P54" s="59"/>
      <c r="Q54" s="59"/>
      <c r="R54" s="59"/>
      <c r="S54" s="1"/>
      <c r="T54" s="1"/>
      <c r="U54" s="1"/>
      <c r="V54" s="1"/>
      <c r="W54" s="1"/>
      <c r="X54" s="1"/>
      <c r="Y54" s="1"/>
      <c r="Z54" s="1"/>
    </row>
    <row r="55" ht="15.75" customHeight="1" outlineLevel="1">
      <c r="A55" s="43"/>
      <c r="B55" s="1"/>
      <c r="C55" s="58" t="s">
        <v>51</v>
      </c>
      <c r="D55" s="61" t="s">
        <v>52</v>
      </c>
      <c r="E55" s="64">
        <v>19.114</v>
      </c>
      <c r="F55" s="64">
        <v>18.924</v>
      </c>
      <c r="G55" s="64">
        <v>18.544</v>
      </c>
      <c r="H55" s="64">
        <v>22.99</v>
      </c>
      <c r="I55" s="64">
        <f t="array" ref="I55">INDEX(I56:I58,MATCH(Scenario,$C56:$C58,0))</f>
        <v>14.82</v>
      </c>
      <c r="J55" s="64">
        <f t="array" ref="J55">INDEX(J56:J58,MATCH(Scenario,$C56:$C58,0))</f>
        <v>14.82</v>
      </c>
      <c r="K55" s="64">
        <f t="array" ref="K55">INDEX(K56:K58,MATCH(Scenario,$C56:$C58,0))</f>
        <v>14.82</v>
      </c>
      <c r="L55" s="64">
        <f t="array" ref="L55">INDEX(L56:L58,MATCH(Scenario,$C56:$C58,0))</f>
        <v>14</v>
      </c>
      <c r="M55" s="64">
        <f t="array" ref="M55">INDEX(M56:M58,MATCH(Scenario,$C56:$C58,0))</f>
        <v>14</v>
      </c>
      <c r="N55" s="64">
        <f t="array" ref="N55">INDEX(N56:N58,MATCH(Scenario,$C56:$C58,0))</f>
        <v>14</v>
      </c>
      <c r="O55" s="64">
        <f t="array" ref="O55">INDEX(O56:O58,MATCH(Scenario,$C56:$C58,0))</f>
        <v>13</v>
      </c>
      <c r="P55" s="64">
        <f t="array" ref="P55">INDEX(P56:P58,MATCH(Scenario,$C56:$C58,0))</f>
        <v>13</v>
      </c>
      <c r="Q55" s="64">
        <f t="array" ref="Q55">INDEX(Q56:Q58,MATCH(Scenario,$C56:$C58,0))</f>
        <v>12</v>
      </c>
      <c r="R55" s="64">
        <f t="array" ref="R55">INDEX(R56:R58,MATCH(Scenario,$C56:$C58,0))</f>
        <v>12</v>
      </c>
      <c r="S55" s="1"/>
      <c r="T55" s="1"/>
      <c r="U55" s="1"/>
      <c r="V55" s="1"/>
      <c r="W55" s="1"/>
      <c r="X55" s="1"/>
      <c r="Y55" s="1"/>
      <c r="Z55" s="1"/>
    </row>
    <row r="56" ht="15.75" customHeight="1" outlineLevel="1">
      <c r="A56" s="43"/>
      <c r="B56" s="1"/>
      <c r="C56" s="58" t="s">
        <v>15</v>
      </c>
      <c r="D56" s="61" t="s">
        <v>52</v>
      </c>
      <c r="E56" s="64"/>
      <c r="F56" s="64"/>
      <c r="G56" s="64"/>
      <c r="H56" s="64"/>
      <c r="I56" s="67">
        <v>14.82</v>
      </c>
      <c r="J56" s="67">
        <v>14.82</v>
      </c>
      <c r="K56" s="67">
        <v>14.82</v>
      </c>
      <c r="L56" s="67">
        <v>14.0</v>
      </c>
      <c r="M56" s="67">
        <v>14.0</v>
      </c>
      <c r="N56" s="67">
        <v>14.0</v>
      </c>
      <c r="O56" s="67">
        <v>13.0</v>
      </c>
      <c r="P56" s="67">
        <v>13.0</v>
      </c>
      <c r="Q56" s="67">
        <v>12.0</v>
      </c>
      <c r="R56" s="67">
        <v>12.0</v>
      </c>
      <c r="S56" s="1"/>
      <c r="T56" s="1"/>
      <c r="U56" s="1"/>
      <c r="V56" s="1"/>
      <c r="W56" s="1"/>
      <c r="X56" s="1"/>
      <c r="Y56" s="1"/>
      <c r="Z56" s="1"/>
    </row>
    <row r="57" ht="15.75" customHeight="1" outlineLevel="1">
      <c r="A57" s="43"/>
      <c r="B57" s="1"/>
      <c r="C57" s="58" t="s">
        <v>57</v>
      </c>
      <c r="D57" s="61" t="s">
        <v>52</v>
      </c>
      <c r="E57" s="64"/>
      <c r="F57" s="64"/>
      <c r="G57" s="64"/>
      <c r="H57" s="64"/>
      <c r="I57" s="67">
        <v>14.82</v>
      </c>
      <c r="J57" s="67">
        <v>15.56</v>
      </c>
      <c r="K57" s="67">
        <v>17.08</v>
      </c>
      <c r="L57" s="67">
        <v>17.0</v>
      </c>
      <c r="M57" s="67">
        <v>17.0</v>
      </c>
      <c r="N57" s="67">
        <v>17.0</v>
      </c>
      <c r="O57" s="67">
        <v>13.0</v>
      </c>
      <c r="P57" s="67">
        <v>13.0</v>
      </c>
      <c r="Q57" s="67">
        <v>13.0</v>
      </c>
      <c r="R57" s="67">
        <v>12.0</v>
      </c>
      <c r="S57" s="1"/>
      <c r="T57" s="1"/>
      <c r="U57" s="1"/>
      <c r="V57" s="1"/>
      <c r="W57" s="1"/>
      <c r="X57" s="1"/>
      <c r="Y57" s="1"/>
      <c r="Z57" s="1"/>
    </row>
    <row r="58" ht="15.75" customHeight="1" outlineLevel="1">
      <c r="A58" s="43"/>
      <c r="B58" s="1"/>
      <c r="C58" s="58" t="s">
        <v>58</v>
      </c>
      <c r="D58" s="61" t="s">
        <v>52</v>
      </c>
      <c r="E58" s="64"/>
      <c r="F58" s="64"/>
      <c r="G58" s="64"/>
      <c r="H58" s="64"/>
      <c r="I58" s="67">
        <v>14.3754</v>
      </c>
      <c r="J58" s="67">
        <v>14.0</v>
      </c>
      <c r="K58" s="67">
        <v>14.0</v>
      </c>
      <c r="L58" s="67">
        <v>13.0</v>
      </c>
      <c r="M58" s="67">
        <v>12.0</v>
      </c>
      <c r="N58" s="67">
        <v>12.0</v>
      </c>
      <c r="O58" s="67">
        <v>11.0</v>
      </c>
      <c r="P58" s="67">
        <v>10.0</v>
      </c>
      <c r="Q58" s="67">
        <v>10.0</v>
      </c>
      <c r="R58" s="67">
        <v>9.0</v>
      </c>
      <c r="S58" s="1"/>
      <c r="T58" s="1"/>
      <c r="U58" s="1"/>
      <c r="V58" s="1"/>
      <c r="W58" s="1"/>
      <c r="X58" s="1"/>
      <c r="Y58" s="1"/>
      <c r="Z58" s="1"/>
    </row>
    <row r="59" ht="15.75" customHeight="1" outlineLevel="1">
      <c r="A59" s="43"/>
      <c r="B59" s="1"/>
      <c r="C59" s="58"/>
      <c r="D59" s="2"/>
      <c r="E59" s="64"/>
      <c r="F59" s="64"/>
      <c r="G59" s="64"/>
      <c r="H59" s="64"/>
      <c r="I59" s="73"/>
      <c r="J59" s="73"/>
      <c r="K59" s="73"/>
      <c r="L59" s="73"/>
      <c r="M59" s="73"/>
      <c r="N59" s="73"/>
      <c r="O59" s="73"/>
      <c r="P59" s="73"/>
      <c r="Q59" s="73"/>
      <c r="R59" s="73"/>
      <c r="S59" s="1"/>
      <c r="T59" s="1"/>
      <c r="U59" s="1"/>
      <c r="V59" s="1"/>
      <c r="W59" s="1"/>
      <c r="X59" s="1"/>
      <c r="Y59" s="1"/>
      <c r="Z59" s="1"/>
    </row>
    <row r="60" ht="15.75" customHeight="1" outlineLevel="1">
      <c r="A60" s="43"/>
      <c r="B60" s="1"/>
      <c r="C60" s="58" t="s">
        <v>59</v>
      </c>
      <c r="D60" s="61" t="s">
        <v>52</v>
      </c>
      <c r="E60" s="64">
        <v>38.05</v>
      </c>
      <c r="F60" s="64">
        <v>45.5</v>
      </c>
      <c r="G60" s="64">
        <v>48.37</v>
      </c>
      <c r="H60" s="64">
        <v>49.05</v>
      </c>
      <c r="I60" s="64">
        <f t="array" ref="I60">INDEX(I61:I63,MATCH(Scenario,$C61:$C63,0))</f>
        <v>49.89</v>
      </c>
      <c r="J60" s="64">
        <f t="array" ref="J60">INDEX(J61:J63,MATCH(Scenario,$C61:$C63,0))</f>
        <v>50.74</v>
      </c>
      <c r="K60" s="64">
        <f t="array" ref="K60">INDEX(K61:K63,MATCH(Scenario,$C61:$C63,0))</f>
        <v>51.6</v>
      </c>
      <c r="L60" s="64">
        <f t="array" ref="L60">INDEX(L61:L63,MATCH(Scenario,$C61:$C63,0))</f>
        <v>52.47</v>
      </c>
      <c r="M60" s="64">
        <f t="array" ref="M60">INDEX(M61:M63,MATCH(Scenario,$C61:$C63,0))</f>
        <v>53.37</v>
      </c>
      <c r="N60" s="64">
        <f t="array" ref="N60">INDEX(N61:N63,MATCH(Scenario,$C61:$C63,0))</f>
        <v>54.27</v>
      </c>
      <c r="O60" s="64">
        <f t="array" ref="O60">INDEX(O61:O63,MATCH(Scenario,$C61:$C63,0))</f>
        <v>55.2</v>
      </c>
      <c r="P60" s="64">
        <f t="array" ref="P60">INDEX(P61:P63,MATCH(Scenario,$C61:$C63,0))</f>
        <v>56.14</v>
      </c>
      <c r="Q60" s="64">
        <f t="array" ref="Q60">INDEX(Q61:Q63,MATCH(Scenario,$C61:$C63,0))</f>
        <v>57.09</v>
      </c>
      <c r="R60" s="64">
        <f t="array" ref="R60">INDEX(R61:R63,MATCH(Scenario,$C61:$C63,0))</f>
        <v>58.06</v>
      </c>
      <c r="S60" s="1"/>
      <c r="T60" s="1"/>
      <c r="U60" s="1"/>
      <c r="V60" s="1"/>
      <c r="W60" s="1"/>
      <c r="X60" s="1"/>
      <c r="Y60" s="1"/>
      <c r="Z60" s="1"/>
    </row>
    <row r="61" ht="15.75" customHeight="1" outlineLevel="1">
      <c r="A61" s="43"/>
      <c r="B61" s="1"/>
      <c r="C61" s="58" t="str">
        <f>+$C$24</f>
        <v>Base</v>
      </c>
      <c r="D61" s="61" t="s">
        <v>52</v>
      </c>
      <c r="E61" s="84"/>
      <c r="F61" s="86"/>
      <c r="G61" s="87"/>
      <c r="H61" s="87"/>
      <c r="I61" s="67">
        <v>49.89</v>
      </c>
      <c r="J61" s="67">
        <v>50.74</v>
      </c>
      <c r="K61" s="67">
        <v>51.6</v>
      </c>
      <c r="L61" s="67">
        <v>52.47</v>
      </c>
      <c r="M61" s="67">
        <v>53.37</v>
      </c>
      <c r="N61" s="67">
        <v>54.27</v>
      </c>
      <c r="O61" s="67">
        <v>55.2</v>
      </c>
      <c r="P61" s="67">
        <v>56.14</v>
      </c>
      <c r="Q61" s="67">
        <v>57.09</v>
      </c>
      <c r="R61" s="67">
        <v>58.06</v>
      </c>
      <c r="S61" s="1"/>
      <c r="T61" s="1"/>
      <c r="U61" s="1"/>
      <c r="V61" s="1"/>
      <c r="W61" s="1"/>
      <c r="X61" s="1"/>
      <c r="Y61" s="1"/>
      <c r="Z61" s="1"/>
    </row>
    <row r="62" ht="15.75" customHeight="1" outlineLevel="1">
      <c r="A62" s="43"/>
      <c r="B62" s="1"/>
      <c r="C62" s="58" t="str">
        <f>+$C$25</f>
        <v>Upside</v>
      </c>
      <c r="D62" s="61" t="s">
        <v>52</v>
      </c>
      <c r="E62" s="87"/>
      <c r="F62" s="86"/>
      <c r="G62" s="87"/>
      <c r="H62" s="87"/>
      <c r="I62" s="67">
        <v>49.89</v>
      </c>
      <c r="J62" s="67">
        <v>50.74</v>
      </c>
      <c r="K62" s="67">
        <v>51.6</v>
      </c>
      <c r="L62" s="67">
        <v>52.47</v>
      </c>
      <c r="M62" s="67">
        <v>53.37</v>
      </c>
      <c r="N62" s="67">
        <v>54.27</v>
      </c>
      <c r="O62" s="67">
        <v>55.2</v>
      </c>
      <c r="P62" s="67">
        <v>56.14</v>
      </c>
      <c r="Q62" s="67">
        <v>57.09</v>
      </c>
      <c r="R62" s="67">
        <v>58.06</v>
      </c>
      <c r="S62" s="1"/>
      <c r="T62" s="1"/>
      <c r="U62" s="1"/>
      <c r="V62" s="1"/>
      <c r="W62" s="1"/>
      <c r="X62" s="1"/>
      <c r="Y62" s="1"/>
      <c r="Z62" s="1"/>
    </row>
    <row r="63" ht="15.75" customHeight="1" outlineLevel="1">
      <c r="A63" s="43"/>
      <c r="B63" s="1"/>
      <c r="C63" s="58" t="str">
        <f>+$C$26</f>
        <v>Downside</v>
      </c>
      <c r="D63" s="61" t="s">
        <v>52</v>
      </c>
      <c r="E63" s="87"/>
      <c r="F63" s="86"/>
      <c r="G63" s="87"/>
      <c r="H63" s="87"/>
      <c r="I63" s="67">
        <v>49.89</v>
      </c>
      <c r="J63" s="67">
        <v>50.74</v>
      </c>
      <c r="K63" s="67">
        <v>51.6</v>
      </c>
      <c r="L63" s="67">
        <v>52.47</v>
      </c>
      <c r="M63" s="67">
        <v>53.37</v>
      </c>
      <c r="N63" s="67">
        <v>54.27</v>
      </c>
      <c r="O63" s="67">
        <v>55.2</v>
      </c>
      <c r="P63" s="67">
        <v>56.14</v>
      </c>
      <c r="Q63" s="67">
        <v>57.09</v>
      </c>
      <c r="R63" s="67">
        <v>58.06</v>
      </c>
      <c r="S63" s="1"/>
      <c r="T63" s="1"/>
      <c r="U63" s="1"/>
      <c r="V63" s="1"/>
      <c r="W63" s="1"/>
      <c r="X63" s="1"/>
      <c r="Y63" s="1"/>
      <c r="Z63" s="1"/>
    </row>
    <row r="64" ht="15.75" customHeight="1" outlineLevel="1">
      <c r="A64" s="43"/>
      <c r="B64" s="1"/>
      <c r="C64" s="58"/>
      <c r="D64" s="61"/>
      <c r="E64" s="87"/>
      <c r="F64" s="87"/>
      <c r="G64" s="87"/>
      <c r="H64" s="87"/>
      <c r="I64" s="87"/>
      <c r="J64" s="87"/>
      <c r="K64" s="87"/>
      <c r="L64" s="87"/>
      <c r="M64" s="87"/>
      <c r="N64" s="87"/>
      <c r="O64" s="87"/>
      <c r="P64" s="87"/>
      <c r="Q64" s="87"/>
      <c r="R64" s="87"/>
      <c r="S64" s="1"/>
      <c r="T64" s="1"/>
      <c r="U64" s="1"/>
      <c r="V64" s="1"/>
      <c r="W64" s="1"/>
      <c r="X64" s="1"/>
      <c r="Y64" s="1"/>
      <c r="Z64" s="1"/>
    </row>
    <row r="65" ht="15.75" customHeight="1" outlineLevel="1">
      <c r="A65" s="43"/>
      <c r="B65" s="1"/>
      <c r="C65" s="58"/>
      <c r="D65" s="1"/>
      <c r="E65" s="59"/>
      <c r="F65" s="59"/>
      <c r="G65" s="59"/>
      <c r="H65" s="59"/>
      <c r="I65" s="59"/>
      <c r="J65" s="59"/>
      <c r="K65" s="59"/>
      <c r="L65" s="59"/>
      <c r="M65" s="59"/>
      <c r="N65" s="59"/>
      <c r="O65" s="59"/>
      <c r="P65" s="59"/>
      <c r="Q65" s="59"/>
      <c r="R65" s="59"/>
      <c r="S65" s="1"/>
      <c r="T65" s="1"/>
      <c r="U65" s="1"/>
      <c r="V65" s="1"/>
      <c r="W65" s="1"/>
      <c r="X65" s="1"/>
      <c r="Y65" s="1"/>
      <c r="Z65" s="1"/>
    </row>
    <row r="66" ht="15.75" customHeight="1" outlineLevel="1">
      <c r="A66" s="43"/>
      <c r="B66" s="1"/>
      <c r="C66" s="58" t="s">
        <v>77</v>
      </c>
      <c r="D66" s="61" t="s">
        <v>63</v>
      </c>
      <c r="E66" s="37">
        <f t="shared" ref="E66:R66" si="7">E55*E60</f>
        <v>727.2877</v>
      </c>
      <c r="F66" s="37">
        <f t="shared" si="7"/>
        <v>861.042</v>
      </c>
      <c r="G66" s="37">
        <f t="shared" si="7"/>
        <v>896.97328</v>
      </c>
      <c r="H66" s="37">
        <f t="shared" si="7"/>
        <v>1127.6595</v>
      </c>
      <c r="I66" s="37">
        <f t="shared" si="7"/>
        <v>739.3698</v>
      </c>
      <c r="J66" s="37">
        <f t="shared" si="7"/>
        <v>751.9668</v>
      </c>
      <c r="K66" s="37">
        <f t="shared" si="7"/>
        <v>764.712</v>
      </c>
      <c r="L66" s="37">
        <f t="shared" si="7"/>
        <v>734.58</v>
      </c>
      <c r="M66" s="37">
        <f t="shared" si="7"/>
        <v>747.18</v>
      </c>
      <c r="N66" s="37">
        <f t="shared" si="7"/>
        <v>759.78</v>
      </c>
      <c r="O66" s="37">
        <f t="shared" si="7"/>
        <v>717.6</v>
      </c>
      <c r="P66" s="37">
        <f t="shared" si="7"/>
        <v>729.82</v>
      </c>
      <c r="Q66" s="37">
        <f t="shared" si="7"/>
        <v>685.08</v>
      </c>
      <c r="R66" s="37">
        <f t="shared" si="7"/>
        <v>696.72</v>
      </c>
      <c r="S66" s="1"/>
      <c r="T66" s="1"/>
      <c r="U66" s="1"/>
      <c r="V66" s="1"/>
      <c r="W66" s="1"/>
      <c r="X66" s="1"/>
      <c r="Y66" s="1"/>
      <c r="Z66" s="1"/>
    </row>
    <row r="67" ht="15.75" customHeight="1" outlineLevel="1">
      <c r="A67" s="43"/>
      <c r="B67" s="1"/>
      <c r="C67" s="94" t="s">
        <v>64</v>
      </c>
      <c r="D67" s="61" t="s">
        <v>66</v>
      </c>
      <c r="E67" s="96">
        <f>+E66/378.663-1</f>
        <v>0.9206727354</v>
      </c>
      <c r="F67" s="96">
        <f t="shared" ref="F67:R67" si="8">+F66/E66-1</f>
        <v>0.1839083763</v>
      </c>
      <c r="G67" s="96">
        <f t="shared" si="8"/>
        <v>0.04172999691</v>
      </c>
      <c r="H67" s="96">
        <f t="shared" si="8"/>
        <v>0.2571829341</v>
      </c>
      <c r="I67" s="96">
        <f t="shared" si="8"/>
        <v>-0.3443323982</v>
      </c>
      <c r="J67" s="96">
        <f t="shared" si="8"/>
        <v>0.01703748246</v>
      </c>
      <c r="K67" s="96">
        <f t="shared" si="8"/>
        <v>0.01694915254</v>
      </c>
      <c r="L67" s="96">
        <f t="shared" si="8"/>
        <v>-0.03940306939</v>
      </c>
      <c r="M67" s="96">
        <f t="shared" si="8"/>
        <v>0.01715265866</v>
      </c>
      <c r="N67" s="96">
        <f t="shared" si="8"/>
        <v>0.01686340641</v>
      </c>
      <c r="O67" s="96">
        <f t="shared" si="8"/>
        <v>-0.05551607044</v>
      </c>
      <c r="P67" s="96">
        <f t="shared" si="8"/>
        <v>0.01702898551</v>
      </c>
      <c r="Q67" s="96">
        <f t="shared" si="8"/>
        <v>-0.06130278699</v>
      </c>
      <c r="R67" s="96">
        <f t="shared" si="8"/>
        <v>0.01699071641</v>
      </c>
      <c r="S67" s="1"/>
      <c r="T67" s="1"/>
      <c r="U67" s="1"/>
      <c r="V67" s="1"/>
      <c r="W67" s="1"/>
      <c r="X67" s="1"/>
      <c r="Y67" s="1"/>
      <c r="Z67" s="1"/>
    </row>
    <row r="68" ht="15.75" customHeight="1" outlineLevel="1">
      <c r="A68" s="43"/>
      <c r="B68" s="1"/>
      <c r="C68" s="113"/>
      <c r="D68" s="1"/>
      <c r="E68" s="59"/>
      <c r="F68" s="59"/>
      <c r="G68" s="59"/>
      <c r="H68" s="59"/>
      <c r="I68" s="59"/>
      <c r="J68" s="59"/>
      <c r="K68" s="59"/>
      <c r="L68" s="59"/>
      <c r="M68" s="59"/>
      <c r="N68" s="59"/>
      <c r="O68" s="59"/>
      <c r="P68" s="59"/>
      <c r="Q68" s="59"/>
      <c r="R68" s="59"/>
      <c r="S68" s="1"/>
      <c r="T68" s="1"/>
      <c r="U68" s="1"/>
      <c r="V68" s="1"/>
      <c r="W68" s="1"/>
      <c r="X68" s="1"/>
      <c r="Y68" s="1"/>
      <c r="Z68" s="1"/>
    </row>
    <row r="69" ht="15.75" customHeight="1" outlineLevel="1">
      <c r="A69" s="43"/>
      <c r="B69" s="1"/>
      <c r="C69" s="51" t="s">
        <v>78</v>
      </c>
      <c r="D69" s="52"/>
      <c r="E69" s="53">
        <f>$E$18</f>
        <v>42735</v>
      </c>
      <c r="F69" s="53">
        <f>$F$18</f>
        <v>43100</v>
      </c>
      <c r="G69" s="53">
        <f>$G$18</f>
        <v>43465</v>
      </c>
      <c r="H69" s="54">
        <f>$H$18</f>
        <v>43830</v>
      </c>
      <c r="I69" s="53">
        <f>$I$18</f>
        <v>44196</v>
      </c>
      <c r="J69" s="53">
        <f>$J$18</f>
        <v>44561</v>
      </c>
      <c r="K69" s="53">
        <f>$K$18</f>
        <v>44926</v>
      </c>
      <c r="L69" s="53">
        <f>$L$18</f>
        <v>45291</v>
      </c>
      <c r="M69" s="53">
        <f>$M$18</f>
        <v>45657</v>
      </c>
      <c r="N69" s="53">
        <f>$N$18</f>
        <v>46022</v>
      </c>
      <c r="O69" s="53">
        <f>$O$18</f>
        <v>46387</v>
      </c>
      <c r="P69" s="53">
        <f>$P$18</f>
        <v>46752</v>
      </c>
      <c r="Q69" s="53">
        <f>$Q$18</f>
        <v>47118</v>
      </c>
      <c r="R69" s="53">
        <f>$R$18</f>
        <v>47483</v>
      </c>
      <c r="S69" s="1"/>
      <c r="T69" s="1"/>
      <c r="U69" s="1"/>
      <c r="V69" s="1"/>
      <c r="W69" s="1"/>
      <c r="X69" s="1"/>
      <c r="Y69" s="1"/>
      <c r="Z69" s="1"/>
    </row>
    <row r="70" ht="15.75" customHeight="1" outlineLevel="1">
      <c r="A70" s="43"/>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outlineLevel="1">
      <c r="A71" s="43"/>
      <c r="B71" s="1"/>
      <c r="C71" s="58"/>
      <c r="D71" s="2"/>
      <c r="E71" s="66"/>
      <c r="F71" s="66"/>
      <c r="G71" s="66"/>
      <c r="H71" s="66"/>
      <c r="I71" s="84"/>
      <c r="J71" s="84"/>
      <c r="K71" s="84"/>
      <c r="L71" s="84"/>
      <c r="M71" s="84"/>
      <c r="N71" s="84"/>
      <c r="O71" s="84"/>
      <c r="P71" s="84"/>
      <c r="Q71" s="84"/>
      <c r="R71" s="84"/>
      <c r="S71" s="1"/>
      <c r="T71" s="1"/>
      <c r="U71" s="1"/>
      <c r="V71" s="1"/>
      <c r="W71" s="1"/>
      <c r="X71" s="1"/>
      <c r="Y71" s="1"/>
      <c r="Z71" s="1"/>
    </row>
    <row r="72" ht="15.75" customHeight="1" outlineLevel="1">
      <c r="A72" s="43"/>
      <c r="B72" s="1"/>
      <c r="C72" s="58" t="s">
        <v>79</v>
      </c>
      <c r="D72" s="61" t="s">
        <v>52</v>
      </c>
      <c r="E72" s="114">
        <v>2439.0</v>
      </c>
      <c r="F72" s="114">
        <v>2139.0</v>
      </c>
      <c r="G72" s="114">
        <v>2291.0</v>
      </c>
      <c r="H72" s="114">
        <v>1719.0</v>
      </c>
      <c r="I72" s="64">
        <f t="array" ref="I72">INDEX(I73:I75,MATCH(Scenario,$C73:$C75,0))</f>
        <v>1800.24</v>
      </c>
      <c r="J72" s="64">
        <f t="array" ref="J72">INDEX(J73:J75,MATCH(Scenario,$C73:$C75,0))</f>
        <v>1376.12</v>
      </c>
      <c r="K72" s="64">
        <f t="array" ref="K72">INDEX(K73:K75,MATCH(Scenario,$C73:$C75,0))</f>
        <v>1755.6</v>
      </c>
      <c r="L72" s="64">
        <f t="array" ref="L72">INDEX(L73:L75,MATCH(Scenario,$C73:$C75,0))</f>
        <v>1847.5</v>
      </c>
      <c r="M72" s="64">
        <f t="array" ref="M72">INDEX(M73:M75,MATCH(Scenario,$C73:$C75,0))</f>
        <v>1840.58</v>
      </c>
      <c r="N72" s="64">
        <f t="array" ref="N72">INDEX(N73:N75,MATCH(Scenario,$C73:$C75,0))</f>
        <v>1859.89</v>
      </c>
      <c r="O72" s="64">
        <f t="array" ref="O72">INDEX(O73:O75,MATCH(Scenario,$C73:$C75,0))</f>
        <v>1930.44</v>
      </c>
      <c r="P72" s="64">
        <f t="array" ref="P72">INDEX(P73:P75,MATCH(Scenario,$C73:$C75,0))</f>
        <v>1952.27</v>
      </c>
      <c r="Q72" s="64">
        <f t="array" ref="Q72">INDEX(Q73:Q75,MATCH(Scenario,$C73:$C75,0))</f>
        <v>2025.44</v>
      </c>
      <c r="R72" s="64">
        <f t="array" ref="R72">INDEX(R73:R75,MATCH(Scenario,$C73:$C75,0))</f>
        <v>2049.97</v>
      </c>
      <c r="S72" s="1"/>
      <c r="T72" s="1"/>
      <c r="U72" s="1"/>
      <c r="V72" s="1"/>
      <c r="W72" s="1"/>
      <c r="X72" s="1"/>
      <c r="Y72" s="1"/>
      <c r="Z72" s="1"/>
    </row>
    <row r="73" ht="15.75" customHeight="1" outlineLevel="1">
      <c r="A73" s="43"/>
      <c r="B73" s="1"/>
      <c r="C73" s="58" t="str">
        <f>+$C$24</f>
        <v>Base</v>
      </c>
      <c r="D73" s="61" t="s">
        <v>52</v>
      </c>
      <c r="E73" s="87"/>
      <c r="F73" s="87"/>
      <c r="G73" s="87"/>
      <c r="H73" s="87"/>
      <c r="I73" s="67">
        <v>1800.24</v>
      </c>
      <c r="J73" s="67">
        <v>1376.1200000000001</v>
      </c>
      <c r="K73" s="67">
        <v>1755.6000000000001</v>
      </c>
      <c r="L73" s="67">
        <v>1847.5</v>
      </c>
      <c r="M73" s="67">
        <v>1840.58</v>
      </c>
      <c r="N73" s="67">
        <v>1859.8899999999999</v>
      </c>
      <c r="O73" s="67">
        <v>1930.44</v>
      </c>
      <c r="P73" s="67">
        <v>1952.27</v>
      </c>
      <c r="Q73" s="67">
        <v>2025.44</v>
      </c>
      <c r="R73" s="67">
        <v>2049.9700000000003</v>
      </c>
      <c r="S73" s="114"/>
      <c r="T73" s="1"/>
      <c r="U73" s="1"/>
      <c r="V73" s="1"/>
      <c r="W73" s="1"/>
      <c r="X73" s="1"/>
      <c r="Y73" s="1"/>
      <c r="Z73" s="1"/>
    </row>
    <row r="74" ht="15.75" customHeight="1" outlineLevel="1">
      <c r="A74" s="43"/>
      <c r="B74" s="1"/>
      <c r="C74" s="58" t="str">
        <f>+$C$25</f>
        <v>Upside</v>
      </c>
      <c r="D74" s="61" t="s">
        <v>52</v>
      </c>
      <c r="E74" s="87"/>
      <c r="F74" s="87"/>
      <c r="G74" s="87"/>
      <c r="H74" s="87"/>
      <c r="I74" s="67">
        <v>1928.2000000000003</v>
      </c>
      <c r="J74" s="67">
        <v>2013.6000000000001</v>
      </c>
      <c r="K74" s="67">
        <v>1979.2</v>
      </c>
      <c r="L74" s="67">
        <v>2125.2</v>
      </c>
      <c r="M74" s="67">
        <v>2176.9</v>
      </c>
      <c r="N74" s="67">
        <v>2259.7</v>
      </c>
      <c r="O74" s="67">
        <v>2399.0</v>
      </c>
      <c r="P74" s="67">
        <v>2495.0</v>
      </c>
      <c r="Q74" s="67">
        <v>2648.3</v>
      </c>
      <c r="R74" s="67">
        <v>2759.2999999999997</v>
      </c>
      <c r="S74" s="1"/>
      <c r="T74" s="1"/>
      <c r="U74" s="1"/>
      <c r="V74" s="1"/>
      <c r="W74" s="1"/>
      <c r="X74" s="1"/>
      <c r="Y74" s="1"/>
      <c r="Z74" s="1"/>
    </row>
    <row r="75" ht="15.75" customHeight="1" outlineLevel="1">
      <c r="A75" s="43"/>
      <c r="B75" s="1"/>
      <c r="C75" s="58" t="str">
        <f>+$C$26</f>
        <v>Downside</v>
      </c>
      <c r="D75" s="61" t="s">
        <v>52</v>
      </c>
      <c r="E75" s="87"/>
      <c r="F75" s="87"/>
      <c r="G75" s="87"/>
      <c r="H75" s="87"/>
      <c r="I75" s="67">
        <v>1576.0</v>
      </c>
      <c r="J75" s="67">
        <v>1576.0</v>
      </c>
      <c r="K75" s="67">
        <v>1513.5</v>
      </c>
      <c r="L75" s="67">
        <v>1538.5</v>
      </c>
      <c r="M75" s="67">
        <v>1513.5</v>
      </c>
      <c r="N75" s="67">
        <v>1501.0</v>
      </c>
      <c r="O75" s="67">
        <v>1513.5</v>
      </c>
      <c r="P75" s="67">
        <v>1501.0</v>
      </c>
      <c r="Q75" s="67">
        <v>1513.5</v>
      </c>
      <c r="R75" s="67">
        <v>1501.0</v>
      </c>
      <c r="S75" s="1"/>
      <c r="T75" s="1"/>
      <c r="U75" s="1"/>
      <c r="V75" s="1"/>
      <c r="W75" s="1"/>
      <c r="X75" s="1"/>
      <c r="Y75" s="1"/>
      <c r="Z75" s="1"/>
    </row>
    <row r="76" ht="15.75" customHeight="1" outlineLevel="1">
      <c r="A76" s="43"/>
      <c r="B76" s="1"/>
      <c r="C76" s="58"/>
      <c r="D76" s="61"/>
      <c r="E76" s="87"/>
      <c r="F76" s="87"/>
      <c r="G76" s="87"/>
      <c r="H76" s="87"/>
      <c r="I76" s="121"/>
      <c r="J76" s="121"/>
      <c r="K76" s="122"/>
      <c r="L76" s="122"/>
      <c r="M76" s="122"/>
      <c r="N76" s="122"/>
      <c r="O76" s="122"/>
      <c r="P76" s="122"/>
      <c r="Q76" s="122"/>
      <c r="R76" s="122"/>
      <c r="S76" s="1"/>
      <c r="T76" s="1"/>
      <c r="U76" s="1"/>
      <c r="V76" s="1"/>
      <c r="W76" s="1"/>
      <c r="X76" s="1"/>
      <c r="Y76" s="1"/>
      <c r="Z76" s="1"/>
    </row>
    <row r="77" ht="15.75" customHeight="1" outlineLevel="1">
      <c r="A77" s="43"/>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outlineLevel="1">
      <c r="A78" s="43"/>
      <c r="B78" s="1"/>
      <c r="C78" s="58" t="s">
        <v>90</v>
      </c>
      <c r="D78" s="61" t="s">
        <v>63</v>
      </c>
      <c r="E78" s="37">
        <f t="shared" ref="E78:R78" si="9">E72</f>
        <v>2439</v>
      </c>
      <c r="F78" s="37">
        <f t="shared" si="9"/>
        <v>2139</v>
      </c>
      <c r="G78" s="37">
        <f t="shared" si="9"/>
        <v>2291</v>
      </c>
      <c r="H78" s="37">
        <f t="shared" si="9"/>
        <v>1719</v>
      </c>
      <c r="I78" s="37">
        <f t="shared" si="9"/>
        <v>1800.24</v>
      </c>
      <c r="J78" s="37">
        <f t="shared" si="9"/>
        <v>1376.12</v>
      </c>
      <c r="K78" s="37">
        <f t="shared" si="9"/>
        <v>1755.6</v>
      </c>
      <c r="L78" s="37">
        <f t="shared" si="9"/>
        <v>1847.5</v>
      </c>
      <c r="M78" s="37">
        <f t="shared" si="9"/>
        <v>1840.58</v>
      </c>
      <c r="N78" s="37">
        <f t="shared" si="9"/>
        <v>1859.89</v>
      </c>
      <c r="O78" s="37">
        <f t="shared" si="9"/>
        <v>1930.44</v>
      </c>
      <c r="P78" s="37">
        <f t="shared" si="9"/>
        <v>1952.27</v>
      </c>
      <c r="Q78" s="37">
        <f t="shared" si="9"/>
        <v>2025.44</v>
      </c>
      <c r="R78" s="37">
        <f t="shared" si="9"/>
        <v>2049.97</v>
      </c>
      <c r="S78" s="1"/>
      <c r="T78" s="1"/>
      <c r="U78" s="1"/>
      <c r="V78" s="1"/>
      <c r="W78" s="1"/>
      <c r="X78" s="1"/>
      <c r="Y78" s="1"/>
      <c r="Z78" s="1"/>
    </row>
    <row r="79" ht="15.75" customHeight="1" outlineLevel="1">
      <c r="A79" s="43"/>
      <c r="B79" s="1"/>
      <c r="C79" s="94" t="s">
        <v>64</v>
      </c>
      <c r="D79" s="61" t="s">
        <v>66</v>
      </c>
      <c r="E79" s="96"/>
      <c r="F79" s="96">
        <f t="shared" ref="F79:R79" si="10">+F78/E78-1</f>
        <v>-0.12300123</v>
      </c>
      <c r="G79" s="96">
        <f t="shared" si="10"/>
        <v>0.07106124357</v>
      </c>
      <c r="H79" s="96">
        <f t="shared" si="10"/>
        <v>-0.249672632</v>
      </c>
      <c r="I79" s="96">
        <f t="shared" si="10"/>
        <v>0.0472600349</v>
      </c>
      <c r="J79" s="96">
        <f t="shared" si="10"/>
        <v>-0.2355908101</v>
      </c>
      <c r="K79" s="96">
        <f t="shared" si="10"/>
        <v>0.2757608348</v>
      </c>
      <c r="L79" s="96">
        <f t="shared" si="10"/>
        <v>0.05234677603</v>
      </c>
      <c r="M79" s="96">
        <f t="shared" si="10"/>
        <v>-0.003745602165</v>
      </c>
      <c r="N79" s="96">
        <f t="shared" si="10"/>
        <v>0.01049125819</v>
      </c>
      <c r="O79" s="96">
        <f t="shared" si="10"/>
        <v>0.03793235084</v>
      </c>
      <c r="P79" s="96">
        <f t="shared" si="10"/>
        <v>0.01130830277</v>
      </c>
      <c r="Q79" s="96">
        <f t="shared" si="10"/>
        <v>0.037479447</v>
      </c>
      <c r="R79" s="96">
        <f t="shared" si="10"/>
        <v>0.01211094873</v>
      </c>
      <c r="S79" s="1"/>
      <c r="T79" s="1"/>
      <c r="U79" s="1"/>
      <c r="V79" s="1"/>
      <c r="W79" s="1"/>
      <c r="X79" s="1"/>
      <c r="Y79" s="1"/>
      <c r="Z79" s="1"/>
    </row>
    <row r="80" ht="15.75" customHeight="1" outlineLevel="1">
      <c r="A80" s="43"/>
      <c r="B80" s="1"/>
      <c r="C80" s="94"/>
      <c r="D80" s="61"/>
      <c r="E80" s="96"/>
      <c r="F80" s="96"/>
      <c r="G80" s="96"/>
      <c r="H80" s="96"/>
      <c r="I80" s="96"/>
      <c r="J80" s="96"/>
      <c r="K80" s="96"/>
      <c r="L80" s="96"/>
      <c r="M80" s="96"/>
      <c r="N80" s="96"/>
      <c r="O80" s="96"/>
      <c r="P80" s="96"/>
      <c r="Q80" s="96"/>
      <c r="R80" s="96"/>
      <c r="S80" s="1"/>
      <c r="T80" s="1"/>
      <c r="U80" s="1"/>
      <c r="V80" s="1"/>
      <c r="W80" s="1"/>
      <c r="X80" s="1"/>
      <c r="Y80" s="1"/>
      <c r="Z80" s="1"/>
    </row>
    <row r="81" ht="15.75" customHeight="1" outlineLevel="1">
      <c r="A81" s="43"/>
      <c r="B81" s="1"/>
      <c r="C81" s="51" t="s">
        <v>92</v>
      </c>
      <c r="D81" s="52"/>
      <c r="E81" s="53">
        <f>$E$18</f>
        <v>42735</v>
      </c>
      <c r="F81" s="53">
        <f>$F$18</f>
        <v>43100</v>
      </c>
      <c r="G81" s="53">
        <f>$G$18</f>
        <v>43465</v>
      </c>
      <c r="H81" s="54">
        <f>$H$18</f>
        <v>43830</v>
      </c>
      <c r="I81" s="53">
        <f>$I$18</f>
        <v>44196</v>
      </c>
      <c r="J81" s="53">
        <f>$J$18</f>
        <v>44561</v>
      </c>
      <c r="K81" s="53">
        <f>$K$18</f>
        <v>44926</v>
      </c>
      <c r="L81" s="53">
        <f>$L$18</f>
        <v>45291</v>
      </c>
      <c r="M81" s="53">
        <f>$M$18</f>
        <v>45657</v>
      </c>
      <c r="N81" s="53">
        <f>$N$18</f>
        <v>46022</v>
      </c>
      <c r="O81" s="53">
        <f>$O$18</f>
        <v>46387</v>
      </c>
      <c r="P81" s="53">
        <f>$P$18</f>
        <v>46752</v>
      </c>
      <c r="Q81" s="53">
        <f>$Q$18</f>
        <v>47118</v>
      </c>
      <c r="R81" s="53">
        <f>$R$18</f>
        <v>47483</v>
      </c>
      <c r="S81" s="1"/>
      <c r="T81" s="1"/>
      <c r="U81" s="1"/>
      <c r="V81" s="1"/>
      <c r="W81" s="1"/>
      <c r="X81" s="1"/>
      <c r="Y81" s="1"/>
      <c r="Z81" s="1"/>
    </row>
    <row r="82" ht="15.75" customHeight="1" outlineLevel="1">
      <c r="A82" s="43"/>
      <c r="B82" s="1"/>
      <c r="C82" s="113"/>
      <c r="D82" s="1"/>
      <c r="E82" s="59"/>
      <c r="F82" s="59"/>
      <c r="G82" s="59"/>
      <c r="H82" s="59"/>
      <c r="I82" s="59"/>
      <c r="J82" s="59"/>
      <c r="K82" s="59"/>
      <c r="L82" s="59"/>
      <c r="M82" s="59"/>
      <c r="N82" s="59"/>
      <c r="O82" s="59"/>
      <c r="P82" s="59"/>
      <c r="Q82" s="59"/>
      <c r="R82" s="59"/>
      <c r="S82" s="1"/>
      <c r="T82" s="1"/>
      <c r="U82" s="1"/>
      <c r="V82" s="1"/>
      <c r="W82" s="1"/>
      <c r="X82" s="1"/>
      <c r="Y82" s="1"/>
      <c r="Z82" s="1"/>
    </row>
    <row r="83" ht="15.75" customHeight="1" outlineLevel="1">
      <c r="A83" s="43"/>
      <c r="B83" s="1"/>
      <c r="C83" s="58" t="s">
        <v>51</v>
      </c>
      <c r="D83" s="61" t="s">
        <v>52</v>
      </c>
      <c r="E83" s="64">
        <v>355.0</v>
      </c>
      <c r="F83" s="64">
        <v>290.0</v>
      </c>
      <c r="G83" s="64">
        <v>268.0</v>
      </c>
      <c r="H83" s="64">
        <v>249.0</v>
      </c>
      <c r="I83" s="64">
        <f t="array" ref="I83">INDEX(I84:I86,MATCH(Scenario,$C84:$C86,0))</f>
        <v>232.82</v>
      </c>
      <c r="J83" s="64">
        <f t="array" ref="J83">INDEX(J84:J86,MATCH(Scenario,$C84:$C86,0))</f>
        <v>218.85</v>
      </c>
      <c r="K83" s="64">
        <f t="array" ref="K83">INDEX(K84:K86,MATCH(Scenario,$C84:$C86,0))</f>
        <v>206.81</v>
      </c>
      <c r="L83" s="64">
        <f t="array" ref="L83">INDEX(L84:L86,MATCH(Scenario,$C84:$C86,0))</f>
        <v>196.47</v>
      </c>
      <c r="M83" s="64">
        <f t="array" ref="M83">INDEX(M84:M86,MATCH(Scenario,$C84:$C86,0))</f>
        <v>186.65</v>
      </c>
      <c r="N83" s="64">
        <f t="array" ref="N83">INDEX(N84:N86,MATCH(Scenario,$C84:$C86,0))</f>
        <v>177.31</v>
      </c>
      <c r="O83" s="64">
        <f t="array" ref="O83">INDEX(O84:O86,MATCH(Scenario,$C84:$C86,0))</f>
        <v>168.45</v>
      </c>
      <c r="P83" s="64">
        <f t="array" ref="P83">INDEX(P84:P86,MATCH(Scenario,$C84:$C86,0))</f>
        <v>160.03</v>
      </c>
      <c r="Q83" s="64">
        <f t="array" ref="Q83">INDEX(Q84:Q86,MATCH(Scenario,$C84:$C86,0))</f>
        <v>152.02</v>
      </c>
      <c r="R83" s="64">
        <f t="array" ref="R83">INDEX(R84:R86,MATCH(Scenario,$C84:$C86,0))</f>
        <v>144.42</v>
      </c>
      <c r="S83" s="1"/>
      <c r="T83" s="1"/>
      <c r="U83" s="1"/>
      <c r="V83" s="1"/>
      <c r="W83" s="1"/>
      <c r="X83" s="1"/>
      <c r="Y83" s="1"/>
      <c r="Z83" s="1"/>
    </row>
    <row r="84" ht="15.75" customHeight="1" outlineLevel="1">
      <c r="A84" s="43"/>
      <c r="B84" s="1"/>
      <c r="C84" s="58" t="s">
        <v>15</v>
      </c>
      <c r="D84" s="61" t="s">
        <v>52</v>
      </c>
      <c r="E84" s="64"/>
      <c r="F84" s="64"/>
      <c r="G84" s="64"/>
      <c r="H84" s="64"/>
      <c r="I84" s="67">
        <v>232.82</v>
      </c>
      <c r="J84" s="67">
        <v>218.85</v>
      </c>
      <c r="K84" s="67">
        <v>206.81</v>
      </c>
      <c r="L84" s="67">
        <v>196.47</v>
      </c>
      <c r="M84" s="67">
        <v>186.65</v>
      </c>
      <c r="N84" s="67">
        <v>177.31</v>
      </c>
      <c r="O84" s="67">
        <v>168.45</v>
      </c>
      <c r="P84" s="67">
        <v>160.03</v>
      </c>
      <c r="Q84" s="67">
        <v>152.02</v>
      </c>
      <c r="R84" s="67">
        <v>144.42</v>
      </c>
      <c r="S84" s="1"/>
      <c r="T84" s="1"/>
      <c r="U84" s="1"/>
      <c r="V84" s="1"/>
      <c r="W84" s="1"/>
      <c r="X84" s="1"/>
      <c r="Y84" s="1"/>
      <c r="Z84" s="1"/>
    </row>
    <row r="85" ht="15.75" customHeight="1" outlineLevel="1">
      <c r="A85" s="43"/>
      <c r="B85" s="1"/>
      <c r="C85" s="58" t="s">
        <v>57</v>
      </c>
      <c r="D85" s="61" t="s">
        <v>52</v>
      </c>
      <c r="E85" s="64"/>
      <c r="F85" s="64"/>
      <c r="G85" s="64"/>
      <c r="H85" s="64"/>
      <c r="I85" s="67">
        <v>249.0</v>
      </c>
      <c r="J85" s="67">
        <v>249.0</v>
      </c>
      <c r="K85" s="67">
        <v>249.0</v>
      </c>
      <c r="L85" s="67">
        <v>249.0</v>
      </c>
      <c r="M85" s="67">
        <v>249.0</v>
      </c>
      <c r="N85" s="67">
        <v>249.0</v>
      </c>
      <c r="O85" s="67">
        <v>249.0</v>
      </c>
      <c r="P85" s="67">
        <v>249.0</v>
      </c>
      <c r="Q85" s="67">
        <v>249.0</v>
      </c>
      <c r="R85" s="67">
        <v>249.0</v>
      </c>
      <c r="S85" s="1"/>
      <c r="T85" s="1"/>
      <c r="U85" s="1"/>
      <c r="V85" s="1"/>
      <c r="W85" s="1"/>
      <c r="X85" s="1"/>
      <c r="Y85" s="1"/>
      <c r="Z85" s="1"/>
    </row>
    <row r="86" ht="15.75" customHeight="1" outlineLevel="1">
      <c r="A86" s="43"/>
      <c r="B86" s="1"/>
      <c r="C86" s="58" t="s">
        <v>58</v>
      </c>
      <c r="D86" s="61" t="s">
        <v>52</v>
      </c>
      <c r="E86" s="64"/>
      <c r="F86" s="64"/>
      <c r="G86" s="64"/>
      <c r="H86" s="64"/>
      <c r="I86" s="67">
        <v>231.57</v>
      </c>
      <c r="J86" s="67">
        <v>215.36</v>
      </c>
      <c r="K86" s="67">
        <v>200.285</v>
      </c>
      <c r="L86" s="67">
        <v>186.265</v>
      </c>
      <c r="M86" s="67">
        <v>173.226</v>
      </c>
      <c r="N86" s="67">
        <v>161.101</v>
      </c>
      <c r="O86" s="67">
        <v>149.824</v>
      </c>
      <c r="P86" s="67">
        <v>139.336</v>
      </c>
      <c r="Q86" s="67">
        <v>129.582</v>
      </c>
      <c r="R86" s="67">
        <v>120.512</v>
      </c>
      <c r="S86" s="1"/>
      <c r="T86" s="1"/>
      <c r="U86" s="1"/>
      <c r="V86" s="1"/>
      <c r="W86" s="1"/>
      <c r="X86" s="1"/>
      <c r="Y86" s="1"/>
      <c r="Z86" s="1"/>
    </row>
    <row r="87" ht="15.75" customHeight="1" outlineLevel="1">
      <c r="A87" s="43"/>
      <c r="B87" s="1"/>
      <c r="C87" s="58"/>
      <c r="D87" s="2"/>
      <c r="E87" s="64"/>
      <c r="F87" s="64"/>
      <c r="G87" s="64"/>
      <c r="H87" s="64"/>
      <c r="I87" s="73"/>
      <c r="J87" s="73"/>
      <c r="K87" s="73"/>
      <c r="L87" s="73"/>
      <c r="M87" s="73"/>
      <c r="N87" s="73"/>
      <c r="O87" s="73"/>
      <c r="P87" s="73"/>
      <c r="Q87" s="73"/>
      <c r="R87" s="73"/>
      <c r="S87" s="1"/>
      <c r="T87" s="1"/>
      <c r="U87" s="1"/>
      <c r="V87" s="1"/>
      <c r="W87" s="1"/>
      <c r="X87" s="1"/>
      <c r="Y87" s="1"/>
      <c r="Z87" s="1"/>
    </row>
    <row r="88" ht="15.75" customHeight="1" outlineLevel="1">
      <c r="A88" s="43"/>
      <c r="B88" s="1"/>
      <c r="C88" s="58" t="s">
        <v>59</v>
      </c>
      <c r="D88" s="61" t="s">
        <v>52</v>
      </c>
      <c r="E88" s="64">
        <v>5.63</v>
      </c>
      <c r="F88" s="64">
        <v>5.47</v>
      </c>
      <c r="G88" s="64">
        <v>7.46</v>
      </c>
      <c r="H88" s="64">
        <v>8.38</v>
      </c>
      <c r="I88" s="64">
        <f t="array" ref="I88">INDEX(I89:I91,MATCH(Scenario,$C89:$C91,0))</f>
        <v>9.048</v>
      </c>
      <c r="J88" s="64">
        <f t="array" ref="J88">INDEX(J89:J91,MATCH(Scenario,$C89:$C91,0))</f>
        <v>9.772</v>
      </c>
      <c r="K88" s="64">
        <f t="array" ref="K88">INDEX(K89:K91,MATCH(Scenario,$C89:$C91,0))</f>
        <v>10.358</v>
      </c>
      <c r="L88" s="64">
        <f t="array" ref="L88">INDEX(L89:L91,MATCH(Scenario,$C89:$C91,0))</f>
        <v>10.979</v>
      </c>
      <c r="M88" s="64">
        <f t="array" ref="M88">INDEX(M89:M91,MATCH(Scenario,$C89:$C91,0))</f>
        <v>11.638</v>
      </c>
      <c r="N88" s="64">
        <f t="array" ref="N88">INDEX(N89:N91,MATCH(Scenario,$C89:$C91,0))</f>
        <v>12.336</v>
      </c>
      <c r="O88" s="64">
        <f t="array" ref="O88">INDEX(O89:O91,MATCH(Scenario,$C89:$C91,0))</f>
        <v>12.83</v>
      </c>
      <c r="P88" s="64">
        <f t="array" ref="P88">INDEX(P89:P91,MATCH(Scenario,$C89:$C91,0))</f>
        <v>13.343</v>
      </c>
      <c r="Q88" s="64">
        <f t="array" ref="Q88">INDEX(Q89:Q91,MATCH(Scenario,$C89:$C91,0))</f>
        <v>13.877</v>
      </c>
      <c r="R88" s="64">
        <f t="array" ref="R88">INDEX(R89:R91,MATCH(Scenario,$C89:$C91,0))</f>
        <v>14.154</v>
      </c>
      <c r="S88" s="1"/>
      <c r="T88" s="1"/>
      <c r="U88" s="1"/>
      <c r="V88" s="1"/>
      <c r="W88" s="1"/>
      <c r="X88" s="1"/>
      <c r="Y88" s="1"/>
      <c r="Z88" s="1"/>
    </row>
    <row r="89" ht="15.75" customHeight="1" outlineLevel="1">
      <c r="A89" s="43"/>
      <c r="B89" s="1"/>
      <c r="C89" s="58" t="str">
        <f>+$C$24</f>
        <v>Base</v>
      </c>
      <c r="D89" s="61" t="s">
        <v>52</v>
      </c>
      <c r="E89" s="84"/>
      <c r="F89" s="86"/>
      <c r="G89" s="87"/>
      <c r="H89" s="87"/>
      <c r="I89" s="67">
        <v>9.048</v>
      </c>
      <c r="J89" s="67">
        <v>9.772</v>
      </c>
      <c r="K89" s="67">
        <v>10.358</v>
      </c>
      <c r="L89" s="67">
        <v>10.979</v>
      </c>
      <c r="M89" s="67">
        <v>11.638</v>
      </c>
      <c r="N89" s="67">
        <v>12.336</v>
      </c>
      <c r="O89" s="67">
        <v>12.83</v>
      </c>
      <c r="P89" s="67">
        <v>13.343</v>
      </c>
      <c r="Q89" s="67">
        <v>13.877</v>
      </c>
      <c r="R89" s="67">
        <v>14.154</v>
      </c>
      <c r="S89" s="1"/>
      <c r="T89" s="1"/>
      <c r="U89" s="1"/>
      <c r="V89" s="1"/>
      <c r="W89" s="1"/>
      <c r="X89" s="1"/>
      <c r="Y89" s="1"/>
      <c r="Z89" s="1"/>
    </row>
    <row r="90" ht="15.75" customHeight="1" outlineLevel="1">
      <c r="A90" s="43"/>
      <c r="B90" s="1"/>
      <c r="C90" s="58" t="str">
        <f>+$C$25</f>
        <v>Upside</v>
      </c>
      <c r="D90" s="61" t="s">
        <v>52</v>
      </c>
      <c r="E90" s="87"/>
      <c r="F90" s="86"/>
      <c r="G90" s="87"/>
      <c r="H90" s="87"/>
      <c r="I90" s="67">
        <v>8.88</v>
      </c>
      <c r="J90" s="67">
        <v>9.15</v>
      </c>
      <c r="K90" s="67">
        <v>9.4</v>
      </c>
      <c r="L90" s="67">
        <v>9.63</v>
      </c>
      <c r="M90" s="67">
        <v>9.85</v>
      </c>
      <c r="N90" s="67">
        <v>10.05</v>
      </c>
      <c r="O90" s="67">
        <v>10.25</v>
      </c>
      <c r="P90" s="67">
        <v>10.45</v>
      </c>
      <c r="Q90" s="67">
        <v>10.66</v>
      </c>
      <c r="R90" s="67">
        <v>10.85</v>
      </c>
      <c r="S90" s="1"/>
      <c r="T90" s="1"/>
      <c r="U90" s="1"/>
      <c r="V90" s="1"/>
      <c r="W90" s="1"/>
      <c r="X90" s="1"/>
      <c r="Y90" s="1"/>
      <c r="Z90" s="1"/>
    </row>
    <row r="91" ht="15.75" customHeight="1" outlineLevel="1">
      <c r="A91" s="43"/>
      <c r="B91" s="1"/>
      <c r="C91" s="58" t="str">
        <f>+$C$26</f>
        <v>Downside</v>
      </c>
      <c r="D91" s="61" t="s">
        <v>52</v>
      </c>
      <c r="E91" s="87"/>
      <c r="F91" s="86"/>
      <c r="G91" s="87"/>
      <c r="H91" s="87"/>
      <c r="I91" s="67">
        <v>8.964</v>
      </c>
      <c r="J91" s="67">
        <v>9.233</v>
      </c>
      <c r="K91" s="67">
        <v>9.233</v>
      </c>
      <c r="L91" s="67">
        <v>9.233</v>
      </c>
      <c r="M91" s="67">
        <v>9.233</v>
      </c>
      <c r="N91" s="67">
        <v>9.233</v>
      </c>
      <c r="O91" s="67">
        <v>9.233</v>
      </c>
      <c r="P91" s="67">
        <v>9.233</v>
      </c>
      <c r="Q91" s="67">
        <v>9.233</v>
      </c>
      <c r="R91" s="67">
        <v>9.233</v>
      </c>
      <c r="S91" s="1"/>
      <c r="T91" s="1"/>
      <c r="U91" s="1"/>
      <c r="V91" s="1"/>
      <c r="W91" s="1"/>
      <c r="X91" s="1"/>
      <c r="Y91" s="1"/>
      <c r="Z91" s="1"/>
    </row>
    <row r="92" ht="15.75" customHeight="1" outlineLevel="1">
      <c r="A92" s="43"/>
      <c r="B92" s="1"/>
      <c r="C92" s="58"/>
      <c r="D92" s="61"/>
      <c r="E92" s="87"/>
      <c r="F92" s="87"/>
      <c r="G92" s="87"/>
      <c r="H92" s="87"/>
      <c r="I92" s="132"/>
      <c r="J92" s="132"/>
      <c r="K92" s="132"/>
      <c r="L92" s="132"/>
      <c r="M92" s="132"/>
      <c r="N92" s="132"/>
      <c r="O92" s="132"/>
      <c r="P92" s="132"/>
      <c r="Q92" s="132"/>
      <c r="R92" s="132"/>
      <c r="S92" s="1"/>
      <c r="T92" s="1"/>
      <c r="U92" s="1"/>
      <c r="V92" s="1"/>
      <c r="W92" s="1"/>
      <c r="X92" s="1"/>
      <c r="Y92" s="1"/>
      <c r="Z92" s="1"/>
    </row>
    <row r="93" ht="15.75" customHeight="1" outlineLevel="1">
      <c r="A93" s="43"/>
      <c r="B93" s="1"/>
      <c r="C93" s="58"/>
      <c r="D93" s="1"/>
      <c r="E93" s="59"/>
      <c r="F93" s="59"/>
      <c r="G93" s="59"/>
      <c r="H93" s="59"/>
      <c r="I93" s="59"/>
      <c r="J93" s="59"/>
      <c r="K93" s="59"/>
      <c r="L93" s="59"/>
      <c r="M93" s="59"/>
      <c r="N93" s="59"/>
      <c r="O93" s="59"/>
      <c r="P93" s="59"/>
      <c r="Q93" s="59"/>
      <c r="R93" s="59"/>
      <c r="S93" s="1"/>
      <c r="T93" s="1"/>
      <c r="U93" s="1"/>
      <c r="V93" s="1"/>
      <c r="W93" s="1"/>
      <c r="X93" s="1"/>
      <c r="Y93" s="1"/>
      <c r="Z93" s="1"/>
    </row>
    <row r="94" ht="15.75" customHeight="1" outlineLevel="1">
      <c r="A94" s="43"/>
      <c r="B94" s="1"/>
      <c r="C94" s="58" t="s">
        <v>99</v>
      </c>
      <c r="D94" s="61" t="s">
        <v>63</v>
      </c>
      <c r="E94" s="37">
        <f t="shared" ref="E94:R94" si="11">E83*E88</f>
        <v>1998.65</v>
      </c>
      <c r="F94" s="37">
        <f t="shared" si="11"/>
        <v>1586.3</v>
      </c>
      <c r="G94" s="37">
        <f t="shared" si="11"/>
        <v>1999.28</v>
      </c>
      <c r="H94" s="37">
        <f t="shared" si="11"/>
        <v>2086.62</v>
      </c>
      <c r="I94" s="133">
        <f t="shared" si="11"/>
        <v>2106.55536</v>
      </c>
      <c r="J94" s="133">
        <f t="shared" si="11"/>
        <v>2138.6022</v>
      </c>
      <c r="K94" s="133">
        <f t="shared" si="11"/>
        <v>2142.13798</v>
      </c>
      <c r="L94" s="133">
        <f t="shared" si="11"/>
        <v>2157.04413</v>
      </c>
      <c r="M94" s="133">
        <f t="shared" si="11"/>
        <v>2172.2327</v>
      </c>
      <c r="N94" s="133">
        <f t="shared" si="11"/>
        <v>2187.29616</v>
      </c>
      <c r="O94" s="133">
        <f t="shared" si="11"/>
        <v>2161.2135</v>
      </c>
      <c r="P94" s="133">
        <f t="shared" si="11"/>
        <v>2135.28029</v>
      </c>
      <c r="Q94" s="133">
        <f t="shared" si="11"/>
        <v>2109.58154</v>
      </c>
      <c r="R94" s="133">
        <f t="shared" si="11"/>
        <v>2044.12068</v>
      </c>
      <c r="S94" s="1"/>
      <c r="T94" s="1"/>
      <c r="U94" s="1"/>
      <c r="V94" s="1"/>
      <c r="W94" s="1"/>
      <c r="X94" s="1"/>
      <c r="Y94" s="1"/>
      <c r="Z94" s="1"/>
    </row>
    <row r="95" ht="15.75" customHeight="1" outlineLevel="1">
      <c r="A95" s="43"/>
      <c r="B95" s="1"/>
      <c r="C95" s="94" t="s">
        <v>64</v>
      </c>
      <c r="D95" s="61" t="s">
        <v>66</v>
      </c>
      <c r="E95" s="96">
        <f>+E94/378.663-1</f>
        <v>4.278176109</v>
      </c>
      <c r="F95" s="96">
        <f t="shared" ref="F95:R95" si="12">+F94/E94-1</f>
        <v>-0.2063142621</v>
      </c>
      <c r="G95" s="96">
        <f t="shared" si="12"/>
        <v>0.2603416756</v>
      </c>
      <c r="H95" s="96">
        <f t="shared" si="12"/>
        <v>0.04368572686</v>
      </c>
      <c r="I95" s="96">
        <f t="shared" si="12"/>
        <v>0.009553900566</v>
      </c>
      <c r="J95" s="96">
        <f t="shared" si="12"/>
        <v>0.01521291138</v>
      </c>
      <c r="K95" s="96">
        <f t="shared" si="12"/>
        <v>0.001653313552</v>
      </c>
      <c r="L95" s="96">
        <f t="shared" si="12"/>
        <v>0.006958538684</v>
      </c>
      <c r="M95" s="96">
        <f t="shared" si="12"/>
        <v>0.007041381207</v>
      </c>
      <c r="N95" s="96">
        <f t="shared" si="12"/>
        <v>0.006934551717</v>
      </c>
      <c r="O95" s="96">
        <f t="shared" si="12"/>
        <v>-0.0119246129</v>
      </c>
      <c r="P95" s="96">
        <f t="shared" si="12"/>
        <v>-0.01199937443</v>
      </c>
      <c r="Q95" s="96">
        <f t="shared" si="12"/>
        <v>-0.01203530521</v>
      </c>
      <c r="R95" s="96">
        <f t="shared" si="12"/>
        <v>-0.03103025826</v>
      </c>
      <c r="S95" s="1"/>
      <c r="T95" s="1"/>
      <c r="U95" s="1"/>
      <c r="V95" s="1"/>
      <c r="W95" s="1"/>
      <c r="X95" s="1"/>
      <c r="Y95" s="1"/>
      <c r="Z95" s="1"/>
    </row>
    <row r="96" ht="15.75" customHeight="1" outlineLevel="1">
      <c r="A96" s="43"/>
      <c r="B96" s="1"/>
      <c r="C96" s="94"/>
      <c r="D96" s="61"/>
      <c r="E96" s="96"/>
      <c r="F96" s="96"/>
      <c r="G96" s="96"/>
      <c r="H96" s="96"/>
      <c r="I96" s="96"/>
      <c r="J96" s="96"/>
      <c r="K96" s="96"/>
      <c r="L96" s="96"/>
      <c r="M96" s="96"/>
      <c r="N96" s="96"/>
      <c r="O96" s="96"/>
      <c r="P96" s="96"/>
      <c r="Q96" s="96"/>
      <c r="R96" s="96"/>
      <c r="S96" s="1"/>
      <c r="T96" s="1"/>
      <c r="U96" s="1"/>
      <c r="V96" s="1"/>
      <c r="W96" s="1"/>
      <c r="X96" s="1"/>
      <c r="Y96" s="1"/>
      <c r="Z96" s="1"/>
    </row>
    <row r="97" ht="15.75" customHeight="1">
      <c r="A97" s="43"/>
      <c r="B97" s="1"/>
      <c r="C97" s="136"/>
      <c r="D97" s="2"/>
      <c r="E97" s="2"/>
      <c r="F97" s="19"/>
      <c r="G97" s="19"/>
      <c r="H97" s="19"/>
      <c r="I97" s="19"/>
      <c r="J97" s="19"/>
      <c r="K97" s="19"/>
      <c r="L97" s="19"/>
      <c r="M97" s="19"/>
      <c r="N97" s="1"/>
      <c r="O97" s="1"/>
      <c r="P97" s="1"/>
      <c r="Q97" s="1"/>
      <c r="R97" s="1"/>
      <c r="S97" s="1"/>
      <c r="T97" s="1"/>
      <c r="U97" s="1"/>
      <c r="V97" s="1"/>
      <c r="W97" s="1"/>
      <c r="X97" s="1"/>
      <c r="Y97" s="1"/>
      <c r="Z97" s="1"/>
    </row>
    <row r="98" ht="15.75" customHeight="1">
      <c r="A98" s="43"/>
      <c r="B98" s="22"/>
      <c r="C98" s="22"/>
      <c r="D98" s="23"/>
      <c r="E98" s="39" t="str">
        <f>$E$17</f>
        <v>#REF!</v>
      </c>
      <c r="F98" s="40"/>
      <c r="G98" s="40"/>
      <c r="H98" s="41"/>
      <c r="I98" s="39" t="str">
        <f>$I$17</f>
        <v>#REF!</v>
      </c>
      <c r="J98" s="40"/>
      <c r="K98" s="40"/>
      <c r="L98" s="40"/>
      <c r="M98" s="40"/>
      <c r="N98" s="40"/>
      <c r="O98" s="40"/>
      <c r="P98" s="40"/>
      <c r="Q98" s="40"/>
      <c r="R98" s="42"/>
      <c r="S98" s="1"/>
      <c r="T98" s="1"/>
      <c r="U98" s="1"/>
      <c r="V98" s="1"/>
      <c r="W98" s="1"/>
      <c r="X98" s="1"/>
      <c r="Y98" s="1"/>
      <c r="Z98" s="1"/>
    </row>
    <row r="99" ht="15.75" customHeight="1">
      <c r="A99" s="43"/>
      <c r="B99" s="44" t="s">
        <v>117</v>
      </c>
      <c r="C99" s="44"/>
      <c r="D99" s="45" t="str">
        <f>$D$18</f>
        <v>Units:</v>
      </c>
      <c r="E99" s="46">
        <f>$E$18</f>
        <v>42735</v>
      </c>
      <c r="F99" s="46">
        <f>$F$18</f>
        <v>43100</v>
      </c>
      <c r="G99" s="46">
        <f>$G$18</f>
        <v>43465</v>
      </c>
      <c r="H99" s="47">
        <f>$H$18</f>
        <v>43830</v>
      </c>
      <c r="I99" s="46">
        <f>$I$18</f>
        <v>44196</v>
      </c>
      <c r="J99" s="46">
        <f>$J$18</f>
        <v>44561</v>
      </c>
      <c r="K99" s="46">
        <f>$K$18</f>
        <v>44926</v>
      </c>
      <c r="L99" s="46">
        <f>$L$18</f>
        <v>45291</v>
      </c>
      <c r="M99" s="46">
        <f>$M$18</f>
        <v>45657</v>
      </c>
      <c r="N99" s="46">
        <f>$N$18</f>
        <v>46022</v>
      </c>
      <c r="O99" s="46">
        <f>$O$18</f>
        <v>46387</v>
      </c>
      <c r="P99" s="46">
        <f>$P$18</f>
        <v>46752</v>
      </c>
      <c r="Q99" s="46">
        <f>$Q$18</f>
        <v>47118</v>
      </c>
      <c r="R99" s="46">
        <f>$R$18</f>
        <v>47483</v>
      </c>
      <c r="S99" s="1"/>
      <c r="T99" s="1"/>
      <c r="U99" s="1"/>
      <c r="V99" s="1"/>
      <c r="W99" s="1"/>
      <c r="X99" s="1"/>
      <c r="Y99" s="1"/>
      <c r="Z99" s="1"/>
    </row>
    <row r="100" ht="15.75" customHeight="1" outlineLevel="1">
      <c r="A100" s="43"/>
      <c r="B100" s="4"/>
      <c r="C100" s="58" t="s">
        <v>123</v>
      </c>
      <c r="D100" s="140"/>
      <c r="E100" s="141"/>
      <c r="F100" s="141"/>
      <c r="G100" s="141"/>
      <c r="H100" s="141"/>
      <c r="I100" s="141"/>
      <c r="J100" s="141"/>
      <c r="K100" s="141"/>
      <c r="L100" s="141"/>
      <c r="M100" s="141"/>
      <c r="N100" s="141"/>
      <c r="O100" s="141"/>
      <c r="P100" s="141"/>
      <c r="Q100" s="141"/>
      <c r="R100" s="141"/>
      <c r="S100" s="1"/>
      <c r="T100" s="1"/>
      <c r="U100" s="1"/>
      <c r="V100" s="1"/>
      <c r="W100" s="1"/>
      <c r="X100" s="1"/>
      <c r="Y100" s="1"/>
      <c r="Z100" s="1"/>
    </row>
    <row r="101" ht="15.75" customHeight="1" outlineLevel="1">
      <c r="A101" s="43"/>
      <c r="B101" s="1"/>
      <c r="C101" s="58" t="s">
        <v>124</v>
      </c>
      <c r="D101" s="61" t="s">
        <v>66</v>
      </c>
      <c r="E101" s="59">
        <v>732.0</v>
      </c>
      <c r="F101" s="59">
        <v>918.0</v>
      </c>
      <c r="G101" s="59">
        <v>1035.0</v>
      </c>
      <c r="H101" s="59">
        <v>848.0</v>
      </c>
      <c r="I101" s="143">
        <f t="shared" ref="I101:R101" si="13">I102*I$178</f>
        <v>787.580841</v>
      </c>
      <c r="J101" s="143">
        <f t="shared" si="13"/>
        <v>763.7943865</v>
      </c>
      <c r="K101" s="143">
        <f t="shared" si="13"/>
        <v>820.4926249</v>
      </c>
      <c r="L101" s="143">
        <f t="shared" si="13"/>
        <v>823.9490769</v>
      </c>
      <c r="M101" s="143">
        <f t="shared" si="13"/>
        <v>831.0102584</v>
      </c>
      <c r="N101" s="143">
        <f t="shared" si="13"/>
        <v>831.1198602</v>
      </c>
      <c r="O101" s="143">
        <f t="shared" si="13"/>
        <v>834.9859452</v>
      </c>
      <c r="P101" s="143">
        <f t="shared" si="13"/>
        <v>829.4020568</v>
      </c>
      <c r="Q101" s="143">
        <f t="shared" si="13"/>
        <v>832.6115784</v>
      </c>
      <c r="R101" s="143">
        <f t="shared" si="13"/>
        <v>821.0642284</v>
      </c>
      <c r="U101" s="1"/>
      <c r="V101" s="1"/>
      <c r="W101" s="1"/>
      <c r="X101" s="1"/>
      <c r="Y101" s="1"/>
      <c r="Z101" s="1"/>
    </row>
    <row r="102" ht="15.75" customHeight="1" outlineLevel="1">
      <c r="A102" s="43"/>
      <c r="B102" s="1"/>
      <c r="C102" s="94" t="s">
        <v>126</v>
      </c>
      <c r="D102" s="136"/>
      <c r="E102" s="96">
        <v>0.11077481840193705</v>
      </c>
      <c r="F102" s="96">
        <v>0.13080649757765744</v>
      </c>
      <c r="G102" s="96">
        <v>0.13801840245366048</v>
      </c>
      <c r="H102" s="96">
        <v>0.1306826937894899</v>
      </c>
      <c r="I102" s="146">
        <f>AVERAGE(E102:H102)</f>
        <v>0.1275706031</v>
      </c>
      <c r="J102" s="146">
        <f t="shared" ref="J102:K102" si="14">13.1%</f>
        <v>0.131</v>
      </c>
      <c r="K102" s="146">
        <f t="shared" si="14"/>
        <v>0.131</v>
      </c>
      <c r="L102" s="146">
        <v>0.1305</v>
      </c>
      <c r="M102" s="146">
        <v>0.1305</v>
      </c>
      <c r="N102" s="146">
        <v>0.1304</v>
      </c>
      <c r="O102" s="146">
        <v>0.1303</v>
      </c>
      <c r="P102" s="146">
        <v>0.1302</v>
      </c>
      <c r="Q102" s="146">
        <v>0.1301</v>
      </c>
      <c r="R102" s="146">
        <v>0.13</v>
      </c>
      <c r="S102" s="1"/>
      <c r="U102" s="1"/>
      <c r="V102" s="1"/>
      <c r="W102" s="1"/>
      <c r="X102" s="1"/>
      <c r="Y102" s="1"/>
      <c r="Z102" s="1"/>
    </row>
    <row r="103" ht="15.75" customHeight="1" outlineLevel="1">
      <c r="A103" s="43"/>
      <c r="B103" s="1"/>
      <c r="C103" s="58" t="s">
        <v>128</v>
      </c>
      <c r="D103" s="2" t="s">
        <v>129</v>
      </c>
      <c r="E103" s="59">
        <v>49.0</v>
      </c>
      <c r="F103" s="59">
        <v>46.0</v>
      </c>
      <c r="G103" s="59">
        <v>43.0</v>
      </c>
      <c r="H103" s="59">
        <v>32.0</v>
      </c>
      <c r="I103" s="143">
        <f t="shared" ref="I103:R103" si="15">I104*I$178</f>
        <v>29.63369261</v>
      </c>
      <c r="J103" s="143">
        <f t="shared" si="15"/>
        <v>27.40331005</v>
      </c>
      <c r="K103" s="143">
        <f t="shared" si="15"/>
        <v>28.81119141</v>
      </c>
      <c r="L103" s="143">
        <f t="shared" si="15"/>
        <v>28.41203714</v>
      </c>
      <c r="M103" s="143">
        <f t="shared" si="15"/>
        <v>28.65552615</v>
      </c>
      <c r="N103" s="143">
        <f t="shared" si="15"/>
        <v>28.68128352</v>
      </c>
      <c r="O103" s="143">
        <f t="shared" si="15"/>
        <v>28.83681315</v>
      </c>
      <c r="P103" s="143">
        <f t="shared" si="15"/>
        <v>28.66596971</v>
      </c>
      <c r="Q103" s="143">
        <f t="shared" si="15"/>
        <v>28.79901693</v>
      </c>
      <c r="R103" s="143">
        <f t="shared" si="15"/>
        <v>28.42145406</v>
      </c>
      <c r="S103" s="1"/>
      <c r="U103" s="1"/>
      <c r="V103" s="1"/>
      <c r="W103" s="1"/>
      <c r="X103" s="1"/>
      <c r="Y103" s="1"/>
      <c r="Z103" s="1"/>
    </row>
    <row r="104" ht="15.75" customHeight="1" outlineLevel="1">
      <c r="A104" s="43"/>
      <c r="B104" s="1"/>
      <c r="C104" s="94" t="s">
        <v>126</v>
      </c>
      <c r="D104" s="136" t="s">
        <v>63</v>
      </c>
      <c r="E104" s="96">
        <v>0.007415254237288136</v>
      </c>
      <c r="F104" s="96">
        <v>0.006554573952693075</v>
      </c>
      <c r="G104" s="96">
        <v>0.005734097879717296</v>
      </c>
      <c r="H104" s="96">
        <v>0.004931422407150563</v>
      </c>
      <c r="I104" s="146">
        <v>0.0048</v>
      </c>
      <c r="J104" s="146">
        <v>0.0047</v>
      </c>
      <c r="K104" s="146">
        <v>0.0046</v>
      </c>
      <c r="L104" s="146">
        <v>0.0045</v>
      </c>
      <c r="M104" s="146">
        <v>0.0045</v>
      </c>
      <c r="N104" s="146">
        <v>0.0045</v>
      </c>
      <c r="O104" s="146">
        <v>0.0045</v>
      </c>
      <c r="P104" s="146">
        <v>0.0045</v>
      </c>
      <c r="Q104" s="146">
        <v>0.0045</v>
      </c>
      <c r="R104" s="146">
        <v>0.0045</v>
      </c>
      <c r="S104" s="1"/>
      <c r="U104" s="1"/>
      <c r="V104" s="1"/>
      <c r="W104" s="1"/>
      <c r="X104" s="1"/>
      <c r="Y104" s="1"/>
      <c r="Z104" s="1"/>
    </row>
    <row r="105" ht="15.75" customHeight="1" outlineLevel="1">
      <c r="A105" s="43"/>
      <c r="B105" s="1"/>
      <c r="C105" s="58" t="s">
        <v>131</v>
      </c>
      <c r="D105" s="1"/>
      <c r="E105" s="59">
        <v>412.0</v>
      </c>
      <c r="F105" s="59">
        <v>367.0</v>
      </c>
      <c r="G105" s="59">
        <v>264.0</v>
      </c>
      <c r="H105" s="59">
        <v>54.0</v>
      </c>
      <c r="I105" s="143">
        <f t="shared" ref="I105:R105" si="16">I106*I$178</f>
        <v>61.7368596</v>
      </c>
      <c r="J105" s="143">
        <f t="shared" si="16"/>
        <v>58.304915</v>
      </c>
      <c r="K105" s="143">
        <f t="shared" si="16"/>
        <v>62.6330248</v>
      </c>
      <c r="L105" s="143">
        <f t="shared" si="16"/>
        <v>63.1378603</v>
      </c>
      <c r="M105" s="143">
        <f t="shared" si="16"/>
        <v>63.678947</v>
      </c>
      <c r="N105" s="143">
        <f t="shared" si="16"/>
        <v>63.7361856</v>
      </c>
      <c r="O105" s="143">
        <f t="shared" si="16"/>
        <v>64.081807</v>
      </c>
      <c r="P105" s="143">
        <f t="shared" si="16"/>
        <v>63.7021549</v>
      </c>
      <c r="Q105" s="143">
        <f t="shared" si="16"/>
        <v>63.9978154</v>
      </c>
      <c r="R105" s="143">
        <f t="shared" si="16"/>
        <v>63.1587868</v>
      </c>
      <c r="S105" s="1"/>
      <c r="U105" s="1"/>
      <c r="V105" s="1"/>
      <c r="W105" s="1"/>
      <c r="X105" s="1"/>
      <c r="Y105" s="1"/>
      <c r="Z105" s="1"/>
    </row>
    <row r="106" ht="15.75" customHeight="1" outlineLevel="1">
      <c r="A106" s="43"/>
      <c r="B106" s="1"/>
      <c r="C106" s="94" t="s">
        <v>126</v>
      </c>
      <c r="D106" s="136" t="s">
        <v>63</v>
      </c>
      <c r="E106" s="96">
        <v>0.06234866828087167</v>
      </c>
      <c r="F106" s="96">
        <v>0.05229410088344258</v>
      </c>
      <c r="G106" s="96">
        <v>0.03520469395919456</v>
      </c>
      <c r="H106" s="96">
        <v>0.008321775312066574</v>
      </c>
      <c r="I106" s="146">
        <v>0.01</v>
      </c>
      <c r="J106" s="146">
        <v>0.01</v>
      </c>
      <c r="K106" s="146">
        <v>0.01</v>
      </c>
      <c r="L106" s="146">
        <v>0.01</v>
      </c>
      <c r="M106" s="146">
        <v>0.01</v>
      </c>
      <c r="N106" s="146">
        <v>0.01</v>
      </c>
      <c r="O106" s="146">
        <v>0.01</v>
      </c>
      <c r="P106" s="146">
        <v>0.01</v>
      </c>
      <c r="Q106" s="146">
        <v>0.01</v>
      </c>
      <c r="R106" s="146">
        <v>0.01</v>
      </c>
      <c r="S106" s="1"/>
      <c r="U106" s="1"/>
      <c r="V106" s="1"/>
      <c r="W106" s="1"/>
      <c r="X106" s="1"/>
      <c r="Y106" s="1"/>
      <c r="Z106" s="1"/>
    </row>
    <row r="107" ht="15.75" customHeight="1" outlineLevel="1">
      <c r="A107" s="43"/>
      <c r="B107" s="1"/>
      <c r="C107" s="58" t="s">
        <v>133</v>
      </c>
      <c r="D107" s="55" t="s">
        <v>66</v>
      </c>
      <c r="E107" s="59">
        <v>392.0</v>
      </c>
      <c r="F107" s="59">
        <v>476.0</v>
      </c>
      <c r="G107" s="59">
        <v>539.0</v>
      </c>
      <c r="H107" s="59">
        <v>658.0</v>
      </c>
      <c r="I107" s="143">
        <f t="shared" ref="I107:R107" si="17">I108*I$178</f>
        <v>626.0117563</v>
      </c>
      <c r="J107" s="143">
        <f t="shared" si="17"/>
        <v>594.710133</v>
      </c>
      <c r="K107" s="143">
        <f t="shared" si="17"/>
        <v>645.1201554</v>
      </c>
      <c r="L107" s="143">
        <f t="shared" si="17"/>
        <v>662.9475332</v>
      </c>
      <c r="M107" s="143">
        <f t="shared" si="17"/>
        <v>681.3647329</v>
      </c>
      <c r="N107" s="143">
        <f t="shared" si="17"/>
        <v>681.9771859</v>
      </c>
      <c r="O107" s="143">
        <f t="shared" si="17"/>
        <v>685.6753349</v>
      </c>
      <c r="P107" s="143">
        <f t="shared" si="17"/>
        <v>700.7237039</v>
      </c>
      <c r="Q107" s="143">
        <f t="shared" si="17"/>
        <v>703.9759694</v>
      </c>
      <c r="R107" s="143">
        <f t="shared" si="17"/>
        <v>694.7466548</v>
      </c>
      <c r="S107" s="1"/>
      <c r="U107" s="1"/>
      <c r="V107" s="1"/>
      <c r="W107" s="1"/>
      <c r="X107" s="1"/>
      <c r="Y107" s="1"/>
      <c r="Z107" s="1"/>
    </row>
    <row r="108" ht="15.75" customHeight="1" outlineLevel="1">
      <c r="A108" s="43"/>
      <c r="B108" s="1"/>
      <c r="C108" s="94" t="s">
        <v>126</v>
      </c>
      <c r="D108" s="136"/>
      <c r="E108" s="96">
        <v>0.059322033898305086</v>
      </c>
      <c r="F108" s="96">
        <v>0.06782559133656313</v>
      </c>
      <c r="G108" s="96">
        <v>0.07187625016668889</v>
      </c>
      <c r="H108" s="96">
        <v>0.10140237324703344</v>
      </c>
      <c r="I108" s="146">
        <v>0.1014</v>
      </c>
      <c r="J108" s="146">
        <v>0.102</v>
      </c>
      <c r="K108" s="146">
        <v>0.103</v>
      </c>
      <c r="L108" s="146">
        <v>0.105</v>
      </c>
      <c r="M108" s="146">
        <v>0.107</v>
      </c>
      <c r="N108" s="146">
        <v>0.107</v>
      </c>
      <c r="O108" s="146">
        <v>0.107</v>
      </c>
      <c r="P108" s="146">
        <v>0.11</v>
      </c>
      <c r="Q108" s="146">
        <v>0.11</v>
      </c>
      <c r="R108" s="146">
        <v>0.11</v>
      </c>
      <c r="S108" s="1"/>
      <c r="U108" s="1"/>
      <c r="V108" s="1"/>
      <c r="W108" s="1"/>
      <c r="X108" s="1"/>
      <c r="Y108" s="1"/>
      <c r="Z108" s="1"/>
    </row>
    <row r="109" ht="15.75" customHeight="1" outlineLevel="1">
      <c r="A109" s="43"/>
      <c r="B109" s="1"/>
      <c r="C109" s="58" t="s">
        <v>138</v>
      </c>
      <c r="D109" s="55" t="s">
        <v>66</v>
      </c>
      <c r="E109" s="59">
        <v>1628.0</v>
      </c>
      <c r="F109" s="59">
        <v>1929.0</v>
      </c>
      <c r="G109" s="59">
        <v>1493.0</v>
      </c>
      <c r="H109" s="59">
        <v>1375.0</v>
      </c>
      <c r="I109" s="143">
        <f t="shared" ref="I109:R109" si="18">I110*I$178</f>
        <v>1438.812921</v>
      </c>
      <c r="J109" s="143">
        <f t="shared" si="18"/>
        <v>1358.829484</v>
      </c>
      <c r="K109" s="143">
        <f t="shared" si="18"/>
        <v>1459.698565</v>
      </c>
      <c r="L109" s="143">
        <f t="shared" si="18"/>
        <v>1471.464046</v>
      </c>
      <c r="M109" s="143">
        <f t="shared" si="18"/>
        <v>1484.074382</v>
      </c>
      <c r="N109" s="143">
        <f t="shared" si="18"/>
        <v>1485.408361</v>
      </c>
      <c r="O109" s="143">
        <f t="shared" si="18"/>
        <v>1493.463265</v>
      </c>
      <c r="P109" s="143">
        <f t="shared" si="18"/>
        <v>1484.615256</v>
      </c>
      <c r="Q109" s="143">
        <f t="shared" si="18"/>
        <v>1491.505793</v>
      </c>
      <c r="R109" s="143">
        <f t="shared" si="18"/>
        <v>1471.95175</v>
      </c>
      <c r="S109" s="1"/>
      <c r="U109" s="1"/>
      <c r="V109" s="1"/>
      <c r="W109" s="1"/>
      <c r="X109" s="1"/>
      <c r="Y109" s="1"/>
      <c r="Z109" s="1"/>
    </row>
    <row r="110" ht="15.75" customHeight="1" outlineLevel="1">
      <c r="A110" s="43"/>
      <c r="B110" s="1"/>
      <c r="C110" s="94" t="s">
        <v>126</v>
      </c>
      <c r="D110" s="136" t="s">
        <v>66</v>
      </c>
      <c r="E110" s="96">
        <v>0.2463680387409201</v>
      </c>
      <c r="F110" s="96">
        <v>0.2748646337988031</v>
      </c>
      <c r="G110" s="96">
        <v>0.19909321242832378</v>
      </c>
      <c r="H110" s="96">
        <v>0.21189705655725075</v>
      </c>
      <c r="I110" s="146">
        <f>AVERAGE(E110:H110)</f>
        <v>0.2330557354</v>
      </c>
      <c r="J110" s="146">
        <f t="shared" ref="J110:R110" si="19">I110</f>
        <v>0.2330557354</v>
      </c>
      <c r="K110" s="146">
        <f t="shared" si="19"/>
        <v>0.2330557354</v>
      </c>
      <c r="L110" s="146">
        <f t="shared" si="19"/>
        <v>0.2330557354</v>
      </c>
      <c r="M110" s="146">
        <f t="shared" si="19"/>
        <v>0.2330557354</v>
      </c>
      <c r="N110" s="146">
        <f t="shared" si="19"/>
        <v>0.2330557354</v>
      </c>
      <c r="O110" s="146">
        <f t="shared" si="19"/>
        <v>0.2330557354</v>
      </c>
      <c r="P110" s="146">
        <f t="shared" si="19"/>
        <v>0.2330557354</v>
      </c>
      <c r="Q110" s="146">
        <f t="shared" si="19"/>
        <v>0.2330557354</v>
      </c>
      <c r="R110" s="146">
        <f t="shared" si="19"/>
        <v>0.2330557354</v>
      </c>
      <c r="S110" s="1"/>
      <c r="U110" s="1"/>
      <c r="V110" s="1"/>
      <c r="W110" s="1"/>
      <c r="X110" s="1"/>
      <c r="Y110" s="1"/>
      <c r="Z110" s="1"/>
    </row>
    <row r="111" ht="15.75" customHeight="1" outlineLevel="1">
      <c r="A111" s="43"/>
      <c r="B111" s="1"/>
      <c r="C111" s="58" t="s">
        <v>140</v>
      </c>
      <c r="D111" s="2"/>
      <c r="E111" s="59">
        <v>222.0</v>
      </c>
      <c r="F111" s="59">
        <v>323.0</v>
      </c>
      <c r="G111" s="59">
        <v>253.0</v>
      </c>
      <c r="H111" s="59">
        <v>292.0</v>
      </c>
      <c r="I111" s="143">
        <f t="shared" ref="I111:R111" si="20">I112*I$189</f>
        <v>141.2183581</v>
      </c>
      <c r="J111" s="143">
        <f t="shared" si="20"/>
        <v>133.3680466</v>
      </c>
      <c r="K111" s="143">
        <f t="shared" si="20"/>
        <v>145.6195891</v>
      </c>
      <c r="L111" s="143">
        <f t="shared" si="20"/>
        <v>146.793314</v>
      </c>
      <c r="M111" s="143">
        <f t="shared" si="20"/>
        <v>146.9211589</v>
      </c>
      <c r="N111" s="143">
        <f t="shared" si="20"/>
        <v>147.0532207</v>
      </c>
      <c r="O111" s="143">
        <f t="shared" si="20"/>
        <v>144.0596022</v>
      </c>
      <c r="P111" s="143">
        <f t="shared" si="20"/>
        <v>143.2061223</v>
      </c>
      <c r="Q111" s="143">
        <f t="shared" si="20"/>
        <v>143.8707842</v>
      </c>
      <c r="R111" s="143">
        <f t="shared" si="20"/>
        <v>141.9845995</v>
      </c>
      <c r="S111" s="1"/>
      <c r="U111" s="1"/>
      <c r="V111" s="1"/>
      <c r="W111" s="1"/>
      <c r="X111" s="1"/>
      <c r="Y111" s="1"/>
      <c r="Z111" s="1"/>
    </row>
    <row r="112" ht="15.75" customHeight="1" outlineLevel="1">
      <c r="A112" s="43"/>
      <c r="B112" s="1"/>
      <c r="C112" s="94" t="s">
        <v>142</v>
      </c>
      <c r="D112" s="136" t="s">
        <v>63</v>
      </c>
      <c r="E112" s="96">
        <v>0.04983164983164983</v>
      </c>
      <c r="F112" s="96">
        <v>0.0649246231155779</v>
      </c>
      <c r="G112" s="96">
        <v>0.05278531191320676</v>
      </c>
      <c r="H112" s="96">
        <v>0.06909607193563654</v>
      </c>
      <c r="I112" s="146">
        <f>AVERAGE(E112:H112)</f>
        <v>0.0591594142</v>
      </c>
      <c r="J112" s="146">
        <f t="shared" ref="J112:R112" si="21">I112</f>
        <v>0.0591594142</v>
      </c>
      <c r="K112" s="146">
        <f t="shared" si="21"/>
        <v>0.0591594142</v>
      </c>
      <c r="L112" s="146">
        <f t="shared" si="21"/>
        <v>0.0591594142</v>
      </c>
      <c r="M112" s="146">
        <f t="shared" si="21"/>
        <v>0.0591594142</v>
      </c>
      <c r="N112" s="146">
        <f t="shared" si="21"/>
        <v>0.0591594142</v>
      </c>
      <c r="O112" s="146">
        <f t="shared" si="21"/>
        <v>0.0591594142</v>
      </c>
      <c r="P112" s="146">
        <f t="shared" si="21"/>
        <v>0.0591594142</v>
      </c>
      <c r="Q112" s="146">
        <f t="shared" si="21"/>
        <v>0.0591594142</v>
      </c>
      <c r="R112" s="146">
        <f t="shared" si="21"/>
        <v>0.0591594142</v>
      </c>
      <c r="S112" s="1"/>
      <c r="U112" s="1"/>
      <c r="V112" s="1"/>
      <c r="W112" s="1"/>
      <c r="X112" s="1"/>
      <c r="Y112" s="1"/>
      <c r="Z112" s="1"/>
    </row>
    <row r="113" ht="15.75" customHeight="1" outlineLevel="1">
      <c r="A113" s="43"/>
      <c r="B113" s="1"/>
      <c r="C113" s="58" t="s">
        <v>144</v>
      </c>
      <c r="D113" s="2"/>
      <c r="E113" s="59">
        <v>806.0</v>
      </c>
      <c r="F113" s="59">
        <v>1411.0</v>
      </c>
      <c r="G113" s="59">
        <v>896.0</v>
      </c>
      <c r="H113" s="59">
        <v>1248.0</v>
      </c>
      <c r="I113" s="143">
        <f t="shared" ref="I113:R113" si="22">I114*I$189</f>
        <v>453.5455329</v>
      </c>
      <c r="J113" s="143">
        <f t="shared" si="22"/>
        <v>676.3152494</v>
      </c>
      <c r="K113" s="143">
        <f t="shared" si="22"/>
        <v>467.6807962</v>
      </c>
      <c r="L113" s="143">
        <f t="shared" si="22"/>
        <v>744.3953729</v>
      </c>
      <c r="M113" s="143">
        <f t="shared" si="22"/>
        <v>471.8609973</v>
      </c>
      <c r="N113" s="143">
        <f t="shared" si="22"/>
        <v>745.7133715</v>
      </c>
      <c r="O113" s="143">
        <f t="shared" si="22"/>
        <v>462.6706465</v>
      </c>
      <c r="P113" s="143">
        <f t="shared" si="22"/>
        <v>726.2045659</v>
      </c>
      <c r="Q113" s="143">
        <f t="shared" si="22"/>
        <v>462.0642272</v>
      </c>
      <c r="R113" s="143">
        <f t="shared" si="22"/>
        <v>720.0101695</v>
      </c>
      <c r="S113" s="1"/>
      <c r="U113" s="1"/>
      <c r="V113" s="1"/>
      <c r="W113" s="1"/>
      <c r="X113" s="1"/>
      <c r="Y113" s="1"/>
      <c r="Z113" s="1"/>
    </row>
    <row r="114" ht="15.75" customHeight="1" outlineLevel="1">
      <c r="A114" s="1"/>
      <c r="B114" s="1"/>
      <c r="C114" s="94" t="s">
        <v>142</v>
      </c>
      <c r="D114" s="136" t="s">
        <v>66</v>
      </c>
      <c r="E114" s="96">
        <v>0.18092031425364757</v>
      </c>
      <c r="F114" s="96">
        <v>0.28361809045226133</v>
      </c>
      <c r="G114" s="96">
        <v>0.18693928645941998</v>
      </c>
      <c r="H114" s="96">
        <v>0.2953147184098438</v>
      </c>
      <c r="I114" s="146">
        <v>0.19</v>
      </c>
      <c r="J114" s="146">
        <v>0.3</v>
      </c>
      <c r="K114" s="146">
        <v>0.19</v>
      </c>
      <c r="L114" s="146">
        <v>0.3</v>
      </c>
      <c r="M114" s="146">
        <v>0.19</v>
      </c>
      <c r="N114" s="146">
        <v>0.3</v>
      </c>
      <c r="O114" s="146">
        <v>0.19</v>
      </c>
      <c r="P114" s="146">
        <v>0.3</v>
      </c>
      <c r="Q114" s="146">
        <v>0.19</v>
      </c>
      <c r="R114" s="146">
        <v>0.3</v>
      </c>
      <c r="S114" s="1"/>
      <c r="U114" s="1"/>
      <c r="V114" s="1"/>
      <c r="W114" s="1"/>
      <c r="X114" s="1"/>
      <c r="Y114" s="1"/>
      <c r="Z114" s="1"/>
    </row>
    <row r="115" ht="15.75" customHeight="1" outlineLevel="1">
      <c r="A115" s="1"/>
      <c r="B115" s="1"/>
      <c r="C115" s="58"/>
      <c r="D115" s="2"/>
      <c r="F115" s="167"/>
      <c r="G115" s="167"/>
      <c r="H115" s="167"/>
      <c r="S115" s="1"/>
      <c r="U115" s="1"/>
      <c r="V115" s="1"/>
      <c r="W115" s="1"/>
      <c r="X115" s="1"/>
      <c r="Y115" s="1"/>
      <c r="Z115" s="1"/>
    </row>
    <row r="116" ht="15.75" customHeight="1" outlineLevel="1">
      <c r="A116" s="1"/>
      <c r="B116" s="1"/>
      <c r="C116" s="58" t="s">
        <v>145</v>
      </c>
      <c r="D116" s="61" t="s">
        <v>63</v>
      </c>
      <c r="E116" s="59">
        <v>-136.0</v>
      </c>
      <c r="F116" s="59">
        <v>-155.0</v>
      </c>
      <c r="G116" s="59">
        <v>-131.0</v>
      </c>
      <c r="H116" s="59">
        <v>-116.0</v>
      </c>
      <c r="I116" s="143">
        <f t="shared" ref="I116:R116" si="23">I117*I$178</f>
        <v>-111.1263473</v>
      </c>
      <c r="J116" s="143">
        <f t="shared" si="23"/>
        <v>-107.8640928</v>
      </c>
      <c r="K116" s="143">
        <f t="shared" si="23"/>
        <v>-119.0027471</v>
      </c>
      <c r="L116" s="143">
        <f t="shared" si="23"/>
        <v>-123.1188276</v>
      </c>
      <c r="M116" s="143">
        <f t="shared" si="23"/>
        <v>-127.357894</v>
      </c>
      <c r="N116" s="143">
        <f t="shared" si="23"/>
        <v>-127.4723712</v>
      </c>
      <c r="O116" s="143">
        <f t="shared" si="23"/>
        <v>-128.163614</v>
      </c>
      <c r="P116" s="143">
        <f t="shared" si="23"/>
        <v>-127.4043098</v>
      </c>
      <c r="Q116" s="143">
        <f t="shared" si="23"/>
        <v>-127.9956308</v>
      </c>
      <c r="R116" s="143">
        <f t="shared" si="23"/>
        <v>-126.3175736</v>
      </c>
      <c r="S116" s="1"/>
      <c r="U116" s="1"/>
      <c r="V116" s="1"/>
      <c r="W116" s="1"/>
      <c r="X116" s="1"/>
      <c r="Y116" s="1"/>
      <c r="Z116" s="1"/>
    </row>
    <row r="117" ht="15.75" customHeight="1" outlineLevel="1">
      <c r="A117" s="43"/>
      <c r="B117" s="1"/>
      <c r="C117" s="94" t="s">
        <v>146</v>
      </c>
      <c r="D117" s="55" t="s">
        <v>66</v>
      </c>
      <c r="E117" s="96">
        <v>-0.020581113801452784</v>
      </c>
      <c r="F117" s="96">
        <v>-0.02208606440581362</v>
      </c>
      <c r="G117" s="96">
        <v>-0.017468995866115482</v>
      </c>
      <c r="H117" s="96">
        <v>-0.01787640622592079</v>
      </c>
      <c r="I117" s="146">
        <v>-0.018</v>
      </c>
      <c r="J117" s="146">
        <v>-0.0185</v>
      </c>
      <c r="K117" s="146">
        <v>-0.019</v>
      </c>
      <c r="L117" s="146">
        <v>-0.0195</v>
      </c>
      <c r="M117" s="146">
        <v>-0.02</v>
      </c>
      <c r="N117" s="146">
        <v>-0.02</v>
      </c>
      <c r="O117" s="146">
        <v>-0.02</v>
      </c>
      <c r="P117" s="146">
        <v>-0.02</v>
      </c>
      <c r="Q117" s="146">
        <v>-0.02</v>
      </c>
      <c r="R117" s="146">
        <v>-0.02</v>
      </c>
      <c r="S117" s="1"/>
      <c r="U117" s="1"/>
      <c r="V117" s="1"/>
      <c r="W117" s="1"/>
      <c r="X117" s="1"/>
      <c r="Y117" s="1"/>
      <c r="Z117" s="1"/>
    </row>
    <row r="118" ht="15.75" customHeight="1" outlineLevel="1">
      <c r="A118" s="43"/>
      <c r="B118" s="1"/>
      <c r="C118" s="58" t="s">
        <v>147</v>
      </c>
      <c r="D118" s="2"/>
      <c r="E118" s="59">
        <v>829.0</v>
      </c>
      <c r="F118" s="59">
        <v>888.0</v>
      </c>
      <c r="G118" s="59">
        <v>509.0</v>
      </c>
      <c r="H118" s="59">
        <v>328.0</v>
      </c>
      <c r="I118" s="143">
        <f t="shared" ref="I118:R118" si="24">I119*I$178</f>
        <v>571.6965424</v>
      </c>
      <c r="J118" s="143">
        <f t="shared" si="24"/>
        <v>542.8312461</v>
      </c>
      <c r="K118" s="143">
        <f t="shared" si="24"/>
        <v>586.2585266</v>
      </c>
      <c r="L118" s="143">
        <f t="shared" si="24"/>
        <v>594.140788</v>
      </c>
      <c r="M118" s="143">
        <f t="shared" si="24"/>
        <v>602.4164771</v>
      </c>
      <c r="N118" s="143">
        <f t="shared" si="24"/>
        <v>602.9579665</v>
      </c>
      <c r="O118" s="143">
        <f t="shared" si="24"/>
        <v>606.227619</v>
      </c>
      <c r="P118" s="143">
        <f t="shared" si="24"/>
        <v>602.6360288</v>
      </c>
      <c r="Q118" s="143">
        <f t="shared" si="24"/>
        <v>605.4330405</v>
      </c>
      <c r="R118" s="143">
        <f t="shared" si="24"/>
        <v>597.4956502</v>
      </c>
      <c r="S118" s="1"/>
      <c r="U118" s="1"/>
      <c r="V118" s="1"/>
      <c r="W118" s="1"/>
      <c r="X118" s="1"/>
      <c r="Y118" s="1"/>
      <c r="Z118" s="1"/>
    </row>
    <row r="119" ht="15.75" customHeight="1" outlineLevel="1">
      <c r="A119" s="43"/>
      <c r="B119" s="1"/>
      <c r="C119" s="94" t="s">
        <v>146</v>
      </c>
      <c r="D119" s="136" t="s">
        <v>63</v>
      </c>
      <c r="E119" s="96">
        <v>0.12545399515738498</v>
      </c>
      <c r="F119" s="96">
        <v>0.12653177543459676</v>
      </c>
      <c r="G119" s="96">
        <v>0.06787571676223496</v>
      </c>
      <c r="H119" s="96">
        <v>0.05054707967329326</v>
      </c>
      <c r="I119" s="146">
        <f>AVERAGE(E119:H119)</f>
        <v>0.09260214176</v>
      </c>
      <c r="J119" s="146">
        <f t="shared" ref="J119:R119" si="25">I119-(J117-I117)</f>
        <v>0.09310214176</v>
      </c>
      <c r="K119" s="146">
        <f t="shared" si="25"/>
        <v>0.09360214176</v>
      </c>
      <c r="L119" s="146">
        <f t="shared" si="25"/>
        <v>0.09410214176</v>
      </c>
      <c r="M119" s="146">
        <f t="shared" si="25"/>
        <v>0.09460214176</v>
      </c>
      <c r="N119" s="146">
        <f t="shared" si="25"/>
        <v>0.09460214176</v>
      </c>
      <c r="O119" s="146">
        <f t="shared" si="25"/>
        <v>0.09460214176</v>
      </c>
      <c r="P119" s="146">
        <f t="shared" si="25"/>
        <v>0.09460214176</v>
      </c>
      <c r="Q119" s="146">
        <f t="shared" si="25"/>
        <v>0.09460214176</v>
      </c>
      <c r="R119" s="146">
        <f t="shared" si="25"/>
        <v>0.09460214176</v>
      </c>
      <c r="S119" s="1"/>
      <c r="U119" s="1"/>
      <c r="V119" s="1"/>
      <c r="W119" s="1"/>
      <c r="X119" s="1"/>
      <c r="Y119" s="1"/>
      <c r="Z119" s="1"/>
    </row>
    <row r="120" ht="15.75" customHeight="1" outlineLevel="1">
      <c r="A120" s="43"/>
      <c r="B120" s="1"/>
      <c r="C120" s="168" t="s">
        <v>148</v>
      </c>
      <c r="D120" s="61" t="s">
        <v>63</v>
      </c>
      <c r="E120" s="59">
        <v>321.0</v>
      </c>
      <c r="F120" s="59">
        <v>311.0</v>
      </c>
      <c r="G120" s="59">
        <v>489.0</v>
      </c>
      <c r="H120" s="59">
        <v>225.0</v>
      </c>
      <c r="I120" s="169">
        <v>204.0</v>
      </c>
      <c r="J120" s="169">
        <v>74.0</v>
      </c>
      <c r="K120" s="169">
        <v>12.0</v>
      </c>
      <c r="L120" s="169">
        <v>7.0</v>
      </c>
      <c r="M120" s="169">
        <v>2.0</v>
      </c>
      <c r="N120" s="169">
        <v>3.0</v>
      </c>
      <c r="O120" s="169">
        <v>3.0</v>
      </c>
      <c r="P120" s="169">
        <v>3.0</v>
      </c>
      <c r="Q120" s="169">
        <v>3.0</v>
      </c>
      <c r="R120" s="169">
        <v>3.0</v>
      </c>
      <c r="S120" s="1"/>
      <c r="U120" s="1"/>
      <c r="V120" s="1"/>
      <c r="W120" s="1"/>
      <c r="X120" s="1"/>
      <c r="Y120" s="1"/>
      <c r="Z120" s="1"/>
    </row>
    <row r="121" ht="15.75" customHeight="1" outlineLevel="1">
      <c r="A121" s="43"/>
      <c r="B121" s="1"/>
      <c r="C121" s="94" t="s">
        <v>146</v>
      </c>
      <c r="D121" s="136"/>
      <c r="E121" s="96">
        <v>0.048577481840193705</v>
      </c>
      <c r="F121" s="96">
        <v>0.04431461954972927</v>
      </c>
      <c r="G121" s="96">
        <v>0.06520869449259901</v>
      </c>
      <c r="H121" s="96">
        <v>0.03467406380027739</v>
      </c>
      <c r="I121" s="170"/>
      <c r="U121" s="1"/>
      <c r="V121" s="1"/>
      <c r="W121" s="1"/>
      <c r="X121" s="1"/>
      <c r="Y121" s="1"/>
      <c r="Z121" s="1"/>
    </row>
    <row r="122" ht="15.75" customHeight="1" outlineLevel="1">
      <c r="A122" s="1"/>
      <c r="B122" s="4" t="s">
        <v>149</v>
      </c>
      <c r="C122" s="94"/>
      <c r="D122" s="136"/>
      <c r="E122" s="170"/>
      <c r="F122" s="170"/>
      <c r="G122" s="170"/>
      <c r="H122" s="170"/>
      <c r="I122" s="143"/>
      <c r="U122" s="1"/>
      <c r="V122" s="1"/>
      <c r="W122" s="1"/>
      <c r="X122" s="1"/>
      <c r="Y122" s="1"/>
      <c r="Z122" s="1"/>
    </row>
    <row r="123" ht="15.75" customHeight="1" outlineLevel="1">
      <c r="A123" s="1"/>
      <c r="B123" s="94" t="s">
        <v>150</v>
      </c>
      <c r="C123" s="94"/>
      <c r="D123" s="136"/>
      <c r="E123" s="170"/>
      <c r="F123" s="170"/>
      <c r="G123" s="170"/>
      <c r="H123" s="170"/>
      <c r="I123" s="170"/>
      <c r="U123" s="1"/>
      <c r="V123" s="1"/>
      <c r="W123" s="1"/>
      <c r="X123" s="1"/>
      <c r="Y123" s="1"/>
      <c r="Z123" s="1"/>
    </row>
    <row r="124" ht="15.75" customHeight="1" outlineLevel="1">
      <c r="A124" s="1"/>
      <c r="B124" s="1"/>
      <c r="C124" s="58" t="s">
        <v>151</v>
      </c>
      <c r="D124" s="136"/>
      <c r="E124" s="59">
        <v>741.0</v>
      </c>
      <c r="F124" s="59">
        <v>732.0</v>
      </c>
      <c r="G124" s="59">
        <v>718.0</v>
      </c>
      <c r="H124" s="59">
        <v>656.0</v>
      </c>
      <c r="I124" s="143">
        <f t="shared" ref="I124:R124" si="26">I125*I178</f>
        <v>555.6317364</v>
      </c>
      <c r="J124" s="143">
        <f t="shared" si="26"/>
        <v>553.8966925</v>
      </c>
      <c r="K124" s="143">
        <f t="shared" si="26"/>
        <v>626.330248</v>
      </c>
      <c r="L124" s="143">
        <f t="shared" si="26"/>
        <v>631.378603</v>
      </c>
      <c r="M124" s="143">
        <f t="shared" si="26"/>
        <v>636.78947</v>
      </c>
      <c r="N124" s="143">
        <f t="shared" si="26"/>
        <v>637.361856</v>
      </c>
      <c r="O124" s="143">
        <f t="shared" si="26"/>
        <v>640.81807</v>
      </c>
      <c r="P124" s="143">
        <f t="shared" si="26"/>
        <v>637.021549</v>
      </c>
      <c r="Q124" s="143">
        <f t="shared" si="26"/>
        <v>639.978154</v>
      </c>
      <c r="R124" s="143">
        <f t="shared" si="26"/>
        <v>631.587868</v>
      </c>
      <c r="U124" s="1"/>
      <c r="V124" s="1"/>
      <c r="W124" s="1"/>
      <c r="X124" s="1"/>
      <c r="Y124" s="1"/>
      <c r="Z124" s="1"/>
    </row>
    <row r="125" ht="15.75" customHeight="1" outlineLevel="1">
      <c r="A125" s="1"/>
      <c r="B125" s="1"/>
      <c r="C125" s="94" t="s">
        <v>146</v>
      </c>
      <c r="D125" s="136"/>
      <c r="E125" s="170">
        <f t="shared" ref="E125:H125" si="27">+E124/E$178</f>
        <v>0.1113009568</v>
      </c>
      <c r="F125" s="170">
        <f t="shared" si="27"/>
        <v>0.1152119609</v>
      </c>
      <c r="G125" s="170">
        <f t="shared" si="27"/>
        <v>0.1021584132</v>
      </c>
      <c r="H125" s="170">
        <f t="shared" si="27"/>
        <v>0.09050759328</v>
      </c>
      <c r="I125" s="146">
        <v>0.09</v>
      </c>
      <c r="J125" s="146">
        <v>0.095</v>
      </c>
      <c r="K125" s="146">
        <v>0.1</v>
      </c>
      <c r="L125" s="146">
        <v>0.1</v>
      </c>
      <c r="M125" s="146">
        <v>0.1</v>
      </c>
      <c r="N125" s="146">
        <v>0.1</v>
      </c>
      <c r="O125" s="146">
        <v>0.1</v>
      </c>
      <c r="P125" s="146">
        <v>0.1</v>
      </c>
      <c r="Q125" s="146">
        <v>0.1</v>
      </c>
      <c r="R125" s="146">
        <v>0.1</v>
      </c>
      <c r="U125" s="1"/>
      <c r="V125" s="1"/>
      <c r="W125" s="1"/>
      <c r="X125" s="1"/>
      <c r="Y125" s="1"/>
      <c r="Z125" s="1"/>
    </row>
    <row r="126" ht="15.75" customHeight="1" outlineLevel="1">
      <c r="A126" s="1"/>
      <c r="B126" s="1"/>
      <c r="C126" s="58" t="s">
        <v>152</v>
      </c>
      <c r="D126" s="136"/>
      <c r="E126" s="59">
        <v>331.0</v>
      </c>
      <c r="F126" s="59">
        <v>301.0</v>
      </c>
      <c r="G126" s="59">
        <v>372.0</v>
      </c>
      <c r="H126" s="59">
        <v>240.0</v>
      </c>
      <c r="I126" s="143">
        <f t="shared" ref="I126:R126" si="28">I127*I$178</f>
        <v>282.6533326</v>
      </c>
      <c r="J126" s="143">
        <f t="shared" si="28"/>
        <v>266.9406679</v>
      </c>
      <c r="K126" s="143">
        <f t="shared" si="28"/>
        <v>286.7562961</v>
      </c>
      <c r="L126" s="143">
        <f t="shared" si="28"/>
        <v>289.0676128</v>
      </c>
      <c r="M126" s="143">
        <f t="shared" si="28"/>
        <v>291.5449005</v>
      </c>
      <c r="N126" s="143">
        <f t="shared" si="28"/>
        <v>291.8069592</v>
      </c>
      <c r="O126" s="143">
        <f t="shared" si="28"/>
        <v>293.389337</v>
      </c>
      <c r="P126" s="143">
        <f t="shared" si="28"/>
        <v>291.6511545</v>
      </c>
      <c r="Q126" s="143">
        <f t="shared" si="28"/>
        <v>293.0047936</v>
      </c>
      <c r="R126" s="143">
        <f t="shared" si="28"/>
        <v>289.1634218</v>
      </c>
      <c r="U126" s="1"/>
      <c r="V126" s="1"/>
      <c r="W126" s="1"/>
      <c r="X126" s="1"/>
      <c r="Y126" s="1"/>
      <c r="Z126" s="1"/>
    </row>
    <row r="127" ht="15.75" customHeight="1" outlineLevel="1">
      <c r="A127" s="1"/>
      <c r="B127" s="1"/>
      <c r="C127" s="94" t="s">
        <v>146</v>
      </c>
      <c r="D127" s="136"/>
      <c r="E127" s="170">
        <f t="shared" ref="E127:H127" si="29">+E126/E$178</f>
        <v>0.04971743143</v>
      </c>
      <c r="F127" s="170">
        <f t="shared" si="29"/>
        <v>0.04737541015</v>
      </c>
      <c r="G127" s="170">
        <f t="shared" si="29"/>
        <v>0.05292887146</v>
      </c>
      <c r="H127" s="170">
        <f t="shared" si="29"/>
        <v>0.03311253413</v>
      </c>
      <c r="I127" s="146">
        <f>AVERAGE(E127:H127)</f>
        <v>0.04578356179</v>
      </c>
      <c r="J127" s="146">
        <f t="shared" ref="J127:R127" si="30">+I127</f>
        <v>0.04578356179</v>
      </c>
      <c r="K127" s="146">
        <f t="shared" si="30"/>
        <v>0.04578356179</v>
      </c>
      <c r="L127" s="146">
        <f t="shared" si="30"/>
        <v>0.04578356179</v>
      </c>
      <c r="M127" s="146">
        <f t="shared" si="30"/>
        <v>0.04578356179</v>
      </c>
      <c r="N127" s="146">
        <f t="shared" si="30"/>
        <v>0.04578356179</v>
      </c>
      <c r="O127" s="146">
        <f t="shared" si="30"/>
        <v>0.04578356179</v>
      </c>
      <c r="P127" s="146">
        <f t="shared" si="30"/>
        <v>0.04578356179</v>
      </c>
      <c r="Q127" s="146">
        <f t="shared" si="30"/>
        <v>0.04578356179</v>
      </c>
      <c r="R127" s="146">
        <f t="shared" si="30"/>
        <v>0.04578356179</v>
      </c>
      <c r="U127" s="1"/>
      <c r="V127" s="1"/>
      <c r="W127" s="1"/>
      <c r="X127" s="1"/>
      <c r="Y127" s="1"/>
      <c r="Z127" s="1"/>
    </row>
    <row r="128" ht="15.75" customHeight="1" outlineLevel="1">
      <c r="A128" s="1"/>
      <c r="B128" s="1"/>
      <c r="C128" s="58" t="s">
        <v>153</v>
      </c>
      <c r="D128" s="136"/>
      <c r="E128" s="59">
        <v>851.0</v>
      </c>
      <c r="F128" s="59">
        <v>985.0</v>
      </c>
      <c r="G128" s="59">
        <v>1028.0</v>
      </c>
      <c r="H128" s="59">
        <v>966.0</v>
      </c>
      <c r="I128" s="143">
        <f t="shared" ref="I128:R128" si="31">I129*I$178</f>
        <v>802.5791748</v>
      </c>
      <c r="J128" s="143">
        <f t="shared" si="31"/>
        <v>757.963895</v>
      </c>
      <c r="K128" s="143">
        <f t="shared" si="31"/>
        <v>814.2293224</v>
      </c>
      <c r="L128" s="143">
        <f t="shared" si="31"/>
        <v>820.7921839</v>
      </c>
      <c r="M128" s="143">
        <f t="shared" si="31"/>
        <v>827.826311</v>
      </c>
      <c r="N128" s="143">
        <f t="shared" si="31"/>
        <v>828.5704128</v>
      </c>
      <c r="O128" s="143">
        <f t="shared" si="31"/>
        <v>833.063491</v>
      </c>
      <c r="P128" s="143">
        <f t="shared" si="31"/>
        <v>828.1280137</v>
      </c>
      <c r="Q128" s="143">
        <f t="shared" si="31"/>
        <v>831.9716002</v>
      </c>
      <c r="R128" s="143">
        <f t="shared" si="31"/>
        <v>821.0642284</v>
      </c>
      <c r="U128" s="1"/>
      <c r="V128" s="1"/>
      <c r="W128" s="1"/>
      <c r="X128" s="1"/>
      <c r="Y128" s="1"/>
      <c r="Z128" s="1"/>
    </row>
    <row r="129" ht="15.75" customHeight="1" outlineLevel="1">
      <c r="A129" s="1"/>
      <c r="B129" s="1"/>
      <c r="C129" s="94" t="s">
        <v>146</v>
      </c>
      <c r="D129" s="136"/>
      <c r="E129" s="170">
        <f t="shared" ref="E129:H129" si="32">+E128/E$178</f>
        <v>0.127823366</v>
      </c>
      <c r="F129" s="170">
        <f t="shared" si="32"/>
        <v>0.1550324884</v>
      </c>
      <c r="G129" s="170">
        <f t="shared" si="32"/>
        <v>0.1462658061</v>
      </c>
      <c r="H129" s="170">
        <f t="shared" si="32"/>
        <v>0.1332779499</v>
      </c>
      <c r="I129" s="146">
        <v>0.13</v>
      </c>
      <c r="J129" s="146">
        <v>0.13</v>
      </c>
      <c r="K129" s="146">
        <v>0.13</v>
      </c>
      <c r="L129" s="146">
        <v>0.13</v>
      </c>
      <c r="M129" s="146">
        <v>0.13</v>
      </c>
      <c r="N129" s="146">
        <v>0.13</v>
      </c>
      <c r="O129" s="146">
        <v>0.13</v>
      </c>
      <c r="P129" s="146">
        <v>0.13</v>
      </c>
      <c r="Q129" s="146">
        <v>0.13</v>
      </c>
      <c r="R129" s="146">
        <v>0.13</v>
      </c>
      <c r="U129" s="1"/>
      <c r="V129" s="1"/>
      <c r="W129" s="1"/>
      <c r="X129" s="1"/>
      <c r="Y129" s="1"/>
      <c r="Z129" s="1"/>
    </row>
    <row r="130" ht="15.75" customHeight="1" outlineLevel="1">
      <c r="A130" s="1"/>
      <c r="B130" s="1"/>
      <c r="C130" s="58" t="s">
        <v>152</v>
      </c>
      <c r="D130" s="136"/>
      <c r="E130" s="59">
        <v>471.0</v>
      </c>
      <c r="F130" s="59">
        <v>483.0</v>
      </c>
      <c r="G130" s="59">
        <v>399.0</v>
      </c>
      <c r="H130" s="59">
        <v>232.0</v>
      </c>
      <c r="I130" s="143">
        <f t="shared" ref="I130:R130" si="33">I131*I$178</f>
        <v>364.3671065</v>
      </c>
      <c r="J130" s="143">
        <f t="shared" si="33"/>
        <v>344.1119829</v>
      </c>
      <c r="K130" s="143">
        <f t="shared" si="33"/>
        <v>369.6562178</v>
      </c>
      <c r="L130" s="143">
        <f t="shared" si="33"/>
        <v>372.6357255</v>
      </c>
      <c r="M130" s="143">
        <f t="shared" si="33"/>
        <v>375.8291856</v>
      </c>
      <c r="N130" s="143">
        <f t="shared" si="33"/>
        <v>376.1670043</v>
      </c>
      <c r="O130" s="143">
        <f t="shared" si="33"/>
        <v>378.2068403</v>
      </c>
      <c r="P130" s="143">
        <f t="shared" si="33"/>
        <v>375.9661572</v>
      </c>
      <c r="Q130" s="143">
        <f t="shared" si="33"/>
        <v>377.7111271</v>
      </c>
      <c r="R130" s="143">
        <f t="shared" si="33"/>
        <v>372.7592324</v>
      </c>
      <c r="U130" s="1"/>
      <c r="V130" s="1"/>
      <c r="W130" s="1"/>
      <c r="X130" s="1"/>
      <c r="Y130" s="1"/>
      <c r="Z130" s="1"/>
    </row>
    <row r="131" ht="15.75" customHeight="1" outlineLevel="1">
      <c r="A131" s="1"/>
      <c r="B131" s="1"/>
      <c r="C131" s="94" t="s">
        <v>146</v>
      </c>
      <c r="D131" s="136"/>
      <c r="E131" s="170">
        <f>E130/6608</f>
        <v>0.07127723971</v>
      </c>
      <c r="F131" s="170">
        <f t="shared" ref="F131:H131" si="34">+F130/F$178</f>
        <v>0.07602100698</v>
      </c>
      <c r="G131" s="170">
        <f t="shared" si="34"/>
        <v>0.0567704831</v>
      </c>
      <c r="H131" s="170">
        <f t="shared" si="34"/>
        <v>0.03200878299</v>
      </c>
      <c r="I131" s="146">
        <f t="shared" ref="I131:I132" si="36">+AVERAGE(E131:H131)</f>
        <v>0.0590193782</v>
      </c>
      <c r="J131" s="146">
        <f t="shared" ref="J131:J132" si="37">+I131</f>
        <v>0.0590193782</v>
      </c>
      <c r="K131" s="146">
        <f>J131</f>
        <v>0.0590193782</v>
      </c>
      <c r="L131" s="146">
        <f t="shared" ref="L131:R131" si="35">+K131</f>
        <v>0.0590193782</v>
      </c>
      <c r="M131" s="146">
        <f t="shared" si="35"/>
        <v>0.0590193782</v>
      </c>
      <c r="N131" s="146">
        <f t="shared" si="35"/>
        <v>0.0590193782</v>
      </c>
      <c r="O131" s="146">
        <f t="shared" si="35"/>
        <v>0.0590193782</v>
      </c>
      <c r="P131" s="146">
        <f t="shared" si="35"/>
        <v>0.0590193782</v>
      </c>
      <c r="Q131" s="146">
        <f t="shared" si="35"/>
        <v>0.0590193782</v>
      </c>
      <c r="R131" s="146">
        <f t="shared" si="35"/>
        <v>0.0590193782</v>
      </c>
      <c r="U131" s="1"/>
      <c r="V131" s="1"/>
      <c r="W131" s="1"/>
      <c r="X131" s="1"/>
      <c r="Y131" s="1"/>
      <c r="Z131" s="1"/>
    </row>
    <row r="132" ht="15.75" customHeight="1" outlineLevel="1">
      <c r="A132" s="1"/>
      <c r="B132" s="1"/>
      <c r="C132" s="94" t="s">
        <v>154</v>
      </c>
      <c r="D132" s="136"/>
      <c r="E132" s="170">
        <f>958/E178</f>
        <v>0.1438951641</v>
      </c>
      <c r="F132" s="170">
        <f>1068/F178</f>
        <v>0.1680961397</v>
      </c>
      <c r="G132" s="170">
        <f>1102/G178</f>
        <v>0.1567946676</v>
      </c>
      <c r="H132" s="170">
        <f>999/H178</f>
        <v>0.1378309233</v>
      </c>
      <c r="I132" s="146">
        <f t="shared" si="36"/>
        <v>0.1516542237</v>
      </c>
      <c r="J132" s="146">
        <f t="shared" si="37"/>
        <v>0.1516542237</v>
      </c>
      <c r="K132" s="146">
        <v>0.16</v>
      </c>
      <c r="L132" s="146">
        <f t="shared" ref="L132:N132" si="38">+K132</f>
        <v>0.16</v>
      </c>
      <c r="M132" s="146">
        <f t="shared" si="38"/>
        <v>0.16</v>
      </c>
      <c r="N132" s="146">
        <f t="shared" si="38"/>
        <v>0.16</v>
      </c>
      <c r="O132" s="146">
        <v>0.15</v>
      </c>
      <c r="P132" s="146">
        <f t="shared" ref="P132:R132" si="39">+O132</f>
        <v>0.15</v>
      </c>
      <c r="Q132" s="146">
        <f t="shared" si="39"/>
        <v>0.15</v>
      </c>
      <c r="R132" s="146">
        <f t="shared" si="39"/>
        <v>0.15</v>
      </c>
      <c r="U132" s="1"/>
      <c r="V132" s="1"/>
      <c r="W132" s="1"/>
      <c r="X132" s="1"/>
      <c r="Y132" s="1"/>
      <c r="Z132" s="1"/>
    </row>
    <row r="133" ht="15.75" customHeight="1" outlineLevel="1">
      <c r="A133" s="1"/>
      <c r="B133" s="1"/>
      <c r="C133" s="94" t="s">
        <v>156</v>
      </c>
      <c r="D133" s="136"/>
      <c r="E133" s="170">
        <f>+(1210+634)/6608</f>
        <v>0.2790556901</v>
      </c>
      <c r="F133" s="170">
        <f>2139/F178</f>
        <v>0.3366644595</v>
      </c>
      <c r="G133" s="170">
        <f>1882/G178</f>
        <v>0.2677745594</v>
      </c>
      <c r="H133" s="170">
        <f>1657/H178</f>
        <v>0.2286144544</v>
      </c>
      <c r="I133" s="146">
        <v>0.235</v>
      </c>
      <c r="J133" s="146">
        <f>I133</f>
        <v>0.235</v>
      </c>
      <c r="K133" s="146">
        <v>0.233</v>
      </c>
      <c r="L133" s="146">
        <f>K133</f>
        <v>0.233</v>
      </c>
      <c r="M133" s="146">
        <v>0.23</v>
      </c>
      <c r="N133" s="146">
        <f t="shared" ref="N133:R133" si="40">M133</f>
        <v>0.23</v>
      </c>
      <c r="O133" s="146">
        <f t="shared" si="40"/>
        <v>0.23</v>
      </c>
      <c r="P133" s="146">
        <f t="shared" si="40"/>
        <v>0.23</v>
      </c>
      <c r="Q133" s="146">
        <f t="shared" si="40"/>
        <v>0.23</v>
      </c>
      <c r="R133" s="146">
        <f t="shared" si="40"/>
        <v>0.23</v>
      </c>
      <c r="U133" s="1"/>
      <c r="V133" s="1"/>
      <c r="W133" s="1"/>
      <c r="X133" s="1"/>
      <c r="Y133" s="1"/>
      <c r="Z133" s="1"/>
    </row>
    <row r="134" ht="15.75" customHeight="1" outlineLevel="1">
      <c r="A134" s="1"/>
      <c r="B134" s="1"/>
      <c r="C134" s="94" t="s">
        <v>157</v>
      </c>
      <c r="D134" s="136"/>
      <c r="E134" s="179">
        <v>0.0</v>
      </c>
      <c r="F134" s="170">
        <v>0.0</v>
      </c>
      <c r="G134" s="170">
        <f>10/G178</f>
        <v>0.001422819125</v>
      </c>
      <c r="H134" s="170">
        <f>132/H178</f>
        <v>0.01821189377</v>
      </c>
      <c r="I134" s="146">
        <v>0.0</v>
      </c>
      <c r="J134" s="146">
        <v>0.0</v>
      </c>
      <c r="K134" s="146">
        <v>0.0</v>
      </c>
      <c r="L134" s="146">
        <v>0.0</v>
      </c>
      <c r="M134" s="146">
        <v>0.0</v>
      </c>
      <c r="N134" s="146">
        <v>0.0</v>
      </c>
      <c r="O134" s="146">
        <v>0.0</v>
      </c>
      <c r="P134" s="146">
        <v>0.0</v>
      </c>
      <c r="Q134" s="146">
        <v>0.0</v>
      </c>
      <c r="R134" s="146">
        <v>0.0</v>
      </c>
      <c r="U134" s="1"/>
      <c r="V134" s="1"/>
      <c r="W134" s="1"/>
      <c r="X134" s="1"/>
      <c r="Y134" s="1"/>
      <c r="Z134" s="1"/>
    </row>
    <row r="135" ht="15.75" customHeight="1" outlineLevel="1">
      <c r="A135" s="1"/>
      <c r="B135" s="1"/>
      <c r="C135" s="94"/>
      <c r="D135" s="136"/>
      <c r="E135" s="170"/>
      <c r="F135" s="170"/>
      <c r="G135" s="170"/>
      <c r="H135" s="170"/>
      <c r="I135" s="170"/>
      <c r="U135" s="1"/>
      <c r="V135" s="1"/>
      <c r="W135" s="1"/>
      <c r="X135" s="1"/>
      <c r="Y135" s="1"/>
      <c r="Z135" s="1"/>
    </row>
    <row r="136" ht="15.75" customHeight="1">
      <c r="A136" s="1"/>
      <c r="B136" s="1"/>
      <c r="C136" s="182"/>
      <c r="D136" s="2"/>
      <c r="E136" s="16"/>
      <c r="F136" s="16"/>
      <c r="G136" s="16"/>
      <c r="H136" s="16"/>
      <c r="I136" s="16"/>
      <c r="J136" s="16"/>
      <c r="K136" s="16"/>
      <c r="L136" s="16"/>
      <c r="M136" s="16"/>
      <c r="N136" s="16"/>
      <c r="O136" s="16"/>
      <c r="P136" s="16"/>
      <c r="Q136" s="16"/>
      <c r="R136" s="16"/>
      <c r="S136" s="1"/>
      <c r="T136" s="1"/>
      <c r="U136" s="1"/>
      <c r="V136" s="1"/>
      <c r="W136" s="1"/>
      <c r="X136" s="1"/>
      <c r="Y136" s="1"/>
      <c r="Z136" s="1"/>
    </row>
    <row r="137" ht="15.75" customHeight="1">
      <c r="A137" s="1"/>
      <c r="B137" s="22"/>
      <c r="C137" s="22"/>
      <c r="D137" s="23"/>
      <c r="E137" s="23"/>
      <c r="F137" s="23"/>
      <c r="G137" s="22"/>
      <c r="H137" s="22"/>
      <c r="I137" s="22"/>
      <c r="J137" s="22"/>
      <c r="K137" s="22"/>
      <c r="L137" s="22"/>
      <c r="M137" s="22"/>
      <c r="N137" s="22"/>
      <c r="O137" s="22"/>
      <c r="P137" s="22"/>
      <c r="Q137" s="22"/>
      <c r="R137" s="22"/>
      <c r="S137" s="1"/>
      <c r="T137" s="1"/>
      <c r="U137" s="1"/>
      <c r="V137" s="1"/>
      <c r="W137" s="1"/>
      <c r="X137" s="1"/>
      <c r="Y137" s="1"/>
      <c r="Z137" s="1"/>
    </row>
    <row r="138" ht="15.75" customHeight="1">
      <c r="A138" s="1"/>
      <c r="B138" s="44" t="s">
        <v>159</v>
      </c>
      <c r="C138" s="44"/>
      <c r="D138" s="185"/>
      <c r="E138" s="186"/>
      <c r="F138" s="186"/>
      <c r="G138" s="191"/>
      <c r="H138" s="191"/>
      <c r="I138" s="191"/>
      <c r="J138" s="191"/>
      <c r="K138" s="191"/>
      <c r="L138" s="191"/>
      <c r="M138" s="191"/>
      <c r="N138" s="191"/>
      <c r="O138" s="191"/>
      <c r="P138" s="191"/>
      <c r="Q138" s="191"/>
      <c r="R138" s="191"/>
      <c r="S138" s="1"/>
      <c r="T138" s="1"/>
      <c r="U138" s="1"/>
      <c r="V138" s="1"/>
      <c r="W138" s="1"/>
      <c r="X138" s="1"/>
      <c r="Y138" s="1"/>
      <c r="Z138" s="1"/>
    </row>
    <row r="139" ht="15.75" customHeight="1" outlineLevel="1">
      <c r="A139" s="1"/>
      <c r="B139" s="1"/>
      <c r="C139" s="1"/>
      <c r="D139" s="2"/>
      <c r="E139" s="2"/>
      <c r="F139" s="2"/>
      <c r="G139" s="1"/>
      <c r="H139" s="1"/>
      <c r="I139" s="1"/>
      <c r="J139" s="1"/>
      <c r="K139" s="1"/>
      <c r="L139" s="1"/>
      <c r="M139" s="1"/>
      <c r="N139" s="1"/>
      <c r="O139" s="1"/>
      <c r="P139" s="1"/>
      <c r="Q139" s="1"/>
      <c r="R139" s="1"/>
      <c r="S139" s="1"/>
      <c r="T139" s="1"/>
      <c r="U139" s="1"/>
      <c r="V139" s="1"/>
      <c r="W139" s="1"/>
      <c r="X139" s="1"/>
      <c r="Y139" s="1"/>
      <c r="Z139" s="1"/>
    </row>
    <row r="140" ht="15.75" customHeight="1" outlineLevel="1">
      <c r="A140" s="1"/>
      <c r="B140" s="1"/>
      <c r="C140" s="1" t="s">
        <v>160</v>
      </c>
      <c r="D140" s="194">
        <f>+WACC</f>
        <v>0.05330286932</v>
      </c>
      <c r="E140" s="1"/>
      <c r="F140" s="195" t="s">
        <v>161</v>
      </c>
      <c r="G140" s="196"/>
      <c r="H140" s="196"/>
      <c r="I140" s="196"/>
      <c r="J140" s="1"/>
      <c r="K140" s="195" t="s">
        <v>162</v>
      </c>
      <c r="L140" s="196"/>
      <c r="M140" s="196"/>
      <c r="N140" s="196"/>
      <c r="O140" s="1"/>
      <c r="P140" s="1"/>
      <c r="Q140" s="1"/>
      <c r="R140" s="1"/>
      <c r="S140" s="1"/>
      <c r="T140" s="1"/>
      <c r="U140" s="1"/>
      <c r="V140" s="1"/>
      <c r="W140" s="1"/>
      <c r="X140" s="1"/>
      <c r="Y140" s="1"/>
      <c r="Z140" s="1"/>
    </row>
    <row r="141" ht="15.75" customHeight="1" outlineLevel="1">
      <c r="A141" s="1"/>
      <c r="B141" s="1"/>
      <c r="E141" s="2"/>
      <c r="F141" s="2" t="s">
        <v>163</v>
      </c>
      <c r="G141" s="1"/>
      <c r="H141" s="1"/>
      <c r="I141" s="197">
        <f>Terminal_Multiple</f>
        <v>11.9</v>
      </c>
      <c r="J141" s="1"/>
      <c r="K141" s="1" t="s">
        <v>164</v>
      </c>
      <c r="L141" s="1"/>
      <c r="M141" s="1"/>
      <c r="N141" s="198">
        <f>+Terminal_Growth_Rate</f>
        <v>0.01</v>
      </c>
      <c r="O141" s="1"/>
      <c r="P141" s="1"/>
      <c r="Q141" s="1"/>
      <c r="R141" s="1"/>
      <c r="S141" s="1"/>
      <c r="T141" s="1"/>
      <c r="U141" s="1"/>
      <c r="V141" s="1"/>
      <c r="W141" s="1"/>
      <c r="X141" s="1"/>
      <c r="Y141" s="1"/>
      <c r="Z141" s="1"/>
    </row>
    <row r="142" ht="15.75" customHeight="1" outlineLevel="1">
      <c r="A142" s="1"/>
      <c r="B142" s="1"/>
      <c r="E142" s="2"/>
      <c r="F142" s="1" t="s">
        <v>165</v>
      </c>
      <c r="G142" s="1"/>
      <c r="H142" s="1"/>
      <c r="I142" s="197">
        <f t="array" ref="I142">INDEX(I143:I145,MATCH(Scenario,$K143:$K145,0))</f>
        <v>11.9</v>
      </c>
      <c r="J142" s="1"/>
      <c r="K142" s="1" t="s">
        <v>166</v>
      </c>
      <c r="L142" s="1"/>
      <c r="M142" s="1"/>
      <c r="N142" s="198">
        <f t="array" ref="N142">INDEX(N143:N145,MATCH(Scenario,$K143:$K145,0))</f>
        <v>0.01</v>
      </c>
      <c r="O142" s="1"/>
      <c r="P142" s="1"/>
      <c r="Q142" s="1"/>
      <c r="R142" s="1"/>
      <c r="S142" s="1"/>
      <c r="T142" s="1"/>
      <c r="U142" s="1"/>
      <c r="V142" s="1"/>
      <c r="W142" s="1"/>
      <c r="X142" s="1"/>
      <c r="Y142" s="1"/>
      <c r="Z142" s="1"/>
    </row>
    <row r="143" ht="15.75" customHeight="1" outlineLevel="1">
      <c r="A143" s="1"/>
      <c r="B143" s="1"/>
      <c r="E143" s="2"/>
      <c r="F143" s="58" t="str">
        <f>+$C$24</f>
        <v>Base</v>
      </c>
      <c r="G143" s="1"/>
      <c r="H143" s="1"/>
      <c r="I143" s="201">
        <v>11.9</v>
      </c>
      <c r="J143" s="1"/>
      <c r="K143" s="58" t="str">
        <f>+$C$24</f>
        <v>Base</v>
      </c>
      <c r="L143" s="1"/>
      <c r="M143" s="1"/>
      <c r="N143" s="202">
        <v>0.01</v>
      </c>
      <c r="O143" s="1"/>
      <c r="P143" s="1"/>
      <c r="Q143" s="1"/>
      <c r="R143" s="1"/>
      <c r="S143" s="1"/>
      <c r="T143" s="1"/>
      <c r="U143" s="1"/>
      <c r="V143" s="1"/>
      <c r="W143" s="1"/>
      <c r="X143" s="1"/>
      <c r="Y143" s="1"/>
      <c r="Z143" s="1"/>
    </row>
    <row r="144" ht="15.75" customHeight="1" outlineLevel="1">
      <c r="A144" s="1"/>
      <c r="B144" s="1"/>
      <c r="E144" s="2"/>
      <c r="F144" s="58" t="str">
        <f>+$C$25</f>
        <v>Upside</v>
      </c>
      <c r="G144" s="1"/>
      <c r="H144" s="1"/>
      <c r="I144" s="201">
        <v>15.0</v>
      </c>
      <c r="J144" s="1"/>
      <c r="K144" s="58" t="str">
        <f>+$C$25</f>
        <v>Upside</v>
      </c>
      <c r="L144" s="1"/>
      <c r="M144" s="1"/>
      <c r="N144" s="202">
        <v>0.015</v>
      </c>
      <c r="O144" s="1"/>
      <c r="P144" s="1"/>
      <c r="Q144" s="1"/>
      <c r="R144" s="1"/>
      <c r="S144" s="1"/>
      <c r="T144" s="1"/>
      <c r="U144" s="1"/>
      <c r="V144" s="1"/>
      <c r="W144" s="1"/>
      <c r="X144" s="1"/>
      <c r="Y144" s="1"/>
      <c r="Z144" s="1"/>
    </row>
    <row r="145" ht="15.75" customHeight="1" outlineLevel="1">
      <c r="A145" s="1"/>
      <c r="B145" s="1"/>
      <c r="E145" s="2"/>
      <c r="F145" s="58" t="str">
        <f>+$C$26</f>
        <v>Downside</v>
      </c>
      <c r="G145" s="1"/>
      <c r="H145" s="1"/>
      <c r="I145" s="201">
        <v>10.827729583583443</v>
      </c>
      <c r="J145" s="1"/>
      <c r="K145" s="58" t="str">
        <f>+$C$26</f>
        <v>Downside</v>
      </c>
      <c r="L145" s="1"/>
      <c r="M145" s="1"/>
      <c r="N145" s="202">
        <v>0.005</v>
      </c>
      <c r="O145" s="1"/>
      <c r="P145" s="1"/>
      <c r="Q145" s="1"/>
      <c r="R145" s="1"/>
      <c r="S145" s="1"/>
      <c r="T145" s="1"/>
      <c r="U145" s="1"/>
      <c r="V145" s="1"/>
      <c r="W145" s="1"/>
      <c r="X145" s="1"/>
      <c r="Y145" s="1"/>
      <c r="Z145" s="1"/>
    </row>
    <row r="146" ht="15.75" customHeight="1" outlineLevel="1">
      <c r="A146" s="1"/>
      <c r="B146" s="1"/>
      <c r="E146" s="2"/>
      <c r="F146" s="2"/>
      <c r="G146" s="1"/>
      <c r="H146" s="1"/>
      <c r="I146" s="1"/>
      <c r="J146" s="1"/>
      <c r="K146" s="1"/>
      <c r="L146" s="1"/>
      <c r="M146" s="1"/>
      <c r="N146" s="1"/>
      <c r="O146" s="1"/>
      <c r="P146" s="1"/>
      <c r="Q146" s="1"/>
      <c r="R146" s="1"/>
      <c r="S146" s="1"/>
      <c r="T146" s="1"/>
      <c r="U146" s="1"/>
      <c r="V146" s="1"/>
      <c r="W146" s="1"/>
      <c r="X146" s="1"/>
      <c r="Y146" s="1"/>
      <c r="Z146" s="1"/>
    </row>
    <row r="147" ht="15.75" customHeight="1" outlineLevel="1">
      <c r="A147" s="1"/>
      <c r="B147" s="1"/>
      <c r="E147" s="2"/>
      <c r="F147" s="1" t="s">
        <v>169</v>
      </c>
      <c r="G147" s="1"/>
      <c r="H147" s="1"/>
      <c r="I147" s="37">
        <f>+R229*I141</f>
        <v>28581.01161</v>
      </c>
      <c r="J147" s="1"/>
      <c r="K147" s="1" t="str">
        <f>+$F$147</f>
        <v>Baseline Terminal Value:</v>
      </c>
      <c r="L147" s="1"/>
      <c r="M147" s="1"/>
      <c r="N147" s="37">
        <f>+S217/(D140-N141)</f>
        <v>41164.93924</v>
      </c>
      <c r="O147" s="1"/>
      <c r="P147" s="1"/>
      <c r="Q147" s="1"/>
      <c r="R147" s="1"/>
      <c r="S147" s="1"/>
      <c r="T147" s="1"/>
      <c r="U147" s="1"/>
      <c r="V147" s="1"/>
      <c r="W147" s="1"/>
      <c r="X147" s="1"/>
      <c r="Y147" s="1"/>
      <c r="Z147" s="1"/>
    </row>
    <row r="148" ht="15.75" customHeight="1" outlineLevel="1">
      <c r="A148" s="1"/>
      <c r="B148" s="1"/>
      <c r="C148" s="1"/>
      <c r="D148" s="2"/>
      <c r="E148" s="2"/>
      <c r="F148" s="2"/>
      <c r="G148" s="1"/>
      <c r="H148" s="1"/>
      <c r="I148" s="1"/>
      <c r="J148" s="1"/>
      <c r="K148" s="2"/>
      <c r="L148" s="1"/>
      <c r="M148" s="1"/>
      <c r="N148" s="1"/>
      <c r="O148" s="1"/>
      <c r="P148" s="1"/>
      <c r="Q148" s="1"/>
      <c r="R148" s="1"/>
      <c r="S148" s="1"/>
      <c r="T148" s="1"/>
      <c r="U148" s="1"/>
      <c r="V148" s="1"/>
      <c r="W148" s="1"/>
      <c r="X148" s="1"/>
      <c r="Y148" s="1"/>
      <c r="Z148" s="1"/>
    </row>
    <row r="149" ht="15.75" customHeight="1" outlineLevel="1">
      <c r="A149" s="1"/>
      <c r="B149" s="1"/>
      <c r="C149" s="1"/>
      <c r="D149" s="2"/>
      <c r="E149" s="2"/>
      <c r="F149" s="113" t="s">
        <v>171</v>
      </c>
      <c r="G149" s="1"/>
      <c r="H149" s="1"/>
      <c r="I149" s="8">
        <f>+I147*R223</f>
        <v>17910.10743</v>
      </c>
      <c r="J149" s="1"/>
      <c r="K149" s="113" t="str">
        <f>+$F$149</f>
        <v>(+) PV of Terminal Value:</v>
      </c>
      <c r="L149" s="1"/>
      <c r="M149" s="1"/>
      <c r="N149" s="8">
        <f>+N147*R223</f>
        <v>25795.7449</v>
      </c>
      <c r="O149" s="1"/>
      <c r="P149" s="1"/>
      <c r="Q149" s="1"/>
      <c r="R149" s="1"/>
      <c r="S149" s="1"/>
      <c r="T149" s="1"/>
      <c r="U149" s="1"/>
      <c r="V149" s="1"/>
      <c r="W149" s="1"/>
      <c r="X149" s="1"/>
      <c r="Y149" s="1"/>
      <c r="Z149" s="1"/>
    </row>
    <row r="150" ht="15.75" customHeight="1" outlineLevel="1">
      <c r="A150" s="1"/>
      <c r="B150" s="1"/>
      <c r="C150" s="1"/>
      <c r="D150" s="1"/>
      <c r="E150" s="2"/>
      <c r="F150" s="204" t="s">
        <v>172</v>
      </c>
      <c r="G150" s="106"/>
      <c r="H150" s="106"/>
      <c r="I150" s="188">
        <f>SUM($I$220:$R$220)</f>
        <v>14775.58329</v>
      </c>
      <c r="J150" s="1"/>
      <c r="K150" s="204" t="str">
        <f>+$F$150</f>
        <v>(+) Sum of PV of Free Cash Flows:</v>
      </c>
      <c r="L150" s="106"/>
      <c r="M150" s="106"/>
      <c r="N150" s="188">
        <f>SUM($I$220:$R$220)</f>
        <v>14775.58329</v>
      </c>
      <c r="O150" s="1"/>
      <c r="P150" s="1"/>
      <c r="Q150" s="1"/>
      <c r="R150" s="1"/>
      <c r="S150" s="1"/>
      <c r="T150" s="1"/>
      <c r="U150" s="1"/>
      <c r="V150" s="1"/>
      <c r="W150" s="1"/>
      <c r="X150" s="1"/>
      <c r="Y150" s="1"/>
      <c r="Z150" s="1"/>
    </row>
    <row r="151" ht="15.75" customHeight="1" outlineLevel="1">
      <c r="A151" s="1"/>
      <c r="B151" s="1"/>
      <c r="C151" s="1"/>
      <c r="D151" s="2"/>
      <c r="E151" s="2"/>
      <c r="F151" s="4" t="s">
        <v>96</v>
      </c>
      <c r="G151" s="1"/>
      <c r="H151" s="1"/>
      <c r="I151" s="131">
        <f>SUM(I149:I150)</f>
        <v>32685.69073</v>
      </c>
      <c r="J151" s="1"/>
      <c r="K151" s="4" t="str">
        <f>+$F$151</f>
        <v>Implied Enterprise Value:</v>
      </c>
      <c r="L151" s="1"/>
      <c r="M151" s="1"/>
      <c r="N151" s="131">
        <f>SUM(N149:N150)</f>
        <v>40571.32819</v>
      </c>
      <c r="O151" s="1"/>
      <c r="P151" s="1"/>
      <c r="Q151" s="1"/>
      <c r="R151" s="1"/>
      <c r="S151" s="1"/>
      <c r="T151" s="1"/>
      <c r="U151" s="1"/>
      <c r="V151" s="1"/>
      <c r="W151" s="1"/>
      <c r="X151" s="1"/>
      <c r="Y151" s="1"/>
      <c r="Z151" s="1"/>
    </row>
    <row r="152" ht="15.75" customHeight="1" outlineLevel="1">
      <c r="A152" s="1"/>
      <c r="B152" s="1"/>
      <c r="C152" s="1"/>
      <c r="D152" s="2"/>
      <c r="E152" s="2"/>
      <c r="F152" s="1"/>
      <c r="G152" s="1"/>
      <c r="H152" s="1"/>
      <c r="I152" s="1"/>
      <c r="J152" s="1"/>
      <c r="K152" s="1"/>
      <c r="L152" s="1"/>
      <c r="M152" s="1"/>
      <c r="N152" s="1"/>
      <c r="O152" s="1"/>
      <c r="P152" s="1"/>
      <c r="Q152" s="1"/>
      <c r="R152" s="1"/>
      <c r="S152" s="1"/>
      <c r="T152" s="1"/>
      <c r="U152" s="1"/>
      <c r="V152" s="1"/>
      <c r="W152" s="1"/>
      <c r="X152" s="1"/>
      <c r="Y152" s="1"/>
      <c r="Z152" s="1"/>
    </row>
    <row r="153" ht="15.75" customHeight="1" outlineLevel="1">
      <c r="A153" s="1"/>
      <c r="B153" s="1"/>
      <c r="C153" s="1"/>
      <c r="D153" s="2"/>
      <c r="E153" s="2"/>
      <c r="F153" s="2" t="s">
        <v>173</v>
      </c>
      <c r="G153" s="1"/>
      <c r="H153" s="1"/>
      <c r="I153" s="19">
        <f>+I149/I151</f>
        <v>0.547949486</v>
      </c>
      <c r="J153" s="1"/>
      <c r="K153" s="2" t="str">
        <f>+$F$153</f>
        <v>% of Implied EV from Terminal Value:</v>
      </c>
      <c r="L153" s="1"/>
      <c r="M153" s="1"/>
      <c r="N153" s="19">
        <f>+N149/N151</f>
        <v>0.6358121868</v>
      </c>
      <c r="O153" s="1"/>
      <c r="P153" s="1"/>
      <c r="Q153" s="1"/>
      <c r="R153" s="1"/>
      <c r="S153" s="1"/>
      <c r="T153" s="1"/>
      <c r="U153" s="1"/>
      <c r="V153" s="1"/>
      <c r="W153" s="1"/>
      <c r="X153" s="1"/>
      <c r="Y153" s="1"/>
      <c r="Z153" s="1"/>
    </row>
    <row r="154" ht="15.75" customHeight="1" outlineLevel="1">
      <c r="A154" s="1"/>
      <c r="B154" s="1"/>
      <c r="C154" s="1"/>
      <c r="D154" s="2"/>
      <c r="E154" s="2"/>
      <c r="F154" s="1"/>
      <c r="G154" s="1"/>
      <c r="H154" s="1"/>
      <c r="I154" s="1"/>
      <c r="J154" s="1"/>
      <c r="K154" s="1"/>
      <c r="L154" s="1"/>
      <c r="M154" s="1"/>
      <c r="N154" s="1"/>
      <c r="O154" s="1"/>
      <c r="P154" s="1"/>
      <c r="Q154" s="1"/>
      <c r="R154" s="1"/>
      <c r="S154" s="1"/>
      <c r="T154" s="1"/>
      <c r="U154" s="1"/>
      <c r="V154" s="1"/>
      <c r="W154" s="1"/>
      <c r="X154" s="1"/>
      <c r="Y154" s="1"/>
      <c r="Z154" s="1"/>
    </row>
    <row r="155" ht="15.75" customHeight="1" outlineLevel="1">
      <c r="A155" s="1"/>
      <c r="B155" s="1"/>
      <c r="C155" s="1"/>
      <c r="D155" s="1"/>
      <c r="E155" s="1"/>
      <c r="F155" s="113" t="s">
        <v>100</v>
      </c>
      <c r="G155" s="1"/>
      <c r="H155" s="1"/>
      <c r="I155" s="124">
        <f>-'Public-Comps-Data'!BE17</f>
        <v>5794</v>
      </c>
      <c r="J155" s="1"/>
      <c r="K155" s="113" t="str">
        <f>+$F$155</f>
        <v>(+) Cash &amp; Cash-Equivalents:</v>
      </c>
      <c r="L155" s="1"/>
      <c r="M155" s="1"/>
      <c r="N155" s="124">
        <f>-'Public-Comps-Data'!BE17</f>
        <v>5794</v>
      </c>
      <c r="O155" s="1"/>
      <c r="P155" s="1"/>
      <c r="Q155" s="1"/>
      <c r="R155" s="1"/>
      <c r="S155" s="1"/>
      <c r="T155" s="1"/>
      <c r="U155" s="1"/>
      <c r="V155" s="1"/>
      <c r="W155" s="1"/>
      <c r="X155" s="1"/>
      <c r="Y155" s="1"/>
      <c r="Z155" s="1"/>
    </row>
    <row r="156" ht="15.75" customHeight="1" outlineLevel="1">
      <c r="A156" s="1"/>
      <c r="B156" s="1"/>
      <c r="C156" s="1"/>
      <c r="D156" s="1"/>
      <c r="E156" s="1"/>
      <c r="F156" s="113" t="s">
        <v>101</v>
      </c>
      <c r="G156" s="1"/>
      <c r="H156" s="1"/>
      <c r="I156" s="125">
        <f>-'Public-Comps-Data'!BE18</f>
        <v>0</v>
      </c>
      <c r="J156" s="1"/>
      <c r="K156" s="113" t="str">
        <f>+$F$156</f>
        <v>(+) Equity Investments:</v>
      </c>
      <c r="L156" s="1"/>
      <c r="M156" s="1"/>
      <c r="N156" s="125">
        <f>-'Public-Comps-Data'!BE18</f>
        <v>0</v>
      </c>
      <c r="O156" s="1"/>
      <c r="P156" s="1"/>
      <c r="Q156" s="1"/>
      <c r="R156" s="1"/>
      <c r="S156" s="1"/>
      <c r="T156" s="1"/>
      <c r="U156" s="1"/>
      <c r="V156" s="1"/>
      <c r="W156" s="1"/>
      <c r="X156" s="1"/>
      <c r="Y156" s="1"/>
      <c r="Z156" s="1"/>
    </row>
    <row r="157" ht="15.75" customHeight="1" outlineLevel="1">
      <c r="A157" s="1"/>
      <c r="B157" s="1"/>
      <c r="C157" s="1"/>
      <c r="D157" s="1"/>
      <c r="E157" s="1"/>
      <c r="F157" s="113" t="s">
        <v>102</v>
      </c>
      <c r="G157" s="1"/>
      <c r="H157" s="1"/>
      <c r="I157" s="125">
        <f>-'Public-Comps-Data'!BE19</f>
        <v>0</v>
      </c>
      <c r="J157" s="1"/>
      <c r="K157" s="113" t="str">
        <f>+$F$157</f>
        <v>(+) Other Non-Core Assets, Net:</v>
      </c>
      <c r="L157" s="1"/>
      <c r="M157" s="1"/>
      <c r="N157" s="125">
        <f>-'Public-Comps-Data'!BE19</f>
        <v>0</v>
      </c>
      <c r="O157" s="1"/>
      <c r="P157" s="1"/>
      <c r="Q157" s="1"/>
      <c r="R157" s="1"/>
      <c r="S157" s="1"/>
      <c r="T157" s="1"/>
      <c r="U157" s="1"/>
      <c r="V157" s="1"/>
      <c r="W157" s="1"/>
      <c r="X157" s="1"/>
      <c r="Y157" s="1"/>
      <c r="Z157" s="1"/>
    </row>
    <row r="158" ht="15.75" customHeight="1" outlineLevel="1">
      <c r="A158" s="1"/>
      <c r="B158" s="1"/>
      <c r="C158" s="1"/>
      <c r="D158" s="1"/>
      <c r="E158" s="1"/>
      <c r="F158" s="113" t="s">
        <v>105</v>
      </c>
      <c r="G158" s="1"/>
      <c r="H158" s="1"/>
      <c r="I158" s="125">
        <f>-'Public-Comps-Data'!BE20</f>
        <v>0</v>
      </c>
      <c r="J158" s="1"/>
      <c r="K158" s="113" t="str">
        <f>+$F$158</f>
        <v>(+) Net Operating Losses:</v>
      </c>
      <c r="L158" s="1"/>
      <c r="M158" s="1"/>
      <c r="N158" s="125">
        <f>-'Public-Comps-Data'!BE20</f>
        <v>0</v>
      </c>
      <c r="O158" s="1"/>
      <c r="P158" s="1"/>
      <c r="Q158" s="1"/>
      <c r="R158" s="1"/>
      <c r="S158" s="1"/>
      <c r="T158" s="1"/>
      <c r="U158" s="1"/>
      <c r="V158" s="1"/>
      <c r="W158" s="1"/>
      <c r="X158" s="1"/>
      <c r="Y158" s="1"/>
      <c r="Z158" s="1"/>
    </row>
    <row r="159" ht="15.75" customHeight="1" outlineLevel="1">
      <c r="A159" s="1"/>
      <c r="B159" s="1"/>
      <c r="C159" s="1"/>
      <c r="D159" s="1"/>
      <c r="E159" s="1"/>
      <c r="F159" s="113" t="s">
        <v>174</v>
      </c>
      <c r="G159" s="1"/>
      <c r="H159" s="1"/>
      <c r="I159" s="125">
        <f>-'Public-Comps-Data'!BE21</f>
        <v>-2675</v>
      </c>
      <c r="J159" s="1"/>
      <c r="K159" s="113" t="str">
        <f>+$F$159</f>
        <v>(-) Total Debt &amp; Capital Leases:</v>
      </c>
      <c r="L159" s="1"/>
      <c r="M159" s="1"/>
      <c r="N159" s="125">
        <f>-'Public-Comps-Data'!BE21</f>
        <v>-2675</v>
      </c>
      <c r="O159" s="1"/>
      <c r="P159" s="1"/>
      <c r="Q159" s="1"/>
      <c r="R159" s="1"/>
      <c r="S159" s="1"/>
      <c r="T159" s="1"/>
      <c r="U159" s="1"/>
      <c r="V159" s="1"/>
      <c r="W159" s="1"/>
      <c r="X159" s="1"/>
      <c r="Y159" s="1"/>
      <c r="Z159" s="1"/>
    </row>
    <row r="160" ht="15.75" customHeight="1" outlineLevel="1">
      <c r="A160" s="1"/>
      <c r="B160" s="1"/>
      <c r="C160" s="1"/>
      <c r="D160" s="1"/>
      <c r="E160" s="1"/>
      <c r="F160" s="113" t="s">
        <v>115</v>
      </c>
      <c r="G160" s="1"/>
      <c r="H160" s="1"/>
      <c r="I160" s="125">
        <f>-'Public-Comps-Data'!BE22</f>
        <v>0</v>
      </c>
      <c r="J160" s="1"/>
      <c r="K160" s="113" t="str">
        <f>+$F$160</f>
        <v>(-) Preferred Stock:</v>
      </c>
      <c r="L160" s="1"/>
      <c r="M160" s="1"/>
      <c r="N160" s="125">
        <f>-'Public-Comps-Data'!BE22</f>
        <v>0</v>
      </c>
      <c r="O160" s="1"/>
      <c r="P160" s="1"/>
      <c r="Q160" s="1"/>
      <c r="R160" s="1"/>
      <c r="S160" s="1"/>
      <c r="T160" s="1"/>
      <c r="U160" s="1"/>
      <c r="V160" s="1"/>
      <c r="W160" s="1"/>
      <c r="X160" s="1"/>
      <c r="Y160" s="1"/>
      <c r="Z160" s="1"/>
    </row>
    <row r="161" ht="15.75" customHeight="1" outlineLevel="1">
      <c r="A161" s="1"/>
      <c r="B161" s="1"/>
      <c r="C161" s="1"/>
      <c r="D161" s="1"/>
      <c r="E161" s="1"/>
      <c r="F161" s="113" t="s">
        <v>118</v>
      </c>
      <c r="G161" s="1"/>
      <c r="H161" s="1"/>
      <c r="I161" s="125">
        <f>-'Public-Comps-Data'!BE23</f>
        <v>0</v>
      </c>
      <c r="J161" s="1"/>
      <c r="K161" s="113" t="str">
        <f>+$F$161</f>
        <v>(-) Noncontrolling Interests:</v>
      </c>
      <c r="L161" s="1"/>
      <c r="M161" s="1"/>
      <c r="N161" s="125">
        <f>-'Public-Comps-Data'!BE23</f>
        <v>0</v>
      </c>
      <c r="O161" s="1"/>
      <c r="P161" s="1"/>
      <c r="Q161" s="1"/>
      <c r="R161" s="1"/>
      <c r="S161" s="1"/>
      <c r="T161" s="1"/>
      <c r="U161" s="1"/>
      <c r="V161" s="1"/>
      <c r="W161" s="1"/>
      <c r="X161" s="1"/>
      <c r="Y161" s="1"/>
      <c r="Z161" s="1"/>
    </row>
    <row r="162" ht="15.75" customHeight="1" outlineLevel="1">
      <c r="A162" s="1"/>
      <c r="B162" s="1"/>
      <c r="C162" s="1"/>
      <c r="D162" s="1"/>
      <c r="E162" s="1"/>
      <c r="F162" s="113" t="s">
        <v>119</v>
      </c>
      <c r="G162" s="1"/>
      <c r="H162" s="1"/>
      <c r="I162" s="125">
        <f>-'Public-Comps-Data'!BE24</f>
        <v>0</v>
      </c>
      <c r="J162" s="1"/>
      <c r="K162" s="113" t="str">
        <f>+$F$162</f>
        <v>(-) Unfunded Pension Obligations:</v>
      </c>
      <c r="L162" s="1"/>
      <c r="M162" s="1"/>
      <c r="N162" s="125">
        <f>-'Public-Comps-Data'!BE24</f>
        <v>0</v>
      </c>
      <c r="O162" s="1"/>
      <c r="P162" s="1"/>
      <c r="Q162" s="1"/>
      <c r="R162" s="1"/>
      <c r="S162" s="1"/>
      <c r="T162" s="1"/>
      <c r="U162" s="1"/>
      <c r="V162" s="1"/>
      <c r="W162" s="1"/>
      <c r="X162" s="1"/>
      <c r="Y162" s="1"/>
      <c r="Z162" s="1"/>
    </row>
    <row r="163" ht="15.75" customHeight="1" outlineLevel="1">
      <c r="A163" s="1"/>
      <c r="B163" s="1"/>
      <c r="C163" s="1"/>
      <c r="D163" s="1"/>
      <c r="E163" s="1"/>
      <c r="F163" s="113" t="s">
        <v>121</v>
      </c>
      <c r="G163" s="1"/>
      <c r="H163" s="1"/>
      <c r="I163" s="125">
        <f>-'Public-Comps-Data'!BE25</f>
        <v>0</v>
      </c>
      <c r="J163" s="1"/>
      <c r="K163" s="113" t="str">
        <f>+$F$163</f>
        <v>(-) Restructuring &amp; Other Liabilities:</v>
      </c>
      <c r="L163" s="106"/>
      <c r="M163" s="106"/>
      <c r="N163" s="125">
        <f>-'Public-Comps-Data'!BE25</f>
        <v>0</v>
      </c>
      <c r="O163" s="1"/>
      <c r="P163" s="1"/>
      <c r="Q163" s="1"/>
      <c r="R163" s="1"/>
      <c r="S163" s="1"/>
      <c r="T163" s="1"/>
      <c r="U163" s="1"/>
      <c r="V163" s="1"/>
      <c r="W163" s="1"/>
      <c r="X163" s="1"/>
      <c r="Y163" s="1"/>
      <c r="Z163" s="1"/>
    </row>
    <row r="164" ht="15.75" customHeight="1" outlineLevel="1">
      <c r="A164" s="1"/>
      <c r="B164" s="1"/>
      <c r="C164" s="1"/>
      <c r="D164" s="1"/>
      <c r="E164" s="1"/>
      <c r="F164" s="139" t="s">
        <v>122</v>
      </c>
      <c r="G164" s="82"/>
      <c r="H164" s="82"/>
      <c r="I164" s="142">
        <f>+I151+SUM(I155:I163)</f>
        <v>35804.69073</v>
      </c>
      <c r="J164" s="1"/>
      <c r="K164" s="139" t="str">
        <f>+$F$164</f>
        <v>Implied Equity Value:</v>
      </c>
      <c r="L164" s="1"/>
      <c r="M164" s="1"/>
      <c r="N164" s="142">
        <f>+N151+SUM(N155:N163)</f>
        <v>43690.32819</v>
      </c>
      <c r="O164" s="1"/>
      <c r="P164" s="1"/>
      <c r="Q164" s="1"/>
      <c r="R164" s="1"/>
      <c r="S164" s="1"/>
      <c r="T164" s="1"/>
      <c r="U164" s="1"/>
      <c r="V164" s="1"/>
      <c r="W164" s="1"/>
      <c r="X164" s="1"/>
      <c r="Y164" s="1"/>
      <c r="Z164" s="1"/>
    </row>
    <row r="165" ht="15.75" customHeight="1" outlineLevel="1">
      <c r="A165" s="1"/>
      <c r="B165" s="1"/>
      <c r="C165" s="1"/>
      <c r="D165" s="1"/>
      <c r="E165" s="1"/>
      <c r="F165" s="205"/>
      <c r="G165" s="1"/>
      <c r="H165" s="1"/>
      <c r="I165" s="206"/>
      <c r="J165" s="1"/>
      <c r="K165" s="205"/>
      <c r="L165" s="1"/>
      <c r="M165" s="1"/>
      <c r="N165" s="206"/>
      <c r="O165" s="1"/>
      <c r="P165" s="1"/>
      <c r="Q165" s="1"/>
      <c r="R165" s="1"/>
      <c r="S165" s="1"/>
      <c r="T165" s="1"/>
      <c r="U165" s="1"/>
      <c r="V165" s="1"/>
      <c r="W165" s="1"/>
      <c r="X165" s="1"/>
      <c r="Y165" s="1"/>
      <c r="Z165" s="1"/>
    </row>
    <row r="166" ht="15.75" customHeight="1" outlineLevel="1">
      <c r="A166" s="1"/>
      <c r="B166" s="1"/>
      <c r="C166" s="1"/>
      <c r="D166" s="1"/>
      <c r="E166" s="1"/>
      <c r="F166" s="1" t="s">
        <v>125</v>
      </c>
      <c r="G166" s="1"/>
      <c r="H166" s="1"/>
      <c r="I166" s="207">
        <f>Basic_Shares</f>
        <v>767</v>
      </c>
      <c r="J166" s="1"/>
      <c r="K166" s="1" t="str">
        <f>+$F$166</f>
        <v>Diluted Shares Outstanding:</v>
      </c>
      <c r="L166" s="1"/>
      <c r="M166" s="1"/>
      <c r="N166" s="208">
        <f>+Basic_Shares</f>
        <v>767</v>
      </c>
      <c r="O166" s="1"/>
      <c r="P166" s="1"/>
      <c r="Q166" s="1"/>
      <c r="R166" s="1"/>
      <c r="S166" s="1"/>
      <c r="T166" s="1"/>
      <c r="U166" s="1"/>
      <c r="V166" s="1"/>
      <c r="W166" s="1"/>
      <c r="X166" s="1"/>
      <c r="Y166" s="1"/>
      <c r="Z166" s="1"/>
    </row>
    <row r="167" ht="15.75" customHeight="1" outlineLevel="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outlineLevel="1">
      <c r="A168" s="1"/>
      <c r="B168" s="1"/>
      <c r="C168" s="1"/>
      <c r="D168" s="1"/>
      <c r="E168" s="1"/>
      <c r="F168" s="147" t="s">
        <v>175</v>
      </c>
      <c r="G168" s="148"/>
      <c r="H168" s="148"/>
      <c r="I168" s="149">
        <f>+I164/I166</f>
        <v>46.68147422</v>
      </c>
      <c r="J168" s="1"/>
      <c r="K168" s="147" t="str">
        <f>+$F$168</f>
        <v>Implied Share Price from DCF:</v>
      </c>
      <c r="L168" s="148"/>
      <c r="M168" s="148"/>
      <c r="N168" s="149">
        <f>+N164/N166</f>
        <v>56.96261824</v>
      </c>
      <c r="O168" s="1"/>
      <c r="P168" s="1"/>
      <c r="Q168" s="1"/>
      <c r="R168" s="1"/>
      <c r="S168" s="1"/>
      <c r="T168" s="1"/>
      <c r="U168" s="1"/>
      <c r="V168" s="1"/>
      <c r="W168" s="1"/>
      <c r="X168" s="1"/>
      <c r="Y168" s="1"/>
      <c r="Z168" s="1"/>
    </row>
    <row r="169" ht="15.75" customHeight="1" outlineLevel="1">
      <c r="A169" s="1"/>
      <c r="B169" s="1"/>
      <c r="C169" s="1"/>
      <c r="D169" s="1"/>
      <c r="E169" s="1"/>
      <c r="F169" s="150" t="s">
        <v>130</v>
      </c>
      <c r="G169" s="151"/>
      <c r="H169" s="151"/>
      <c r="I169" s="152">
        <f>+I168/Share_Price-1</f>
        <v>-0.2319599503</v>
      </c>
      <c r="J169" s="1"/>
      <c r="K169" s="150" t="str">
        <f>+$F$169</f>
        <v>Premium / (Discount) to Current:</v>
      </c>
      <c r="L169" s="151"/>
      <c r="M169" s="151"/>
      <c r="N169" s="152">
        <f>+N168/Share_Price-1</f>
        <v>-0.06280654422</v>
      </c>
      <c r="O169" s="1"/>
      <c r="P169" s="1"/>
      <c r="Q169" s="1"/>
      <c r="R169" s="1"/>
      <c r="S169" s="1"/>
      <c r="T169" s="1"/>
      <c r="U169" s="1"/>
      <c r="V169" s="1"/>
      <c r="W169" s="1"/>
      <c r="X169" s="1"/>
      <c r="Y169" s="1"/>
      <c r="Z169" s="1"/>
    </row>
    <row r="170" ht="15.75" customHeight="1" outlineLevel="1">
      <c r="A170" s="1"/>
      <c r="B170" s="1"/>
      <c r="C170" s="1"/>
      <c r="D170" s="2"/>
      <c r="E170" s="2"/>
      <c r="F170" s="2"/>
      <c r="G170" s="1"/>
      <c r="H170" s="1"/>
      <c r="I170" s="1"/>
      <c r="J170" s="1"/>
      <c r="K170" s="2"/>
      <c r="L170" s="1"/>
      <c r="M170" s="1"/>
      <c r="N170" s="1"/>
      <c r="O170" s="1"/>
      <c r="P170" s="1"/>
      <c r="Q170" s="1"/>
      <c r="R170" s="1"/>
      <c r="S170" s="1"/>
      <c r="T170" s="1"/>
      <c r="U170" s="1"/>
      <c r="V170" s="1"/>
      <c r="W170" s="1"/>
      <c r="X170" s="1"/>
      <c r="Y170" s="1"/>
      <c r="Z170" s="1"/>
    </row>
    <row r="171" ht="15.75" customHeight="1">
      <c r="A171" s="1"/>
      <c r="B171" s="1"/>
      <c r="C171" s="182"/>
      <c r="D171" s="2"/>
      <c r="E171" s="16"/>
      <c r="F171" s="16"/>
      <c r="G171" s="16"/>
      <c r="H171" s="16"/>
      <c r="I171" s="16"/>
      <c r="J171" s="16"/>
      <c r="K171" s="16"/>
      <c r="L171" s="16"/>
      <c r="M171" s="16"/>
      <c r="N171" s="16"/>
      <c r="O171" s="16"/>
      <c r="P171" s="16"/>
      <c r="Q171" s="16"/>
      <c r="R171" s="16"/>
      <c r="S171" s="1"/>
      <c r="T171" s="1"/>
      <c r="U171" s="1"/>
      <c r="V171" s="1"/>
      <c r="W171" s="1"/>
      <c r="X171" s="1"/>
      <c r="Y171" s="1"/>
      <c r="Z171" s="1"/>
    </row>
    <row r="172" ht="15.75" customHeight="1">
      <c r="A172" s="1"/>
      <c r="B172" s="22"/>
      <c r="C172" s="22"/>
      <c r="D172" s="23"/>
      <c r="E172" s="39" t="str">
        <f>$E$17</f>
        <v>#REF!</v>
      </c>
      <c r="F172" s="40"/>
      <c r="G172" s="40"/>
      <c r="H172" s="41"/>
      <c r="I172" s="39" t="str">
        <f>$I$17</f>
        <v>#REF!</v>
      </c>
      <c r="J172" s="40"/>
      <c r="K172" s="40"/>
      <c r="L172" s="40"/>
      <c r="M172" s="40"/>
      <c r="N172" s="40"/>
      <c r="O172" s="40"/>
      <c r="P172" s="40"/>
      <c r="Q172" s="40"/>
      <c r="R172" s="42"/>
      <c r="S172" s="209" t="s">
        <v>176</v>
      </c>
      <c r="T172" s="1"/>
      <c r="U172" s="1"/>
      <c r="V172" s="1"/>
      <c r="W172" s="1"/>
      <c r="X172" s="1"/>
      <c r="Y172" s="1"/>
      <c r="Z172" s="1"/>
    </row>
    <row r="173" ht="15.75" customHeight="1">
      <c r="A173" s="1"/>
      <c r="B173" s="44" t="s">
        <v>177</v>
      </c>
      <c r="C173" s="44"/>
      <c r="D173" s="45" t="str">
        <f>$D$18</f>
        <v>Units:</v>
      </c>
      <c r="E173" s="46">
        <f>$E$18</f>
        <v>42735</v>
      </c>
      <c r="F173" s="46">
        <f>$F$18</f>
        <v>43100</v>
      </c>
      <c r="G173" s="46">
        <f>$G$18</f>
        <v>43465</v>
      </c>
      <c r="H173" s="47">
        <f>$H$18</f>
        <v>43830</v>
      </c>
      <c r="I173" s="46">
        <f>$I$18</f>
        <v>44196</v>
      </c>
      <c r="J173" s="46">
        <f>$J$18</f>
        <v>44561</v>
      </c>
      <c r="K173" s="46">
        <f>$K$18</f>
        <v>44926</v>
      </c>
      <c r="L173" s="46">
        <f>$L$18</f>
        <v>45291</v>
      </c>
      <c r="M173" s="46">
        <f>$M$18</f>
        <v>45657</v>
      </c>
      <c r="N173" s="46">
        <f>$N$18</f>
        <v>46022</v>
      </c>
      <c r="O173" s="46">
        <f>$O$18</f>
        <v>46387</v>
      </c>
      <c r="P173" s="46">
        <f>$P$18</f>
        <v>46752</v>
      </c>
      <c r="Q173" s="46">
        <f>$Q$18</f>
        <v>47118</v>
      </c>
      <c r="R173" s="46">
        <f>$R$18</f>
        <v>47483</v>
      </c>
      <c r="S173" s="210">
        <f>EOMONTH(R173,12)</f>
        <v>47848</v>
      </c>
      <c r="T173" s="1"/>
      <c r="U173" s="1"/>
      <c r="V173" s="1"/>
      <c r="W173" s="1"/>
      <c r="X173" s="1"/>
      <c r="Y173" s="1"/>
      <c r="Z173" s="1"/>
    </row>
    <row r="174" ht="15.75" customHeight="1" outlineLevel="1">
      <c r="A174" s="1"/>
      <c r="B174" s="1"/>
      <c r="C174" s="164" t="s">
        <v>178</v>
      </c>
      <c r="D174" s="2"/>
      <c r="E174" s="2"/>
      <c r="F174" s="2"/>
      <c r="G174" s="211"/>
      <c r="H174" s="211"/>
      <c r="I174" s="48"/>
      <c r="J174" s="48"/>
      <c r="K174" s="48"/>
      <c r="L174" s="48"/>
      <c r="M174" s="48"/>
      <c r="N174" s="1"/>
      <c r="O174" s="1"/>
      <c r="P174" s="1"/>
      <c r="Q174" s="1"/>
      <c r="R174" s="1"/>
      <c r="S174" s="1"/>
      <c r="T174" s="1"/>
      <c r="U174" s="1"/>
      <c r="V174" s="1"/>
      <c r="W174" s="1"/>
      <c r="X174" s="1"/>
      <c r="Y174" s="1"/>
      <c r="Z174" s="1"/>
    </row>
    <row r="175" ht="15.75" customHeight="1" outlineLevel="1">
      <c r="A175" s="1"/>
      <c r="B175" s="1"/>
      <c r="C175" s="205" t="s">
        <v>179</v>
      </c>
      <c r="D175" s="2"/>
      <c r="E175" s="143">
        <f t="shared" ref="E175:R175" si="41">E34+E50+E66</f>
        <v>2219.97471</v>
      </c>
      <c r="F175" s="143">
        <f t="shared" si="41"/>
        <v>2628.207</v>
      </c>
      <c r="G175" s="143">
        <f t="shared" si="41"/>
        <v>2738.02024</v>
      </c>
      <c r="H175" s="143">
        <f t="shared" si="41"/>
        <v>3442.39065</v>
      </c>
      <c r="I175" s="143">
        <f t="shared" si="41"/>
        <v>2266.8906</v>
      </c>
      <c r="J175" s="143">
        <f t="shared" si="41"/>
        <v>2315.7693</v>
      </c>
      <c r="K175" s="143">
        <f t="shared" si="41"/>
        <v>2365.5645</v>
      </c>
      <c r="L175" s="143">
        <f t="shared" si="41"/>
        <v>2309.2419</v>
      </c>
      <c r="M175" s="143">
        <f t="shared" si="41"/>
        <v>2355.082</v>
      </c>
      <c r="N175" s="143">
        <f t="shared" si="41"/>
        <v>2326.4324</v>
      </c>
      <c r="O175" s="143">
        <f t="shared" si="41"/>
        <v>2316.5272</v>
      </c>
      <c r="P175" s="143">
        <f t="shared" si="41"/>
        <v>2282.6652</v>
      </c>
      <c r="Q175" s="143">
        <f t="shared" si="41"/>
        <v>2264.76</v>
      </c>
      <c r="R175" s="143">
        <f t="shared" si="41"/>
        <v>2221.788</v>
      </c>
      <c r="S175" s="1"/>
      <c r="T175" s="1"/>
      <c r="U175" s="1"/>
      <c r="V175" s="1"/>
      <c r="W175" s="1"/>
      <c r="X175" s="1"/>
      <c r="Y175" s="1"/>
      <c r="Z175" s="1"/>
    </row>
    <row r="176" ht="15.75" customHeight="1" outlineLevel="1">
      <c r="A176" s="1"/>
      <c r="B176" s="1"/>
      <c r="C176" s="205" t="s">
        <v>180</v>
      </c>
      <c r="D176" s="61" t="s">
        <v>63</v>
      </c>
      <c r="E176" s="143">
        <f t="shared" ref="E176:R176" si="42">E78</f>
        <v>2439</v>
      </c>
      <c r="F176" s="143">
        <f t="shared" si="42"/>
        <v>2139</v>
      </c>
      <c r="G176" s="143">
        <f t="shared" si="42"/>
        <v>2291</v>
      </c>
      <c r="H176" s="143">
        <f t="shared" si="42"/>
        <v>1719</v>
      </c>
      <c r="I176" s="143">
        <f t="shared" si="42"/>
        <v>1800.24</v>
      </c>
      <c r="J176" s="143">
        <f t="shared" si="42"/>
        <v>1376.12</v>
      </c>
      <c r="K176" s="143">
        <f t="shared" si="42"/>
        <v>1755.6</v>
      </c>
      <c r="L176" s="143">
        <f t="shared" si="42"/>
        <v>1847.5</v>
      </c>
      <c r="M176" s="143">
        <f t="shared" si="42"/>
        <v>1840.58</v>
      </c>
      <c r="N176" s="143">
        <f t="shared" si="42"/>
        <v>1859.89</v>
      </c>
      <c r="O176" s="143">
        <f t="shared" si="42"/>
        <v>1930.44</v>
      </c>
      <c r="P176" s="143">
        <f t="shared" si="42"/>
        <v>1952.27</v>
      </c>
      <c r="Q176" s="143">
        <f t="shared" si="42"/>
        <v>2025.44</v>
      </c>
      <c r="R176" s="143">
        <f t="shared" si="42"/>
        <v>2049.97</v>
      </c>
      <c r="S176" s="1"/>
      <c r="T176" s="1"/>
      <c r="U176" s="1"/>
      <c r="V176" s="1"/>
      <c r="W176" s="1"/>
      <c r="X176" s="1"/>
      <c r="Y176" s="1"/>
      <c r="Z176" s="1"/>
    </row>
    <row r="177" ht="15.75" customHeight="1" outlineLevel="1">
      <c r="A177" s="1"/>
      <c r="B177" s="1"/>
      <c r="C177" s="205" t="s">
        <v>99</v>
      </c>
      <c r="D177" s="2"/>
      <c r="E177" s="143">
        <f t="shared" ref="E177:R177" si="43">E94</f>
        <v>1998.65</v>
      </c>
      <c r="F177" s="143">
        <f t="shared" si="43"/>
        <v>1586.3</v>
      </c>
      <c r="G177" s="143">
        <f t="shared" si="43"/>
        <v>1999.28</v>
      </c>
      <c r="H177" s="143">
        <f t="shared" si="43"/>
        <v>2086.62</v>
      </c>
      <c r="I177" s="143">
        <f t="shared" si="43"/>
        <v>2106.55536</v>
      </c>
      <c r="J177" s="143">
        <f t="shared" si="43"/>
        <v>2138.6022</v>
      </c>
      <c r="K177" s="143">
        <f t="shared" si="43"/>
        <v>2142.13798</v>
      </c>
      <c r="L177" s="143">
        <f t="shared" si="43"/>
        <v>2157.04413</v>
      </c>
      <c r="M177" s="143">
        <f t="shared" si="43"/>
        <v>2172.2327</v>
      </c>
      <c r="N177" s="143">
        <f t="shared" si="43"/>
        <v>2187.29616</v>
      </c>
      <c r="O177" s="143">
        <f t="shared" si="43"/>
        <v>2161.2135</v>
      </c>
      <c r="P177" s="143">
        <f t="shared" si="43"/>
        <v>2135.28029</v>
      </c>
      <c r="Q177" s="143">
        <f t="shared" si="43"/>
        <v>2109.58154</v>
      </c>
      <c r="R177" s="143">
        <f t="shared" si="43"/>
        <v>2044.12068</v>
      </c>
      <c r="S177" s="1"/>
      <c r="T177" s="1"/>
      <c r="U177" s="1"/>
      <c r="V177" s="1"/>
      <c r="W177" s="1"/>
      <c r="X177" s="1"/>
      <c r="Y177" s="1"/>
      <c r="Z177" s="1"/>
    </row>
    <row r="178" ht="15.75" customHeight="1" outlineLevel="1">
      <c r="A178" s="1"/>
      <c r="B178" s="1"/>
      <c r="C178" s="139" t="s">
        <v>181</v>
      </c>
      <c r="D178" s="61" t="s">
        <v>63</v>
      </c>
      <c r="E178" s="216">
        <f t="shared" ref="E178:R178" si="44">SUM(E175:E177)</f>
        <v>6657.62471</v>
      </c>
      <c r="F178" s="216">
        <f t="shared" si="44"/>
        <v>6353.507</v>
      </c>
      <c r="G178" s="216">
        <f t="shared" si="44"/>
        <v>7028.30024</v>
      </c>
      <c r="H178" s="216">
        <f t="shared" si="44"/>
        <v>7248.01065</v>
      </c>
      <c r="I178" s="216">
        <f t="shared" si="44"/>
        <v>6173.68596</v>
      </c>
      <c r="J178" s="216">
        <f t="shared" si="44"/>
        <v>5830.4915</v>
      </c>
      <c r="K178" s="216">
        <f t="shared" si="44"/>
        <v>6263.30248</v>
      </c>
      <c r="L178" s="216">
        <f t="shared" si="44"/>
        <v>6313.78603</v>
      </c>
      <c r="M178" s="216">
        <f t="shared" si="44"/>
        <v>6367.8947</v>
      </c>
      <c r="N178" s="216">
        <f t="shared" si="44"/>
        <v>6373.61856</v>
      </c>
      <c r="O178" s="216">
        <f t="shared" si="44"/>
        <v>6408.1807</v>
      </c>
      <c r="P178" s="216">
        <f t="shared" si="44"/>
        <v>6370.21549</v>
      </c>
      <c r="Q178" s="216">
        <f t="shared" si="44"/>
        <v>6399.78154</v>
      </c>
      <c r="R178" s="216">
        <f t="shared" si="44"/>
        <v>6315.87868</v>
      </c>
      <c r="S178" s="216">
        <f>+R178*(1+S179)</f>
        <v>6442.196254</v>
      </c>
      <c r="T178" s="1"/>
      <c r="U178" s="1"/>
      <c r="V178" s="1"/>
      <c r="W178" s="1"/>
      <c r="X178" s="1"/>
      <c r="Y178" s="1"/>
      <c r="Z178" s="1"/>
    </row>
    <row r="179" ht="15.75" customHeight="1" outlineLevel="1">
      <c r="A179" s="1"/>
      <c r="B179" s="1"/>
      <c r="C179" s="136" t="s">
        <v>182</v>
      </c>
      <c r="D179" s="61" t="s">
        <v>66</v>
      </c>
      <c r="E179" s="19">
        <f>IFERROR(+E178/585.98-1,"N/A")</f>
        <v>10.36152208</v>
      </c>
      <c r="F179" s="19">
        <f t="shared" ref="F179:R179" si="45">IFERROR(+F178/E178-1,"N/A")</f>
        <v>-0.04567961146</v>
      </c>
      <c r="G179" s="19">
        <f t="shared" si="45"/>
        <v>0.106207995</v>
      </c>
      <c r="H179" s="218">
        <f t="shared" si="45"/>
        <v>0.03126081734</v>
      </c>
      <c r="I179" s="19">
        <f t="shared" si="45"/>
        <v>-0.1482233873</v>
      </c>
      <c r="J179" s="19">
        <f t="shared" si="45"/>
        <v>-0.05558987973</v>
      </c>
      <c r="K179" s="19">
        <f t="shared" si="45"/>
        <v>0.07423233187</v>
      </c>
      <c r="L179" s="19">
        <f t="shared" si="45"/>
        <v>0.008060212669</v>
      </c>
      <c r="M179" s="19">
        <f t="shared" si="45"/>
        <v>0.008569924566</v>
      </c>
      <c r="N179" s="19">
        <f t="shared" si="45"/>
        <v>0.0008988622252</v>
      </c>
      <c r="O179" s="19">
        <f t="shared" si="45"/>
        <v>0.005422687234</v>
      </c>
      <c r="P179" s="19">
        <f t="shared" si="45"/>
        <v>-0.005924491174</v>
      </c>
      <c r="Q179" s="19">
        <f t="shared" si="45"/>
        <v>0.004641295109</v>
      </c>
      <c r="R179" s="19">
        <f t="shared" si="45"/>
        <v>-0.01311026939</v>
      </c>
      <c r="S179" s="220">
        <v>0.02</v>
      </c>
      <c r="T179" s="1"/>
      <c r="U179" s="1"/>
      <c r="V179" s="1"/>
      <c r="W179" s="1"/>
      <c r="X179" s="1"/>
      <c r="Y179" s="1"/>
      <c r="Z179" s="1"/>
    </row>
    <row r="180" ht="15.75" customHeight="1" outlineLevel="1">
      <c r="A180" s="1"/>
      <c r="B180" s="1"/>
      <c r="C180" s="4"/>
      <c r="D180" s="140"/>
      <c r="E180" s="222"/>
      <c r="F180" s="223"/>
      <c r="G180" s="224"/>
      <c r="H180" s="225"/>
      <c r="I180" s="226"/>
      <c r="J180" s="226"/>
      <c r="K180" s="226"/>
      <c r="L180" s="226"/>
      <c r="M180" s="226"/>
      <c r="N180" s="226"/>
      <c r="O180" s="226"/>
      <c r="P180" s="226"/>
      <c r="Q180" s="226"/>
      <c r="R180" s="226"/>
      <c r="S180" s="1"/>
      <c r="T180" s="1"/>
      <c r="U180" s="1"/>
      <c r="V180" s="1"/>
      <c r="W180" s="1"/>
      <c r="X180" s="1"/>
      <c r="Y180" s="1"/>
      <c r="Z180" s="1"/>
    </row>
    <row r="181" ht="15.75" customHeight="1" outlineLevel="1">
      <c r="A181" s="1"/>
      <c r="B181" s="1"/>
      <c r="C181" s="113" t="s">
        <v>183</v>
      </c>
      <c r="D181" s="61" t="s">
        <v>63</v>
      </c>
      <c r="E181" s="8">
        <f t="shared" ref="E181:R181" si="46">E124+E126+E128+E130</f>
        <v>2394</v>
      </c>
      <c r="F181" s="8">
        <f t="shared" si="46"/>
        <v>2501</v>
      </c>
      <c r="G181" s="8">
        <f t="shared" si="46"/>
        <v>2517</v>
      </c>
      <c r="H181" s="8">
        <f t="shared" si="46"/>
        <v>2094</v>
      </c>
      <c r="I181" s="8">
        <f t="shared" si="46"/>
        <v>2005.23135</v>
      </c>
      <c r="J181" s="8">
        <f t="shared" si="46"/>
        <v>1922.913238</v>
      </c>
      <c r="K181" s="8">
        <f t="shared" si="46"/>
        <v>2096.972084</v>
      </c>
      <c r="L181" s="8">
        <f t="shared" si="46"/>
        <v>2113.874125</v>
      </c>
      <c r="M181" s="8">
        <f t="shared" si="46"/>
        <v>2131.989867</v>
      </c>
      <c r="N181" s="8">
        <f t="shared" si="46"/>
        <v>2133.906232</v>
      </c>
      <c r="O181" s="8">
        <f t="shared" si="46"/>
        <v>2145.477738</v>
      </c>
      <c r="P181" s="8">
        <f t="shared" si="46"/>
        <v>2132.766874</v>
      </c>
      <c r="Q181" s="8">
        <f t="shared" si="46"/>
        <v>2142.665675</v>
      </c>
      <c r="R181" s="8">
        <f t="shared" si="46"/>
        <v>2114.574751</v>
      </c>
      <c r="S181" s="8"/>
      <c r="T181" s="1"/>
      <c r="U181" s="1"/>
      <c r="V181" s="1"/>
      <c r="W181" s="1"/>
      <c r="X181" s="1"/>
      <c r="Y181" s="1"/>
      <c r="Z181" s="1"/>
    </row>
    <row r="182" ht="15.75" customHeight="1" outlineLevel="1">
      <c r="A182" s="1"/>
      <c r="B182" s="1"/>
      <c r="C182" s="113"/>
      <c r="D182" s="61"/>
      <c r="E182" s="16"/>
      <c r="F182" s="16"/>
      <c r="G182" s="16"/>
      <c r="H182" s="16"/>
      <c r="I182" s="228"/>
      <c r="J182" s="228"/>
      <c r="K182" s="228"/>
      <c r="L182" s="228"/>
      <c r="M182" s="228"/>
      <c r="N182" s="228"/>
      <c r="O182" s="228"/>
      <c r="P182" s="228"/>
      <c r="Q182" s="228"/>
      <c r="R182" s="228"/>
      <c r="S182" s="228"/>
      <c r="T182" s="1"/>
      <c r="U182" s="1"/>
      <c r="V182" s="1"/>
      <c r="W182" s="1"/>
      <c r="X182" s="1"/>
      <c r="Y182" s="1"/>
      <c r="Z182" s="1"/>
    </row>
    <row r="183" ht="15.75" customHeight="1" outlineLevel="1">
      <c r="A183" s="1"/>
      <c r="B183" s="1"/>
      <c r="C183" s="205" t="s">
        <v>184</v>
      </c>
      <c r="D183" s="61" t="s">
        <v>63</v>
      </c>
      <c r="E183" s="206">
        <f t="shared" ref="E183:S183" si="47">+E178-E181</f>
        <v>4263.62471</v>
      </c>
      <c r="F183" s="206">
        <f t="shared" si="47"/>
        <v>3852.507</v>
      </c>
      <c r="G183" s="206">
        <f t="shared" si="47"/>
        <v>4511.30024</v>
      </c>
      <c r="H183" s="206">
        <f t="shared" si="47"/>
        <v>5154.01065</v>
      </c>
      <c r="I183" s="206">
        <f t="shared" si="47"/>
        <v>4168.45461</v>
      </c>
      <c r="J183" s="206">
        <f t="shared" si="47"/>
        <v>3907.578262</v>
      </c>
      <c r="K183" s="206">
        <f t="shared" si="47"/>
        <v>4166.330396</v>
      </c>
      <c r="L183" s="206">
        <f t="shared" si="47"/>
        <v>4199.911905</v>
      </c>
      <c r="M183" s="206">
        <f t="shared" si="47"/>
        <v>4235.904833</v>
      </c>
      <c r="N183" s="206">
        <f t="shared" si="47"/>
        <v>4239.712328</v>
      </c>
      <c r="O183" s="206">
        <f t="shared" si="47"/>
        <v>4262.702962</v>
      </c>
      <c r="P183" s="206">
        <f t="shared" si="47"/>
        <v>4237.448616</v>
      </c>
      <c r="Q183" s="206">
        <f t="shared" si="47"/>
        <v>4257.115865</v>
      </c>
      <c r="R183" s="206">
        <f t="shared" si="47"/>
        <v>4201.303929</v>
      </c>
      <c r="S183" s="206">
        <f t="shared" si="47"/>
        <v>6442.196254</v>
      </c>
      <c r="T183" s="1"/>
      <c r="U183" s="1"/>
      <c r="V183" s="1"/>
      <c r="W183" s="1"/>
      <c r="X183" s="1"/>
      <c r="Y183" s="1"/>
      <c r="Z183" s="1"/>
    </row>
    <row r="184" ht="15.75" customHeight="1" outlineLevel="1">
      <c r="A184" s="1"/>
      <c r="B184" s="1"/>
      <c r="C184" s="136" t="s">
        <v>185</v>
      </c>
      <c r="D184" s="61" t="s">
        <v>66</v>
      </c>
      <c r="E184" s="19">
        <f t="shared" ref="E184:S184" si="48">+E183/E178</f>
        <v>0.6404122935</v>
      </c>
      <c r="F184" s="19">
        <f t="shared" si="48"/>
        <v>0.6063591336</v>
      </c>
      <c r="G184" s="19">
        <f t="shared" si="48"/>
        <v>0.6418764262</v>
      </c>
      <c r="H184" s="19">
        <f t="shared" si="48"/>
        <v>0.7110931397</v>
      </c>
      <c r="I184" s="19">
        <f t="shared" si="48"/>
        <v>0.67519706</v>
      </c>
      <c r="J184" s="19">
        <f t="shared" si="48"/>
        <v>0.67019706</v>
      </c>
      <c r="K184" s="19">
        <f t="shared" si="48"/>
        <v>0.66519706</v>
      </c>
      <c r="L184" s="19">
        <f t="shared" si="48"/>
        <v>0.66519706</v>
      </c>
      <c r="M184" s="19">
        <f t="shared" si="48"/>
        <v>0.66519706</v>
      </c>
      <c r="N184" s="19">
        <f t="shared" si="48"/>
        <v>0.66519706</v>
      </c>
      <c r="O184" s="19">
        <f t="shared" si="48"/>
        <v>0.66519706</v>
      </c>
      <c r="P184" s="19">
        <f t="shared" si="48"/>
        <v>0.66519706</v>
      </c>
      <c r="Q184" s="19">
        <f t="shared" si="48"/>
        <v>0.66519706</v>
      </c>
      <c r="R184" s="19">
        <f t="shared" si="48"/>
        <v>0.66519706</v>
      </c>
      <c r="S184" s="19">
        <f t="shared" si="48"/>
        <v>1</v>
      </c>
      <c r="T184" s="1"/>
      <c r="U184" s="1"/>
      <c r="V184" s="1"/>
      <c r="W184" s="1"/>
      <c r="X184" s="1"/>
      <c r="Y184" s="1"/>
      <c r="Z184" s="1"/>
    </row>
    <row r="185" ht="15.75" customHeight="1" outlineLevel="1">
      <c r="A185" s="1"/>
      <c r="B185" s="1"/>
      <c r="C185" s="1"/>
      <c r="D185" s="2"/>
      <c r="E185" s="2"/>
      <c r="F185" s="2"/>
      <c r="G185" s="211"/>
      <c r="H185" s="211"/>
      <c r="I185" s="48"/>
      <c r="J185" s="48"/>
      <c r="K185" s="48"/>
      <c r="L185" s="48"/>
      <c r="M185" s="48"/>
      <c r="N185" s="48"/>
      <c r="O185" s="48"/>
      <c r="P185" s="48"/>
      <c r="Q185" s="48"/>
      <c r="R185" s="48"/>
      <c r="S185" s="1"/>
      <c r="T185" s="1"/>
      <c r="U185" s="1"/>
      <c r="V185" s="1"/>
      <c r="W185" s="1"/>
      <c r="X185" s="1"/>
      <c r="Y185" s="1"/>
      <c r="Z185" s="1"/>
    </row>
    <row r="186" ht="15.75" customHeight="1" outlineLevel="1">
      <c r="A186" s="1"/>
      <c r="B186" s="1"/>
      <c r="C186" s="4" t="s">
        <v>186</v>
      </c>
      <c r="D186" s="2"/>
      <c r="E186" s="2"/>
      <c r="F186" s="2"/>
      <c r="G186" s="211"/>
      <c r="H186" s="231"/>
      <c r="I186" s="231"/>
      <c r="J186" s="231"/>
      <c r="K186" s="231"/>
      <c r="L186" s="231"/>
      <c r="M186" s="231"/>
      <c r="N186" s="231"/>
      <c r="O186" s="231"/>
      <c r="P186" s="231"/>
      <c r="Q186" s="231"/>
      <c r="R186" s="231"/>
      <c r="S186" s="1"/>
      <c r="T186" s="1"/>
      <c r="U186" s="1"/>
      <c r="V186" s="1"/>
      <c r="W186" s="1"/>
      <c r="X186" s="1"/>
      <c r="Y186" s="1"/>
      <c r="Z186" s="1"/>
    </row>
    <row r="187" ht="15.75" customHeight="1" outlineLevel="1">
      <c r="A187" s="1"/>
      <c r="B187" s="1"/>
      <c r="C187" s="113" t="s">
        <v>187</v>
      </c>
      <c r="D187" s="61" t="s">
        <v>63</v>
      </c>
      <c r="E187" s="232">
        <f t="shared" ref="E187:R187" si="49">E133*E178</f>
        <v>1857.848058</v>
      </c>
      <c r="F187" s="232">
        <f t="shared" si="49"/>
        <v>2139</v>
      </c>
      <c r="G187" s="232">
        <f t="shared" si="49"/>
        <v>1882</v>
      </c>
      <c r="H187" s="232">
        <f t="shared" si="49"/>
        <v>1657</v>
      </c>
      <c r="I187" s="228">
        <f t="shared" si="49"/>
        <v>1450.816201</v>
      </c>
      <c r="J187" s="228">
        <f t="shared" si="49"/>
        <v>1370.165503</v>
      </c>
      <c r="K187" s="228">
        <f t="shared" si="49"/>
        <v>1459.349478</v>
      </c>
      <c r="L187" s="228">
        <f t="shared" si="49"/>
        <v>1471.112145</v>
      </c>
      <c r="M187" s="228">
        <f t="shared" si="49"/>
        <v>1464.615781</v>
      </c>
      <c r="N187" s="228">
        <f t="shared" si="49"/>
        <v>1465.932269</v>
      </c>
      <c r="O187" s="228">
        <f t="shared" si="49"/>
        <v>1473.881561</v>
      </c>
      <c r="P187" s="228">
        <f t="shared" si="49"/>
        <v>1465.149563</v>
      </c>
      <c r="Q187" s="228">
        <f t="shared" si="49"/>
        <v>1471.949754</v>
      </c>
      <c r="R187" s="228">
        <f t="shared" si="49"/>
        <v>1452.652096</v>
      </c>
      <c r="S187" s="228"/>
      <c r="T187" s="1"/>
      <c r="U187" s="1"/>
      <c r="V187" s="1"/>
      <c r="W187" s="1"/>
      <c r="X187" s="1"/>
      <c r="Y187" s="1"/>
      <c r="Z187" s="1"/>
    </row>
    <row r="188" ht="15.75" customHeight="1" outlineLevel="1">
      <c r="A188" s="1"/>
      <c r="B188" s="1"/>
      <c r="C188" s="113" t="s">
        <v>188</v>
      </c>
      <c r="D188" s="61" t="s">
        <v>63</v>
      </c>
      <c r="E188" s="16">
        <f t="shared" ref="E188:R188" si="50">E132*E178</f>
        <v>958</v>
      </c>
      <c r="F188" s="16">
        <f t="shared" si="50"/>
        <v>1068</v>
      </c>
      <c r="G188" s="16">
        <f t="shared" si="50"/>
        <v>1102</v>
      </c>
      <c r="H188" s="16">
        <f t="shared" si="50"/>
        <v>999</v>
      </c>
      <c r="I188" s="228">
        <f t="shared" si="50"/>
        <v>936.2655514</v>
      </c>
      <c r="J188" s="228">
        <f t="shared" si="50"/>
        <v>884.218662</v>
      </c>
      <c r="K188" s="228">
        <f t="shared" si="50"/>
        <v>1002.128397</v>
      </c>
      <c r="L188" s="228">
        <f t="shared" si="50"/>
        <v>1010.205765</v>
      </c>
      <c r="M188" s="228">
        <f t="shared" si="50"/>
        <v>1018.863152</v>
      </c>
      <c r="N188" s="228">
        <f t="shared" si="50"/>
        <v>1019.77897</v>
      </c>
      <c r="O188" s="228">
        <f t="shared" si="50"/>
        <v>961.227105</v>
      </c>
      <c r="P188" s="228">
        <f t="shared" si="50"/>
        <v>955.5323235</v>
      </c>
      <c r="Q188" s="228">
        <f t="shared" si="50"/>
        <v>959.967231</v>
      </c>
      <c r="R188" s="228">
        <f t="shared" si="50"/>
        <v>947.381802</v>
      </c>
      <c r="S188" s="228"/>
      <c r="T188" s="1"/>
      <c r="U188" s="1"/>
      <c r="V188" s="1"/>
      <c r="W188" s="1"/>
      <c r="X188" s="1"/>
      <c r="Y188" s="1"/>
      <c r="Z188" s="1"/>
    </row>
    <row r="189" ht="15.75" customHeight="1" outlineLevel="1">
      <c r="A189" s="1"/>
      <c r="B189" s="1"/>
      <c r="C189" s="164" t="s">
        <v>189</v>
      </c>
      <c r="D189" s="61" t="s">
        <v>63</v>
      </c>
      <c r="E189" s="142">
        <f t="shared" ref="E189:R189" si="51">SUM(E187:E188)</f>
        <v>2815.848058</v>
      </c>
      <c r="F189" s="142">
        <f t="shared" si="51"/>
        <v>3207</v>
      </c>
      <c r="G189" s="142">
        <f t="shared" si="51"/>
        <v>2984</v>
      </c>
      <c r="H189" s="142">
        <f t="shared" si="51"/>
        <v>2656</v>
      </c>
      <c r="I189" s="142">
        <f t="shared" si="51"/>
        <v>2387.081752</v>
      </c>
      <c r="J189" s="142">
        <f t="shared" si="51"/>
        <v>2254.384165</v>
      </c>
      <c r="K189" s="142">
        <f t="shared" si="51"/>
        <v>2461.477875</v>
      </c>
      <c r="L189" s="142">
        <f t="shared" si="51"/>
        <v>2481.31791</v>
      </c>
      <c r="M189" s="142">
        <f t="shared" si="51"/>
        <v>2483.478933</v>
      </c>
      <c r="N189" s="142">
        <f t="shared" si="51"/>
        <v>2485.711238</v>
      </c>
      <c r="O189" s="142">
        <f t="shared" si="51"/>
        <v>2435.108666</v>
      </c>
      <c r="P189" s="142">
        <f t="shared" si="51"/>
        <v>2420.681886</v>
      </c>
      <c r="Q189" s="142">
        <f t="shared" si="51"/>
        <v>2431.916985</v>
      </c>
      <c r="R189" s="142">
        <f t="shared" si="51"/>
        <v>2400.033898</v>
      </c>
      <c r="S189" s="142"/>
      <c r="T189" s="1"/>
      <c r="U189" s="1"/>
      <c r="V189" s="1"/>
      <c r="W189" s="1"/>
      <c r="X189" s="1"/>
      <c r="Y189" s="1"/>
      <c r="Z189" s="1"/>
    </row>
    <row r="190" ht="15.75" customHeight="1" outlineLevel="1">
      <c r="A190" s="1"/>
      <c r="B190" s="1"/>
      <c r="C190" s="1"/>
      <c r="D190" s="2"/>
      <c r="E190" s="2"/>
      <c r="F190" s="2"/>
      <c r="G190" s="211"/>
      <c r="H190" s="211"/>
      <c r="I190" s="233"/>
      <c r="J190" s="233"/>
      <c r="K190" s="233"/>
      <c r="L190" s="233"/>
      <c r="M190" s="233"/>
      <c r="N190" s="233"/>
      <c r="O190" s="233"/>
      <c r="P190" s="233"/>
      <c r="Q190" s="233"/>
      <c r="R190" s="233"/>
      <c r="S190" s="1"/>
      <c r="T190" s="1"/>
      <c r="U190" s="1"/>
      <c r="V190" s="1"/>
      <c r="W190" s="1"/>
      <c r="X190" s="1"/>
      <c r="Y190" s="1"/>
      <c r="Z190" s="1"/>
    </row>
    <row r="191" ht="15.75" customHeight="1" outlineLevel="1">
      <c r="A191" s="1"/>
      <c r="B191" s="1"/>
      <c r="C191" s="4" t="s">
        <v>190</v>
      </c>
      <c r="D191" s="61" t="s">
        <v>63</v>
      </c>
      <c r="E191" s="206">
        <f t="shared" ref="E191:R191" si="52">+E183-E189</f>
        <v>1447.776652</v>
      </c>
      <c r="F191" s="206">
        <f t="shared" si="52"/>
        <v>645.507</v>
      </c>
      <c r="G191" s="206">
        <f t="shared" si="52"/>
        <v>1527.30024</v>
      </c>
      <c r="H191" s="206">
        <f t="shared" si="52"/>
        <v>2498.01065</v>
      </c>
      <c r="I191" s="206">
        <f t="shared" si="52"/>
        <v>1781.372858</v>
      </c>
      <c r="J191" s="206">
        <f t="shared" si="52"/>
        <v>1653.194097</v>
      </c>
      <c r="K191" s="206">
        <f t="shared" si="52"/>
        <v>1704.852521</v>
      </c>
      <c r="L191" s="206">
        <f t="shared" si="52"/>
        <v>1718.593995</v>
      </c>
      <c r="M191" s="206">
        <f t="shared" si="52"/>
        <v>1752.4259</v>
      </c>
      <c r="N191" s="206">
        <f t="shared" si="52"/>
        <v>1754.001089</v>
      </c>
      <c r="O191" s="206">
        <f t="shared" si="52"/>
        <v>1827.594296</v>
      </c>
      <c r="P191" s="206">
        <f t="shared" si="52"/>
        <v>1816.766729</v>
      </c>
      <c r="Q191" s="206">
        <f t="shared" si="52"/>
        <v>1825.19888</v>
      </c>
      <c r="R191" s="206">
        <f t="shared" si="52"/>
        <v>1801.270031</v>
      </c>
      <c r="S191" s="234">
        <f>+S192*S178</f>
        <v>1610.549063</v>
      </c>
      <c r="T191" s="1"/>
      <c r="U191" s="1"/>
      <c r="V191" s="1"/>
      <c r="W191" s="1"/>
      <c r="X191" s="1"/>
      <c r="Y191" s="1"/>
      <c r="Z191" s="1"/>
    </row>
    <row r="192" ht="15.75" customHeight="1" outlineLevel="1">
      <c r="A192" s="1"/>
      <c r="B192" s="1"/>
      <c r="C192" s="136" t="s">
        <v>191</v>
      </c>
      <c r="D192" s="61" t="s">
        <v>66</v>
      </c>
      <c r="E192" s="233">
        <f t="shared" ref="E192:R192" si="53">+E191/E178</f>
        <v>0.2174614394</v>
      </c>
      <c r="F192" s="233">
        <f t="shared" si="53"/>
        <v>0.1015985345</v>
      </c>
      <c r="G192" s="233">
        <f t="shared" si="53"/>
        <v>0.2173071992</v>
      </c>
      <c r="H192" s="233">
        <f t="shared" si="53"/>
        <v>0.3446477621</v>
      </c>
      <c r="I192" s="233">
        <f t="shared" si="53"/>
        <v>0.2885428364</v>
      </c>
      <c r="J192" s="233">
        <f t="shared" si="53"/>
        <v>0.2835428364</v>
      </c>
      <c r="K192" s="233">
        <f t="shared" si="53"/>
        <v>0.27219706</v>
      </c>
      <c r="L192" s="233">
        <f t="shared" si="53"/>
        <v>0.27219706</v>
      </c>
      <c r="M192" s="233">
        <f t="shared" si="53"/>
        <v>0.27519706</v>
      </c>
      <c r="N192" s="233">
        <f t="shared" si="53"/>
        <v>0.27519706</v>
      </c>
      <c r="O192" s="233">
        <f t="shared" si="53"/>
        <v>0.28519706</v>
      </c>
      <c r="P192" s="233">
        <f t="shared" si="53"/>
        <v>0.28519706</v>
      </c>
      <c r="Q192" s="233">
        <f t="shared" si="53"/>
        <v>0.28519706</v>
      </c>
      <c r="R192" s="233">
        <f t="shared" si="53"/>
        <v>0.28519706</v>
      </c>
      <c r="S192" s="220">
        <v>0.25</v>
      </c>
      <c r="T192" s="1"/>
      <c r="U192" s="1"/>
      <c r="V192" s="1"/>
      <c r="W192" s="1"/>
      <c r="X192" s="1"/>
      <c r="Y192" s="1"/>
      <c r="Z192" s="1"/>
    </row>
    <row r="193" ht="15.75" customHeight="1" outlineLevel="1">
      <c r="A193" s="1"/>
      <c r="B193" s="1"/>
      <c r="C193" s="1"/>
      <c r="D193" s="2"/>
      <c r="E193" s="2"/>
      <c r="F193" s="2"/>
      <c r="G193" s="2"/>
      <c r="H193" s="2"/>
      <c r="I193" s="2"/>
      <c r="J193" s="2"/>
      <c r="K193" s="2"/>
      <c r="L193" s="2"/>
      <c r="M193" s="2"/>
      <c r="N193" s="2"/>
      <c r="O193" s="2"/>
      <c r="P193" s="2"/>
      <c r="Q193" s="2"/>
      <c r="R193" s="2"/>
      <c r="S193" s="2"/>
      <c r="T193" s="1"/>
      <c r="U193" s="1"/>
      <c r="V193" s="1"/>
      <c r="W193" s="1"/>
      <c r="X193" s="1"/>
      <c r="Y193" s="1"/>
      <c r="Z193" s="1"/>
    </row>
    <row r="194" ht="15.75" customHeight="1" outlineLevel="1">
      <c r="A194" s="1"/>
      <c r="B194" s="1"/>
      <c r="C194" s="1" t="s">
        <v>192</v>
      </c>
      <c r="D194" s="61" t="s">
        <v>63</v>
      </c>
      <c r="E194" s="143">
        <f>-E191*Tax_Rate</f>
        <v>-277.8283396</v>
      </c>
      <c r="F194" s="143">
        <f>-F191*Tax_Rate</f>
        <v>-123.8727933</v>
      </c>
      <c r="G194" s="143">
        <f>-G191*Tax_Rate</f>
        <v>-293.0889161</v>
      </c>
      <c r="H194" s="143">
        <f>-H191*Tax_Rate</f>
        <v>-479.3682437</v>
      </c>
      <c r="I194" s="143">
        <f>-I191*Tax_Rate</f>
        <v>-341.8454514</v>
      </c>
      <c r="J194" s="143">
        <f>-J191*Tax_Rate</f>
        <v>-317.2479473</v>
      </c>
      <c r="K194" s="143">
        <f>-K191*Tax_Rate</f>
        <v>-327.1611988</v>
      </c>
      <c r="L194" s="143">
        <f>-L191*Tax_Rate</f>
        <v>-329.7981876</v>
      </c>
      <c r="M194" s="143">
        <f>-M191*Tax_Rate</f>
        <v>-336.2905302</v>
      </c>
      <c r="N194" s="143">
        <f>-N191*Tax_Rate</f>
        <v>-336.592809</v>
      </c>
      <c r="O194" s="143">
        <f>-O191*Tax_Rate</f>
        <v>-350.7153453</v>
      </c>
      <c r="P194" s="143">
        <f>-P191*Tax_Rate</f>
        <v>-348.6375354</v>
      </c>
      <c r="Q194" s="143">
        <f>-Q191*Tax_Rate</f>
        <v>-350.2556651</v>
      </c>
      <c r="R194" s="143">
        <f>-R191*Tax_Rate</f>
        <v>-345.6637189</v>
      </c>
      <c r="S194" s="143">
        <f>-S191*Tax_Rate</f>
        <v>-309.0643653</v>
      </c>
      <c r="T194" s="1"/>
      <c r="U194" s="1"/>
      <c r="V194" s="1"/>
      <c r="W194" s="1"/>
      <c r="X194" s="1"/>
      <c r="Y194" s="1"/>
      <c r="Z194" s="1"/>
    </row>
    <row r="195" ht="15.75" customHeight="1" outlineLevel="1">
      <c r="A195" s="1"/>
      <c r="B195" s="1"/>
      <c r="C195" s="1"/>
      <c r="D195" s="2"/>
      <c r="E195" s="143"/>
      <c r="F195" s="143"/>
      <c r="G195" s="143"/>
      <c r="H195" s="143"/>
      <c r="I195" s="143"/>
      <c r="J195" s="143"/>
      <c r="K195" s="143"/>
      <c r="L195" s="143"/>
      <c r="M195" s="143"/>
      <c r="N195" s="143"/>
      <c r="O195" s="143"/>
      <c r="P195" s="143"/>
      <c r="Q195" s="143"/>
      <c r="R195" s="143"/>
      <c r="S195" s="143"/>
      <c r="T195" s="1"/>
      <c r="U195" s="1"/>
      <c r="V195" s="1"/>
      <c r="W195" s="1"/>
      <c r="X195" s="1"/>
      <c r="Y195" s="1"/>
      <c r="Z195" s="1"/>
    </row>
    <row r="196" ht="15.75" customHeight="1" outlineLevel="1">
      <c r="A196" s="1"/>
      <c r="B196" s="1"/>
      <c r="C196" s="4" t="s">
        <v>193</v>
      </c>
      <c r="D196" s="61" t="s">
        <v>63</v>
      </c>
      <c r="E196" s="235">
        <f t="shared" ref="E196:S196" si="54">+E191+E194</f>
        <v>1169.948313</v>
      </c>
      <c r="F196" s="235">
        <f t="shared" si="54"/>
        <v>521.6342067</v>
      </c>
      <c r="G196" s="235">
        <f t="shared" si="54"/>
        <v>1234.211324</v>
      </c>
      <c r="H196" s="235">
        <f t="shared" si="54"/>
        <v>2018.642406</v>
      </c>
      <c r="I196" s="235">
        <f t="shared" si="54"/>
        <v>1439.527406</v>
      </c>
      <c r="J196" s="235">
        <f t="shared" si="54"/>
        <v>1335.94615</v>
      </c>
      <c r="K196" s="235">
        <f t="shared" si="54"/>
        <v>1377.691322</v>
      </c>
      <c r="L196" s="235">
        <f t="shared" si="54"/>
        <v>1388.795807</v>
      </c>
      <c r="M196" s="235">
        <f t="shared" si="54"/>
        <v>1416.13537</v>
      </c>
      <c r="N196" s="235">
        <f t="shared" si="54"/>
        <v>1417.40828</v>
      </c>
      <c r="O196" s="235">
        <f t="shared" si="54"/>
        <v>1476.87895</v>
      </c>
      <c r="P196" s="235">
        <f t="shared" si="54"/>
        <v>1468.129194</v>
      </c>
      <c r="Q196" s="235">
        <f t="shared" si="54"/>
        <v>1474.943215</v>
      </c>
      <c r="R196" s="235">
        <f t="shared" si="54"/>
        <v>1455.606312</v>
      </c>
      <c r="S196" s="235">
        <f t="shared" si="54"/>
        <v>1301.484698</v>
      </c>
      <c r="T196" s="1"/>
      <c r="U196" s="1"/>
      <c r="V196" s="1"/>
      <c r="W196" s="1"/>
      <c r="X196" s="1"/>
      <c r="Y196" s="1"/>
      <c r="Z196" s="1"/>
    </row>
    <row r="197" ht="15.75" customHeight="1" outlineLevel="1">
      <c r="A197" s="1"/>
      <c r="B197" s="1"/>
      <c r="C197" s="1"/>
      <c r="D197" s="2"/>
      <c r="E197" s="2"/>
      <c r="F197" s="2"/>
      <c r="G197" s="2"/>
      <c r="H197" s="2"/>
      <c r="I197" s="2"/>
      <c r="J197" s="2"/>
      <c r="K197" s="2"/>
      <c r="L197" s="2"/>
      <c r="M197" s="2"/>
      <c r="N197" s="2"/>
      <c r="O197" s="2"/>
      <c r="P197" s="2"/>
      <c r="Q197" s="2"/>
      <c r="R197" s="2"/>
      <c r="S197" s="2"/>
      <c r="T197" s="1"/>
      <c r="U197" s="1"/>
      <c r="V197" s="1"/>
      <c r="W197" s="1"/>
      <c r="X197" s="1"/>
      <c r="Y197" s="1"/>
      <c r="Z197" s="1"/>
    </row>
    <row r="198" ht="15.75" customHeight="1" outlineLevel="1">
      <c r="A198" s="1"/>
      <c r="B198" s="1"/>
      <c r="C198" s="4" t="s">
        <v>194</v>
      </c>
      <c r="D198" s="2"/>
      <c r="E198" s="2"/>
      <c r="F198" s="236"/>
      <c r="G198" s="236"/>
      <c r="H198" s="236"/>
      <c r="I198" s="2"/>
      <c r="J198" s="2"/>
      <c r="K198" s="2"/>
      <c r="L198" s="2"/>
      <c r="M198" s="2"/>
      <c r="N198" s="2"/>
      <c r="O198" s="2"/>
      <c r="P198" s="2"/>
      <c r="Q198" s="2"/>
      <c r="R198" s="2"/>
      <c r="S198" s="2"/>
      <c r="T198" s="1"/>
      <c r="U198" s="1"/>
      <c r="V198" s="1"/>
      <c r="W198" s="1"/>
      <c r="X198" s="1"/>
      <c r="Y198" s="1"/>
      <c r="Z198" s="1"/>
    </row>
    <row r="199" ht="15.75" customHeight="1" outlineLevel="1">
      <c r="A199" s="1"/>
      <c r="B199" s="1"/>
      <c r="C199" s="113" t="s">
        <v>195</v>
      </c>
      <c r="D199" s="61" t="s">
        <v>63</v>
      </c>
      <c r="E199" s="16">
        <f t="shared" ref="E199:R199" si="55">+E118</f>
        <v>829</v>
      </c>
      <c r="F199" s="16">
        <f t="shared" si="55"/>
        <v>888</v>
      </c>
      <c r="G199" s="16">
        <f t="shared" si="55"/>
        <v>509</v>
      </c>
      <c r="H199" s="16">
        <f t="shared" si="55"/>
        <v>328</v>
      </c>
      <c r="I199" s="143">
        <f t="shared" si="55"/>
        <v>571.6965424</v>
      </c>
      <c r="J199" s="143">
        <f t="shared" si="55"/>
        <v>542.8312461</v>
      </c>
      <c r="K199" s="143">
        <f t="shared" si="55"/>
        <v>586.2585266</v>
      </c>
      <c r="L199" s="143">
        <f t="shared" si="55"/>
        <v>594.140788</v>
      </c>
      <c r="M199" s="143">
        <f t="shared" si="55"/>
        <v>602.4164771</v>
      </c>
      <c r="N199" s="143">
        <f t="shared" si="55"/>
        <v>602.9579665</v>
      </c>
      <c r="O199" s="143">
        <f t="shared" si="55"/>
        <v>606.227619</v>
      </c>
      <c r="P199" s="143">
        <f t="shared" si="55"/>
        <v>602.6360288</v>
      </c>
      <c r="Q199" s="143">
        <f t="shared" si="55"/>
        <v>605.4330405</v>
      </c>
      <c r="R199" s="143">
        <f t="shared" si="55"/>
        <v>597.4956502</v>
      </c>
      <c r="S199" s="143">
        <f>(R199/R178)*S178</f>
        <v>609.4455632</v>
      </c>
      <c r="T199" s="1"/>
      <c r="U199" s="1"/>
      <c r="V199" s="1"/>
      <c r="W199" s="1"/>
      <c r="X199" s="1"/>
      <c r="Y199" s="1"/>
      <c r="Z199" s="1"/>
    </row>
    <row r="200" ht="15.75" customHeight="1" outlineLevel="1">
      <c r="A200" s="1"/>
      <c r="B200" s="1"/>
      <c r="C200" s="113" t="s">
        <v>196</v>
      </c>
      <c r="D200" s="61" t="s">
        <v>63</v>
      </c>
      <c r="E200" s="16">
        <f t="shared" ref="E200:R200" si="56">+E120</f>
        <v>321</v>
      </c>
      <c r="F200" s="16">
        <f t="shared" si="56"/>
        <v>311</v>
      </c>
      <c r="G200" s="16">
        <f t="shared" si="56"/>
        <v>489</v>
      </c>
      <c r="H200" s="16">
        <f t="shared" si="56"/>
        <v>225</v>
      </c>
      <c r="I200" s="143">
        <f t="shared" si="56"/>
        <v>204</v>
      </c>
      <c r="J200" s="143">
        <f t="shared" si="56"/>
        <v>74</v>
      </c>
      <c r="K200" s="143">
        <f t="shared" si="56"/>
        <v>12</v>
      </c>
      <c r="L200" s="143">
        <f t="shared" si="56"/>
        <v>7</v>
      </c>
      <c r="M200" s="143">
        <f t="shared" si="56"/>
        <v>2</v>
      </c>
      <c r="N200" s="143">
        <f t="shared" si="56"/>
        <v>3</v>
      </c>
      <c r="O200" s="143">
        <f t="shared" si="56"/>
        <v>3</v>
      </c>
      <c r="P200" s="143">
        <f t="shared" si="56"/>
        <v>3</v>
      </c>
      <c r="Q200" s="143">
        <f t="shared" si="56"/>
        <v>3</v>
      </c>
      <c r="R200" s="143">
        <f t="shared" si="56"/>
        <v>3</v>
      </c>
      <c r="S200" s="143">
        <f>+R200</f>
        <v>3</v>
      </c>
      <c r="T200" s="1"/>
      <c r="U200" s="1"/>
      <c r="V200" s="1"/>
      <c r="W200" s="1"/>
      <c r="X200" s="1"/>
      <c r="Y200" s="1"/>
      <c r="Z200" s="1"/>
    </row>
    <row r="201" ht="15.75" customHeight="1" outlineLevel="1">
      <c r="A201" s="1"/>
      <c r="B201" s="1"/>
      <c r="C201" s="164" t="s">
        <v>197</v>
      </c>
      <c r="D201" s="237" t="s">
        <v>63</v>
      </c>
      <c r="E201" s="216">
        <f t="shared" ref="E201:S201" si="57">SUM(E199:E200)</f>
        <v>1150</v>
      </c>
      <c r="F201" s="216">
        <f t="shared" si="57"/>
        <v>1199</v>
      </c>
      <c r="G201" s="216">
        <f t="shared" si="57"/>
        <v>998</v>
      </c>
      <c r="H201" s="216">
        <f t="shared" si="57"/>
        <v>553</v>
      </c>
      <c r="I201" s="216">
        <f t="shared" si="57"/>
        <v>775.6965424</v>
      </c>
      <c r="J201" s="216">
        <f t="shared" si="57"/>
        <v>616.8312461</v>
      </c>
      <c r="K201" s="216">
        <f t="shared" si="57"/>
        <v>598.2585266</v>
      </c>
      <c r="L201" s="216">
        <f t="shared" si="57"/>
        <v>601.140788</v>
      </c>
      <c r="M201" s="216">
        <f t="shared" si="57"/>
        <v>604.4164771</v>
      </c>
      <c r="N201" s="216">
        <f t="shared" si="57"/>
        <v>605.9579665</v>
      </c>
      <c r="O201" s="216">
        <f t="shared" si="57"/>
        <v>609.227619</v>
      </c>
      <c r="P201" s="216">
        <f t="shared" si="57"/>
        <v>605.6360288</v>
      </c>
      <c r="Q201" s="216">
        <f t="shared" si="57"/>
        <v>608.4330405</v>
      </c>
      <c r="R201" s="216">
        <f t="shared" si="57"/>
        <v>600.4956502</v>
      </c>
      <c r="S201" s="216">
        <f t="shared" si="57"/>
        <v>612.4455632</v>
      </c>
      <c r="T201" s="1"/>
      <c r="U201" s="1"/>
      <c r="V201" s="1"/>
      <c r="W201" s="1"/>
      <c r="X201" s="1"/>
      <c r="Y201" s="1"/>
      <c r="Z201" s="1"/>
    </row>
    <row r="202" ht="15.75" customHeight="1" outlineLevel="1">
      <c r="A202" s="1"/>
      <c r="B202" s="1"/>
      <c r="C202" s="1"/>
      <c r="D202" s="2"/>
      <c r="E202" s="143"/>
      <c r="F202" s="143"/>
      <c r="G202" s="143"/>
      <c r="H202" s="143"/>
      <c r="I202" s="143"/>
      <c r="J202" s="143"/>
      <c r="K202" s="143"/>
      <c r="L202" s="143"/>
      <c r="M202" s="143"/>
      <c r="N202" s="143"/>
      <c r="O202" s="143"/>
      <c r="P202" s="143"/>
      <c r="Q202" s="143"/>
      <c r="R202" s="143"/>
      <c r="S202" s="143"/>
      <c r="T202" s="1"/>
      <c r="U202" s="1"/>
      <c r="V202" s="1"/>
      <c r="W202" s="1"/>
      <c r="X202" s="1"/>
      <c r="Y202" s="1"/>
      <c r="Z202" s="1"/>
    </row>
    <row r="203" ht="15.75" customHeight="1" outlineLevel="2">
      <c r="A203" s="1"/>
      <c r="B203" s="1"/>
      <c r="C203" s="4" t="s">
        <v>198</v>
      </c>
      <c r="D203" s="2"/>
      <c r="E203" s="143"/>
      <c r="F203" s="143"/>
      <c r="G203" s="143"/>
      <c r="H203" s="143"/>
      <c r="I203" s="143"/>
      <c r="J203" s="143"/>
      <c r="K203" s="143"/>
      <c r="L203" s="143"/>
      <c r="M203" s="143"/>
      <c r="N203" s="143"/>
      <c r="O203" s="143"/>
      <c r="P203" s="143"/>
      <c r="Q203" s="143"/>
      <c r="R203" s="143"/>
      <c r="S203" s="143"/>
      <c r="T203" s="1"/>
      <c r="U203" s="1"/>
      <c r="V203" s="1"/>
      <c r="W203" s="1"/>
      <c r="X203" s="1"/>
      <c r="Y203" s="1"/>
      <c r="Z203" s="1"/>
    </row>
    <row r="204" ht="15.75" customHeight="1" outlineLevel="2">
      <c r="A204" s="1"/>
      <c r="B204" s="1"/>
      <c r="C204" s="113" t="s">
        <v>199</v>
      </c>
      <c r="D204" s="61" t="s">
        <v>63</v>
      </c>
      <c r="E204" s="16"/>
      <c r="F204" s="16">
        <f t="shared" ref="F204:R204" si="58">+E101-F101</f>
        <v>-186</v>
      </c>
      <c r="G204" s="16">
        <f t="shared" si="58"/>
        <v>-117</v>
      </c>
      <c r="H204" s="16">
        <f t="shared" si="58"/>
        <v>187</v>
      </c>
      <c r="I204" s="143">
        <f t="shared" si="58"/>
        <v>60.41915901</v>
      </c>
      <c r="J204" s="143">
        <f t="shared" si="58"/>
        <v>23.78645449</v>
      </c>
      <c r="K204" s="143">
        <f t="shared" si="58"/>
        <v>-56.69823838</v>
      </c>
      <c r="L204" s="143">
        <f t="shared" si="58"/>
        <v>-3.456452035</v>
      </c>
      <c r="M204" s="143">
        <f t="shared" si="58"/>
        <v>-7.061181435</v>
      </c>
      <c r="N204" s="143">
        <f t="shared" si="58"/>
        <v>-0.109601874</v>
      </c>
      <c r="O204" s="143">
        <f t="shared" si="58"/>
        <v>-3.866084986</v>
      </c>
      <c r="P204" s="143">
        <f t="shared" si="58"/>
        <v>5.583888412</v>
      </c>
      <c r="Q204" s="143">
        <f t="shared" si="58"/>
        <v>-3.209521556</v>
      </c>
      <c r="R204" s="143">
        <f t="shared" si="58"/>
        <v>11.54734995</v>
      </c>
      <c r="S204" s="143"/>
      <c r="T204" s="1"/>
      <c r="U204" s="1"/>
      <c r="V204" s="1"/>
      <c r="W204" s="1"/>
      <c r="X204" s="1"/>
      <c r="Y204" s="1"/>
      <c r="Z204" s="1"/>
    </row>
    <row r="205" ht="15.75" customHeight="1" outlineLevel="2">
      <c r="A205" s="1"/>
      <c r="B205" s="1"/>
      <c r="C205" s="113" t="s">
        <v>200</v>
      </c>
      <c r="D205" s="61" t="s">
        <v>63</v>
      </c>
      <c r="E205" s="16"/>
      <c r="F205" s="16">
        <f t="shared" ref="F205:R205" si="59">+E103-F103</f>
        <v>3</v>
      </c>
      <c r="G205" s="16">
        <f t="shared" si="59"/>
        <v>3</v>
      </c>
      <c r="H205" s="16">
        <f t="shared" si="59"/>
        <v>11</v>
      </c>
      <c r="I205" s="143">
        <f t="shared" si="59"/>
        <v>2.366307392</v>
      </c>
      <c r="J205" s="143">
        <f t="shared" si="59"/>
        <v>2.230382558</v>
      </c>
      <c r="K205" s="143">
        <f t="shared" si="59"/>
        <v>-1.407881358</v>
      </c>
      <c r="L205" s="143">
        <f t="shared" si="59"/>
        <v>0.399154273</v>
      </c>
      <c r="M205" s="143">
        <f t="shared" si="59"/>
        <v>-0.243489015</v>
      </c>
      <c r="N205" s="143">
        <f t="shared" si="59"/>
        <v>-0.02575737</v>
      </c>
      <c r="O205" s="143">
        <f t="shared" si="59"/>
        <v>-0.15552963</v>
      </c>
      <c r="P205" s="143">
        <f t="shared" si="59"/>
        <v>0.170843445</v>
      </c>
      <c r="Q205" s="143">
        <f t="shared" si="59"/>
        <v>-0.133047225</v>
      </c>
      <c r="R205" s="143">
        <f t="shared" si="59"/>
        <v>0.37756287</v>
      </c>
      <c r="S205" s="143"/>
      <c r="T205" s="1"/>
      <c r="U205" s="1"/>
      <c r="V205" s="1"/>
      <c r="W205" s="1"/>
      <c r="X205" s="1"/>
      <c r="Y205" s="1"/>
      <c r="Z205" s="1"/>
    </row>
    <row r="206" ht="15.75" customHeight="1" outlineLevel="2">
      <c r="A206" s="1"/>
      <c r="B206" s="1"/>
      <c r="C206" s="58" t="s">
        <v>131</v>
      </c>
      <c r="D206" s="61" t="s">
        <v>63</v>
      </c>
      <c r="E206" s="16"/>
      <c r="F206" s="16">
        <f t="shared" ref="F206:R206" si="60">+E105-F105</f>
        <v>45</v>
      </c>
      <c r="G206" s="16">
        <f t="shared" si="60"/>
        <v>103</v>
      </c>
      <c r="H206" s="16">
        <f t="shared" si="60"/>
        <v>210</v>
      </c>
      <c r="I206" s="143">
        <f t="shared" si="60"/>
        <v>-7.7368596</v>
      </c>
      <c r="J206" s="143">
        <f t="shared" si="60"/>
        <v>3.4319446</v>
      </c>
      <c r="K206" s="143">
        <f t="shared" si="60"/>
        <v>-4.3281098</v>
      </c>
      <c r="L206" s="143">
        <f t="shared" si="60"/>
        <v>-0.5048355</v>
      </c>
      <c r="M206" s="143">
        <f t="shared" si="60"/>
        <v>-0.5410867</v>
      </c>
      <c r="N206" s="143">
        <f t="shared" si="60"/>
        <v>-0.0572386</v>
      </c>
      <c r="O206" s="143">
        <f t="shared" si="60"/>
        <v>-0.3456214</v>
      </c>
      <c r="P206" s="143">
        <f t="shared" si="60"/>
        <v>0.3796521</v>
      </c>
      <c r="Q206" s="143">
        <f t="shared" si="60"/>
        <v>-0.2956605</v>
      </c>
      <c r="R206" s="143">
        <f t="shared" si="60"/>
        <v>0.8390286</v>
      </c>
      <c r="S206" s="143"/>
      <c r="T206" s="1"/>
      <c r="U206" s="1"/>
      <c r="V206" s="1"/>
      <c r="W206" s="1"/>
      <c r="X206" s="1"/>
      <c r="Y206" s="1"/>
      <c r="Z206" s="1"/>
    </row>
    <row r="207" ht="15.75" customHeight="1" outlineLevel="2">
      <c r="A207" s="1"/>
      <c r="B207" s="1"/>
      <c r="C207" s="113" t="s">
        <v>211</v>
      </c>
      <c r="D207" s="61" t="s">
        <v>63</v>
      </c>
      <c r="E207" s="16"/>
      <c r="F207" s="16">
        <f t="shared" ref="F207:R207" si="61">+E107-F107</f>
        <v>-84</v>
      </c>
      <c r="G207" s="16">
        <f t="shared" si="61"/>
        <v>-63</v>
      </c>
      <c r="H207" s="16">
        <f t="shared" si="61"/>
        <v>-119</v>
      </c>
      <c r="I207" s="143">
        <f t="shared" si="61"/>
        <v>31.98824366</v>
      </c>
      <c r="J207" s="143">
        <f t="shared" si="61"/>
        <v>31.30162334</v>
      </c>
      <c r="K207" s="143">
        <f t="shared" si="61"/>
        <v>-50.41002244</v>
      </c>
      <c r="L207" s="143">
        <f t="shared" si="61"/>
        <v>-17.82737771</v>
      </c>
      <c r="M207" s="143">
        <f t="shared" si="61"/>
        <v>-18.41719975</v>
      </c>
      <c r="N207" s="143">
        <f t="shared" si="61"/>
        <v>-0.61245302</v>
      </c>
      <c r="O207" s="143">
        <f t="shared" si="61"/>
        <v>-3.69814898</v>
      </c>
      <c r="P207" s="143">
        <f t="shared" si="61"/>
        <v>-15.048369</v>
      </c>
      <c r="Q207" s="143">
        <f t="shared" si="61"/>
        <v>-3.2522655</v>
      </c>
      <c r="R207" s="143">
        <f t="shared" si="61"/>
        <v>9.2293146</v>
      </c>
      <c r="S207" s="143"/>
      <c r="T207" s="1"/>
      <c r="U207" s="1"/>
      <c r="V207" s="1"/>
      <c r="W207" s="1"/>
      <c r="X207" s="1"/>
      <c r="Y207" s="1"/>
      <c r="Z207" s="1"/>
    </row>
    <row r="208" ht="15.75" customHeight="1" outlineLevel="2">
      <c r="A208" s="1"/>
      <c r="B208" s="1"/>
      <c r="C208" s="113" t="s">
        <v>213</v>
      </c>
      <c r="D208" s="61" t="s">
        <v>63</v>
      </c>
      <c r="E208" s="16"/>
      <c r="F208" s="16">
        <f t="shared" ref="F208:R208" si="62">+F111-E111</f>
        <v>101</v>
      </c>
      <c r="G208" s="16">
        <f t="shared" si="62"/>
        <v>-70</v>
      </c>
      <c r="H208" s="16">
        <f t="shared" si="62"/>
        <v>39</v>
      </c>
      <c r="I208" s="143">
        <f t="shared" si="62"/>
        <v>-150.7816419</v>
      </c>
      <c r="J208" s="143">
        <f t="shared" si="62"/>
        <v>-7.850311542</v>
      </c>
      <c r="K208" s="143">
        <f t="shared" si="62"/>
        <v>12.25154258</v>
      </c>
      <c r="L208" s="143">
        <f t="shared" si="62"/>
        <v>1.173724857</v>
      </c>
      <c r="M208" s="143">
        <f t="shared" si="62"/>
        <v>0.1278448672</v>
      </c>
      <c r="N208" s="143">
        <f t="shared" si="62"/>
        <v>0.1320618798</v>
      </c>
      <c r="O208" s="143">
        <f t="shared" si="62"/>
        <v>-2.99361854</v>
      </c>
      <c r="P208" s="143">
        <f t="shared" si="62"/>
        <v>-0.8534798417</v>
      </c>
      <c r="Q208" s="143">
        <f t="shared" si="62"/>
        <v>0.6646618753</v>
      </c>
      <c r="R208" s="143">
        <f t="shared" si="62"/>
        <v>-1.886184738</v>
      </c>
      <c r="S208" s="143"/>
      <c r="T208" s="1"/>
      <c r="U208" s="1"/>
      <c r="V208" s="1"/>
      <c r="W208" s="1"/>
      <c r="X208" s="1"/>
      <c r="Y208" s="1"/>
      <c r="Z208" s="1"/>
    </row>
    <row r="209" ht="15.75" customHeight="1" outlineLevel="2">
      <c r="A209" s="1"/>
      <c r="B209" s="1"/>
      <c r="C209" s="113" t="s">
        <v>214</v>
      </c>
      <c r="D209" s="61" t="s">
        <v>63</v>
      </c>
      <c r="E209" s="16"/>
      <c r="F209" s="16">
        <f t="shared" ref="F209:R209" si="63">+F113-E113</f>
        <v>605</v>
      </c>
      <c r="G209" s="16">
        <f t="shared" si="63"/>
        <v>-515</v>
      </c>
      <c r="H209" s="16">
        <f t="shared" si="63"/>
        <v>352</v>
      </c>
      <c r="I209" s="143">
        <f t="shared" si="63"/>
        <v>-794.4544671</v>
      </c>
      <c r="J209" s="143">
        <f t="shared" si="63"/>
        <v>222.7697165</v>
      </c>
      <c r="K209" s="143">
        <f t="shared" si="63"/>
        <v>-208.6344532</v>
      </c>
      <c r="L209" s="143">
        <f t="shared" si="63"/>
        <v>276.7145768</v>
      </c>
      <c r="M209" s="143">
        <f t="shared" si="63"/>
        <v>-272.5343757</v>
      </c>
      <c r="N209" s="143">
        <f t="shared" si="63"/>
        <v>273.8523743</v>
      </c>
      <c r="O209" s="143">
        <f t="shared" si="63"/>
        <v>-283.042725</v>
      </c>
      <c r="P209" s="143">
        <f t="shared" si="63"/>
        <v>263.5339193</v>
      </c>
      <c r="Q209" s="143">
        <f t="shared" si="63"/>
        <v>-264.1403387</v>
      </c>
      <c r="R209" s="143">
        <f t="shared" si="63"/>
        <v>257.9459423</v>
      </c>
      <c r="S209" s="143"/>
      <c r="T209" s="1"/>
      <c r="U209" s="1"/>
      <c r="V209" s="1"/>
      <c r="W209" s="1"/>
      <c r="X209" s="1"/>
      <c r="Y209" s="1"/>
      <c r="Z209" s="1"/>
    </row>
    <row r="210" ht="15.75" customHeight="1" outlineLevel="2">
      <c r="A210" s="1"/>
      <c r="B210" s="1"/>
      <c r="C210" s="204" t="s">
        <v>215</v>
      </c>
      <c r="D210" s="253" t="s">
        <v>63</v>
      </c>
      <c r="E210" s="254"/>
      <c r="F210" s="254">
        <f t="shared" ref="F210:R210" si="64">+F109-E109</f>
        <v>301</v>
      </c>
      <c r="G210" s="254">
        <f t="shared" si="64"/>
        <v>-436</v>
      </c>
      <c r="H210" s="254">
        <f t="shared" si="64"/>
        <v>-118</v>
      </c>
      <c r="I210" s="257">
        <f t="shared" si="64"/>
        <v>63.81292142</v>
      </c>
      <c r="J210" s="257">
        <f t="shared" si="64"/>
        <v>-79.98343725</v>
      </c>
      <c r="K210" s="257">
        <f t="shared" si="64"/>
        <v>100.8690812</v>
      </c>
      <c r="L210" s="257">
        <f t="shared" si="64"/>
        <v>11.76548087</v>
      </c>
      <c r="M210" s="257">
        <f t="shared" si="64"/>
        <v>12.61033588</v>
      </c>
      <c r="N210" s="257">
        <f t="shared" si="64"/>
        <v>1.333978402</v>
      </c>
      <c r="O210" s="257">
        <f t="shared" si="64"/>
        <v>8.054904954</v>
      </c>
      <c r="P210" s="257">
        <f t="shared" si="64"/>
        <v>-8.848009935</v>
      </c>
      <c r="Q210" s="257">
        <f t="shared" si="64"/>
        <v>6.890537525</v>
      </c>
      <c r="R210" s="257">
        <f t="shared" si="64"/>
        <v>-19.55404274</v>
      </c>
      <c r="S210" s="257"/>
      <c r="T210" s="1"/>
      <c r="U210" s="1"/>
      <c r="V210" s="1"/>
      <c r="W210" s="1"/>
      <c r="X210" s="1"/>
      <c r="Y210" s="1"/>
      <c r="Z210" s="1"/>
    </row>
    <row r="211" ht="15.75" customHeight="1" outlineLevel="1">
      <c r="A211" s="1"/>
      <c r="B211" s="1"/>
      <c r="C211" s="4" t="s">
        <v>216</v>
      </c>
      <c r="D211" s="61" t="s">
        <v>63</v>
      </c>
      <c r="E211" s="235">
        <f t="shared" ref="E211:R211" si="65">SUM(E204:E210)</f>
        <v>0</v>
      </c>
      <c r="F211" s="235">
        <f t="shared" si="65"/>
        <v>785</v>
      </c>
      <c r="G211" s="235">
        <f t="shared" si="65"/>
        <v>-1095</v>
      </c>
      <c r="H211" s="235">
        <f t="shared" si="65"/>
        <v>562</v>
      </c>
      <c r="I211" s="235">
        <f t="shared" si="65"/>
        <v>-794.3863372</v>
      </c>
      <c r="J211" s="235">
        <f t="shared" si="65"/>
        <v>195.6863727</v>
      </c>
      <c r="K211" s="235">
        <f t="shared" si="65"/>
        <v>-208.3580813</v>
      </c>
      <c r="L211" s="235">
        <f t="shared" si="65"/>
        <v>268.2642715</v>
      </c>
      <c r="M211" s="235">
        <f t="shared" si="65"/>
        <v>-286.0591518</v>
      </c>
      <c r="N211" s="235">
        <f t="shared" si="65"/>
        <v>274.5133637</v>
      </c>
      <c r="O211" s="235">
        <f t="shared" si="65"/>
        <v>-286.0468236</v>
      </c>
      <c r="P211" s="235">
        <f t="shared" si="65"/>
        <v>244.9184445</v>
      </c>
      <c r="Q211" s="235">
        <f t="shared" si="65"/>
        <v>-263.4756341</v>
      </c>
      <c r="R211" s="235">
        <f t="shared" si="65"/>
        <v>258.4989709</v>
      </c>
      <c r="S211" s="235">
        <f>(S178-R178)*S212</f>
        <v>-2.526351472</v>
      </c>
      <c r="T211" s="1"/>
      <c r="U211" s="1"/>
      <c r="V211" s="1"/>
      <c r="W211" s="1"/>
      <c r="X211" s="1"/>
      <c r="Y211" s="1"/>
      <c r="Z211" s="1"/>
    </row>
    <row r="212" ht="15.75" customHeight="1" outlineLevel="1">
      <c r="A212" s="1"/>
      <c r="B212" s="1"/>
      <c r="C212" s="136" t="s">
        <v>221</v>
      </c>
      <c r="D212" s="61" t="s">
        <v>66</v>
      </c>
      <c r="E212" s="19">
        <f>+E211/(E178-585.98)</f>
        <v>0</v>
      </c>
      <c r="F212" s="19">
        <f t="shared" ref="F212:R212" si="66">+F211/(F178-E178)</f>
        <v>-2.581237377</v>
      </c>
      <c r="G212" s="19">
        <f t="shared" si="66"/>
        <v>-1.622719279</v>
      </c>
      <c r="H212" s="19">
        <f t="shared" si="66"/>
        <v>2.557912481</v>
      </c>
      <c r="I212" s="19">
        <f t="shared" si="66"/>
        <v>0.7394285401</v>
      </c>
      <c r="J212" s="19">
        <f t="shared" si="66"/>
        <v>-0.5701909427</v>
      </c>
      <c r="K212" s="19">
        <f t="shared" si="66"/>
        <v>-0.4814066439</v>
      </c>
      <c r="L212" s="19">
        <f t="shared" si="66"/>
        <v>5.313894754</v>
      </c>
      <c r="M212" s="19">
        <f t="shared" si="66"/>
        <v>-5.2867526</v>
      </c>
      <c r="N212" s="19">
        <f t="shared" si="66"/>
        <v>47.95948253</v>
      </c>
      <c r="O212" s="19">
        <f t="shared" si="66"/>
        <v>-8.276305332</v>
      </c>
      <c r="P212" s="19">
        <f t="shared" si="66"/>
        <v>-6.451128401</v>
      </c>
      <c r="Q212" s="19">
        <f t="shared" si="66"/>
        <v>-8.911424896</v>
      </c>
      <c r="R212" s="19">
        <f t="shared" si="66"/>
        <v>-3.080931578</v>
      </c>
      <c r="S212" s="220">
        <v>-0.02</v>
      </c>
      <c r="T212" s="1"/>
      <c r="U212" s="1"/>
      <c r="V212" s="1"/>
      <c r="W212" s="1"/>
      <c r="X212" s="1"/>
      <c r="Y212" s="1"/>
      <c r="Z212" s="1"/>
    </row>
    <row r="213" ht="15.75" customHeight="1" outlineLevel="1">
      <c r="A213" s="1"/>
      <c r="B213" s="1"/>
      <c r="C213" s="1"/>
      <c r="D213" s="2"/>
      <c r="E213" s="143"/>
      <c r="F213" s="143"/>
      <c r="G213" s="143"/>
      <c r="H213" s="143"/>
      <c r="I213" s="143"/>
      <c r="J213" s="143"/>
      <c r="K213" s="143"/>
      <c r="L213" s="143"/>
      <c r="M213" s="143"/>
      <c r="N213" s="143"/>
      <c r="O213" s="143"/>
      <c r="P213" s="143"/>
      <c r="Q213" s="143"/>
      <c r="R213" s="143"/>
      <c r="S213" s="143"/>
      <c r="T213" s="1"/>
      <c r="U213" s="1"/>
      <c r="V213" s="1"/>
      <c r="W213" s="1"/>
      <c r="X213" s="1"/>
      <c r="Y213" s="1"/>
      <c r="Z213" s="1"/>
    </row>
    <row r="214" ht="15.75" customHeight="1" outlineLevel="1">
      <c r="A214" s="1"/>
      <c r="B214" s="1"/>
      <c r="C214" s="4" t="s">
        <v>222</v>
      </c>
      <c r="D214" s="61" t="s">
        <v>63</v>
      </c>
      <c r="E214" s="265">
        <f t="shared" ref="E214:R214" si="67">+E116</f>
        <v>-136</v>
      </c>
      <c r="F214" s="265">
        <f t="shared" si="67"/>
        <v>-155</v>
      </c>
      <c r="G214" s="265">
        <f t="shared" si="67"/>
        <v>-131</v>
      </c>
      <c r="H214" s="265">
        <f t="shared" si="67"/>
        <v>-116</v>
      </c>
      <c r="I214" s="235">
        <f t="shared" si="67"/>
        <v>-111.1263473</v>
      </c>
      <c r="J214" s="235">
        <f t="shared" si="67"/>
        <v>-107.8640928</v>
      </c>
      <c r="K214" s="235">
        <f t="shared" si="67"/>
        <v>-119.0027471</v>
      </c>
      <c r="L214" s="235">
        <f t="shared" si="67"/>
        <v>-123.1188276</v>
      </c>
      <c r="M214" s="235">
        <f t="shared" si="67"/>
        <v>-127.357894</v>
      </c>
      <c r="N214" s="235">
        <f t="shared" si="67"/>
        <v>-127.4723712</v>
      </c>
      <c r="O214" s="235">
        <f t="shared" si="67"/>
        <v>-128.163614</v>
      </c>
      <c r="P214" s="235">
        <f t="shared" si="67"/>
        <v>-127.4043098</v>
      </c>
      <c r="Q214" s="235">
        <f t="shared" si="67"/>
        <v>-127.9956308</v>
      </c>
      <c r="R214" s="235">
        <f t="shared" si="67"/>
        <v>-126.3175736</v>
      </c>
      <c r="S214" s="235">
        <f>-S215*S178</f>
        <v>-128.8439251</v>
      </c>
      <c r="T214" s="1"/>
      <c r="U214" s="1"/>
      <c r="V214" s="1"/>
      <c r="W214" s="1"/>
      <c r="X214" s="1"/>
      <c r="Y214" s="1"/>
      <c r="Z214" s="1"/>
    </row>
    <row r="215" ht="15.75" customHeight="1" outlineLevel="1">
      <c r="A215" s="1"/>
      <c r="B215" s="1"/>
      <c r="C215" s="136" t="s">
        <v>223</v>
      </c>
      <c r="D215" s="61" t="s">
        <v>66</v>
      </c>
      <c r="E215" s="19">
        <f t="shared" ref="E215:R215" si="68">-E214/E178</f>
        <v>0.02042770596</v>
      </c>
      <c r="F215" s="19">
        <f t="shared" si="68"/>
        <v>0.02439597533</v>
      </c>
      <c r="G215" s="19">
        <f t="shared" si="68"/>
        <v>0.01863893054</v>
      </c>
      <c r="H215" s="19">
        <f t="shared" si="68"/>
        <v>0.01600439149</v>
      </c>
      <c r="I215" s="19">
        <f t="shared" si="68"/>
        <v>0.018</v>
      </c>
      <c r="J215" s="19">
        <f t="shared" si="68"/>
        <v>0.0185</v>
      </c>
      <c r="K215" s="19">
        <f t="shared" si="68"/>
        <v>0.019</v>
      </c>
      <c r="L215" s="19">
        <f t="shared" si="68"/>
        <v>0.0195</v>
      </c>
      <c r="M215" s="19">
        <f t="shared" si="68"/>
        <v>0.02</v>
      </c>
      <c r="N215" s="19">
        <f t="shared" si="68"/>
        <v>0.02</v>
      </c>
      <c r="O215" s="19">
        <f t="shared" si="68"/>
        <v>0.02</v>
      </c>
      <c r="P215" s="19">
        <f t="shared" si="68"/>
        <v>0.02</v>
      </c>
      <c r="Q215" s="19">
        <f t="shared" si="68"/>
        <v>0.02</v>
      </c>
      <c r="R215" s="19">
        <f t="shared" si="68"/>
        <v>0.02</v>
      </c>
      <c r="S215" s="220">
        <v>0.02</v>
      </c>
      <c r="T215" s="1"/>
      <c r="U215" s="1"/>
      <c r="V215" s="1"/>
      <c r="W215" s="1"/>
      <c r="X215" s="1"/>
      <c r="Y215" s="1"/>
      <c r="Z215" s="1"/>
    </row>
    <row r="216" ht="15.75" customHeight="1" outlineLevel="1">
      <c r="A216" s="1"/>
      <c r="B216" s="1"/>
      <c r="C216" s="1"/>
      <c r="D216" s="2"/>
      <c r="E216" s="143"/>
      <c r="F216" s="143"/>
      <c r="G216" s="143"/>
      <c r="H216" s="143"/>
      <c r="I216" s="143"/>
      <c r="J216" s="143"/>
      <c r="K216" s="143"/>
      <c r="L216" s="143"/>
      <c r="M216" s="143"/>
      <c r="N216" s="143"/>
      <c r="O216" s="143"/>
      <c r="P216" s="143"/>
      <c r="Q216" s="143"/>
      <c r="R216" s="143"/>
      <c r="S216" s="143"/>
      <c r="T216" s="1"/>
      <c r="U216" s="1"/>
      <c r="V216" s="1"/>
      <c r="W216" s="1"/>
      <c r="X216" s="1"/>
      <c r="Y216" s="1"/>
      <c r="Z216" s="1"/>
    </row>
    <row r="217" ht="15.75" customHeight="1" outlineLevel="1">
      <c r="A217" s="1"/>
      <c r="B217" s="1"/>
      <c r="C217" s="268" t="s">
        <v>225</v>
      </c>
      <c r="D217" s="269" t="s">
        <v>63</v>
      </c>
      <c r="E217" s="270">
        <f t="shared" ref="E217:S217" si="69">+E196+E201+E211+E214</f>
        <v>2183.948313</v>
      </c>
      <c r="F217" s="270">
        <f t="shared" si="69"/>
        <v>2350.634207</v>
      </c>
      <c r="G217" s="270">
        <f t="shared" si="69"/>
        <v>1006.211324</v>
      </c>
      <c r="H217" s="270">
        <f t="shared" si="69"/>
        <v>3017.642406</v>
      </c>
      <c r="I217" s="270">
        <f t="shared" si="69"/>
        <v>1309.711264</v>
      </c>
      <c r="J217" s="270">
        <f t="shared" si="69"/>
        <v>2040.599676</v>
      </c>
      <c r="K217" s="270">
        <f t="shared" si="69"/>
        <v>1648.58902</v>
      </c>
      <c r="L217" s="270">
        <f t="shared" si="69"/>
        <v>2135.082039</v>
      </c>
      <c r="M217" s="270">
        <f t="shared" si="69"/>
        <v>1607.134801</v>
      </c>
      <c r="N217" s="270">
        <f t="shared" si="69"/>
        <v>2170.407239</v>
      </c>
      <c r="O217" s="270">
        <f t="shared" si="69"/>
        <v>1671.896132</v>
      </c>
      <c r="P217" s="270">
        <f t="shared" si="69"/>
        <v>2191.279358</v>
      </c>
      <c r="Q217" s="270">
        <f t="shared" si="69"/>
        <v>1691.90499</v>
      </c>
      <c r="R217" s="270">
        <f t="shared" si="69"/>
        <v>2188.283359</v>
      </c>
      <c r="S217" s="270">
        <f t="shared" si="69"/>
        <v>1782.559985</v>
      </c>
      <c r="T217" s="1"/>
      <c r="U217" s="1"/>
      <c r="V217" s="1"/>
      <c r="W217" s="1"/>
      <c r="X217" s="1"/>
      <c r="Y217" s="1"/>
      <c r="Z217" s="1"/>
    </row>
    <row r="218" ht="15.75" customHeight="1" outlineLevel="1">
      <c r="A218" s="1"/>
      <c r="B218" s="1"/>
      <c r="C218" s="4" t="s">
        <v>226</v>
      </c>
      <c r="D218" s="61" t="s">
        <v>63</v>
      </c>
      <c r="E218" s="235"/>
      <c r="F218" s="235"/>
      <c r="G218" s="235"/>
      <c r="H218" s="235"/>
      <c r="I218" s="235"/>
      <c r="J218" s="235"/>
      <c r="K218" s="235"/>
      <c r="L218" s="235"/>
      <c r="M218" s="235"/>
      <c r="N218" s="235"/>
      <c r="O218" s="235"/>
      <c r="P218" s="235"/>
      <c r="Q218" s="235"/>
      <c r="R218" s="235"/>
      <c r="S218" s="235"/>
      <c r="T218" s="1"/>
      <c r="U218" s="1"/>
      <c r="V218" s="1"/>
      <c r="W218" s="1"/>
      <c r="X218" s="1"/>
      <c r="Y218" s="1"/>
      <c r="Z218" s="1"/>
    </row>
    <row r="219" ht="15.75" customHeight="1" outlineLevel="1">
      <c r="A219" s="1"/>
      <c r="B219" s="1"/>
      <c r="C219" s="4"/>
      <c r="D219" s="61"/>
      <c r="E219" s="235"/>
      <c r="F219" s="235"/>
      <c r="G219" s="235"/>
      <c r="H219" s="235"/>
      <c r="I219" s="235"/>
      <c r="J219" s="235"/>
      <c r="K219" s="235"/>
      <c r="L219" s="235"/>
      <c r="M219" s="235"/>
      <c r="N219" s="235"/>
      <c r="O219" s="235"/>
      <c r="P219" s="235"/>
      <c r="Q219" s="235"/>
      <c r="R219" s="235"/>
      <c r="S219" s="235"/>
      <c r="T219" s="1"/>
      <c r="U219" s="1"/>
      <c r="V219" s="1"/>
      <c r="W219" s="1"/>
      <c r="X219" s="1"/>
      <c r="Y219" s="1"/>
      <c r="Z219" s="1"/>
    </row>
    <row r="220" ht="15.75" customHeight="1" outlineLevel="1">
      <c r="A220" s="1"/>
      <c r="B220" s="1"/>
      <c r="C220" s="4" t="s">
        <v>227</v>
      </c>
      <c r="D220" s="61" t="s">
        <v>63</v>
      </c>
      <c r="E220" s="2"/>
      <c r="F220" s="2"/>
      <c r="G220" s="1"/>
      <c r="H220" s="1"/>
      <c r="I220" s="235">
        <f t="shared" ref="I220:R220" si="70">+I217*I223</f>
        <v>1309.711264</v>
      </c>
      <c r="J220" s="235">
        <f t="shared" si="70"/>
        <v>1937.334204</v>
      </c>
      <c r="K220" s="235">
        <f t="shared" si="70"/>
        <v>1485.955722</v>
      </c>
      <c r="L220" s="235">
        <f t="shared" si="70"/>
        <v>1827.068228</v>
      </c>
      <c r="M220" s="235">
        <f t="shared" si="70"/>
        <v>1305.68747</v>
      </c>
      <c r="N220" s="235">
        <f t="shared" si="70"/>
        <v>1674.074931</v>
      </c>
      <c r="O220" s="235">
        <f t="shared" si="70"/>
        <v>1224.305187</v>
      </c>
      <c r="P220" s="235">
        <f t="shared" si="70"/>
        <v>1523.438325</v>
      </c>
      <c r="Q220" s="235">
        <f t="shared" si="70"/>
        <v>1116.734243</v>
      </c>
      <c r="R220" s="235">
        <f t="shared" si="70"/>
        <v>1371.273719</v>
      </c>
      <c r="S220" s="235"/>
      <c r="T220" s="1"/>
      <c r="U220" s="1"/>
      <c r="V220" s="1"/>
      <c r="W220" s="1"/>
      <c r="X220" s="1"/>
      <c r="Y220" s="1"/>
      <c r="Z220" s="1"/>
    </row>
    <row r="221" ht="15.75" customHeight="1" outlineLevel="1">
      <c r="A221" s="1"/>
      <c r="B221" s="1"/>
      <c r="C221" s="1"/>
      <c r="D221" s="2"/>
      <c r="E221" s="2"/>
      <c r="F221" s="2"/>
      <c r="G221" s="1"/>
      <c r="H221" s="1"/>
      <c r="I221" s="271"/>
      <c r="J221" s="271"/>
      <c r="K221" s="271"/>
      <c r="L221" s="271"/>
      <c r="M221" s="271"/>
      <c r="N221" s="271"/>
      <c r="O221" s="271"/>
      <c r="P221" s="271"/>
      <c r="Q221" s="271"/>
      <c r="R221" s="271"/>
      <c r="S221" s="271"/>
      <c r="T221" s="1"/>
      <c r="U221" s="1"/>
      <c r="V221" s="1"/>
      <c r="W221" s="1"/>
      <c r="X221" s="1"/>
      <c r="Y221" s="1"/>
      <c r="Z221" s="1"/>
    </row>
    <row r="222" ht="15.75" customHeight="1" outlineLevel="1">
      <c r="A222" s="1"/>
      <c r="B222" s="1"/>
      <c r="C222" s="1" t="s">
        <v>228</v>
      </c>
      <c r="D222" s="61" t="s">
        <v>66</v>
      </c>
      <c r="E222" s="2"/>
      <c r="F222" s="2"/>
      <c r="G222" s="1"/>
      <c r="H222" s="1"/>
      <c r="I222" s="272">
        <f t="shared" ref="I222:S222" si="71">+$D$140</f>
        <v>0.05330286932</v>
      </c>
      <c r="J222" s="272">
        <f t="shared" si="71"/>
        <v>0.05330286932</v>
      </c>
      <c r="K222" s="272">
        <f t="shared" si="71"/>
        <v>0.05330286932</v>
      </c>
      <c r="L222" s="272">
        <f t="shared" si="71"/>
        <v>0.05330286932</v>
      </c>
      <c r="M222" s="272">
        <f t="shared" si="71"/>
        <v>0.05330286932</v>
      </c>
      <c r="N222" s="272">
        <f t="shared" si="71"/>
        <v>0.05330286932</v>
      </c>
      <c r="O222" s="272">
        <f t="shared" si="71"/>
        <v>0.05330286932</v>
      </c>
      <c r="P222" s="272">
        <f t="shared" si="71"/>
        <v>0.05330286932</v>
      </c>
      <c r="Q222" s="272">
        <f t="shared" si="71"/>
        <v>0.05330286932</v>
      </c>
      <c r="R222" s="272">
        <f t="shared" si="71"/>
        <v>0.05330286932</v>
      </c>
      <c r="S222" s="272">
        <f t="shared" si="71"/>
        <v>0.05330286932</v>
      </c>
      <c r="T222" s="1"/>
      <c r="U222" s="1"/>
      <c r="V222" s="1"/>
      <c r="W222" s="1"/>
      <c r="X222" s="1"/>
      <c r="Y222" s="1"/>
      <c r="Z222" s="1"/>
    </row>
    <row r="223" ht="15.75" customHeight="1" outlineLevel="1">
      <c r="A223" s="1"/>
      <c r="B223" s="1"/>
      <c r="C223" s="1" t="s">
        <v>230</v>
      </c>
      <c r="D223" s="61" t="s">
        <v>231</v>
      </c>
      <c r="E223" s="2"/>
      <c r="F223" s="2"/>
      <c r="G223" s="1"/>
      <c r="H223" s="1"/>
      <c r="I223" s="271">
        <f t="shared" ref="I223:S223" si="72">1/((1+I222)^I225)</f>
        <v>1</v>
      </c>
      <c r="J223" s="271">
        <f t="shared" si="72"/>
        <v>0.9493945465</v>
      </c>
      <c r="K223" s="271">
        <f t="shared" si="72"/>
        <v>0.901350005</v>
      </c>
      <c r="L223" s="271">
        <f t="shared" si="72"/>
        <v>0.8557367793</v>
      </c>
      <c r="M223" s="271">
        <f t="shared" si="72"/>
        <v>0.8124318315</v>
      </c>
      <c r="N223" s="271">
        <f t="shared" si="72"/>
        <v>0.7713183503</v>
      </c>
      <c r="O223" s="271">
        <f t="shared" si="72"/>
        <v>0.7322854354</v>
      </c>
      <c r="P223" s="271">
        <f t="shared" si="72"/>
        <v>0.6952277989</v>
      </c>
      <c r="Q223" s="271">
        <f t="shared" si="72"/>
        <v>0.6600454809</v>
      </c>
      <c r="R223" s="271">
        <f t="shared" si="72"/>
        <v>0.62664358</v>
      </c>
      <c r="S223" s="271">
        <f t="shared" si="72"/>
        <v>0.5949319975</v>
      </c>
      <c r="T223" s="1"/>
      <c r="U223" s="1"/>
      <c r="V223" s="1"/>
      <c r="W223" s="1"/>
      <c r="X223" s="1"/>
      <c r="Y223" s="1"/>
      <c r="Z223" s="1"/>
    </row>
    <row r="224" ht="15.75" customHeight="1" outlineLevel="1">
      <c r="A224" s="1"/>
      <c r="B224" s="1"/>
      <c r="C224" s="1"/>
      <c r="D224" s="2"/>
      <c r="E224" s="2"/>
      <c r="F224" s="2"/>
      <c r="G224" s="1"/>
      <c r="H224" s="1"/>
      <c r="I224" s="1"/>
      <c r="J224" s="65"/>
      <c r="K224" s="1"/>
      <c r="L224" s="1"/>
      <c r="M224" s="1"/>
      <c r="N224" s="1"/>
      <c r="O224" s="1"/>
      <c r="P224" s="1"/>
      <c r="Q224" s="1"/>
      <c r="R224" s="1"/>
      <c r="S224" s="1"/>
      <c r="T224" s="1"/>
      <c r="U224" s="1"/>
      <c r="V224" s="1"/>
      <c r="W224" s="1"/>
      <c r="X224" s="1"/>
      <c r="Y224" s="1"/>
      <c r="Z224" s="1"/>
    </row>
    <row r="225" ht="15.75" customHeight="1" outlineLevel="1">
      <c r="A225" s="1"/>
      <c r="B225" s="1"/>
      <c r="C225" s="1" t="s">
        <v>232</v>
      </c>
      <c r="D225" s="61" t="s">
        <v>231</v>
      </c>
      <c r="E225" s="2"/>
      <c r="F225" s="2"/>
      <c r="G225" s="1"/>
      <c r="H225" s="1"/>
      <c r="I225" s="274" t="str">
        <f>+Stub_Period</f>
        <v/>
      </c>
      <c r="J225" s="274">
        <f t="shared" ref="J225:S225" si="73">+I225+1</f>
        <v>1</v>
      </c>
      <c r="K225" s="274">
        <f t="shared" si="73"/>
        <v>2</v>
      </c>
      <c r="L225" s="274">
        <f t="shared" si="73"/>
        <v>3</v>
      </c>
      <c r="M225" s="274">
        <f t="shared" si="73"/>
        <v>4</v>
      </c>
      <c r="N225" s="274">
        <f t="shared" si="73"/>
        <v>5</v>
      </c>
      <c r="O225" s="274">
        <f t="shared" si="73"/>
        <v>6</v>
      </c>
      <c r="P225" s="274">
        <f t="shared" si="73"/>
        <v>7</v>
      </c>
      <c r="Q225" s="274">
        <f t="shared" si="73"/>
        <v>8</v>
      </c>
      <c r="R225" s="274">
        <f t="shared" si="73"/>
        <v>9</v>
      </c>
      <c r="S225" s="274">
        <f t="shared" si="73"/>
        <v>10</v>
      </c>
      <c r="T225" s="1"/>
      <c r="U225" s="1"/>
      <c r="V225" s="1"/>
      <c r="W225" s="1"/>
      <c r="X225" s="1"/>
      <c r="Y225" s="1"/>
      <c r="Z225" s="1"/>
    </row>
    <row r="226" ht="15.75" customHeight="1" outlineLevel="1">
      <c r="A226" s="1"/>
      <c r="B226" s="1"/>
      <c r="C226" s="1"/>
      <c r="D226" s="2"/>
      <c r="E226" s="2"/>
      <c r="F226" s="2"/>
      <c r="G226" s="1"/>
      <c r="H226" s="1"/>
      <c r="I226" s="1"/>
      <c r="J226" s="1"/>
      <c r="K226" s="1"/>
      <c r="L226" s="1"/>
      <c r="M226" s="1"/>
      <c r="N226" s="1"/>
      <c r="O226" s="1"/>
      <c r="P226" s="1"/>
      <c r="Q226" s="1"/>
      <c r="R226" s="1"/>
      <c r="S226" s="1"/>
      <c r="T226" s="1"/>
      <c r="U226" s="1"/>
      <c r="V226" s="1"/>
      <c r="W226" s="1"/>
      <c r="X226" s="1"/>
      <c r="Y226" s="1"/>
      <c r="Z226" s="1"/>
    </row>
    <row r="227" ht="15.75" customHeight="1" outlineLevel="1">
      <c r="A227" s="1"/>
      <c r="B227" s="1"/>
      <c r="C227" s="2" t="s">
        <v>234</v>
      </c>
      <c r="D227" s="61" t="s">
        <v>66</v>
      </c>
      <c r="E227" s="19" t="str">
        <f t="shared" ref="E227:S227" si="74">IFERROR(+E217/D217-1,"N/A")</f>
        <v>N/A</v>
      </c>
      <c r="F227" s="19">
        <f t="shared" si="74"/>
        <v>0.07632318631</v>
      </c>
      <c r="G227" s="19">
        <f t="shared" si="74"/>
        <v>-0.5719404912</v>
      </c>
      <c r="H227" s="19">
        <f t="shared" si="74"/>
        <v>1.999014555</v>
      </c>
      <c r="I227" s="19">
        <f t="shared" si="74"/>
        <v>-0.5659819528</v>
      </c>
      <c r="J227" s="19">
        <f t="shared" si="74"/>
        <v>0.5580530852</v>
      </c>
      <c r="K227" s="19">
        <f t="shared" si="74"/>
        <v>-0.192105615</v>
      </c>
      <c r="L227" s="19">
        <f t="shared" si="74"/>
        <v>0.2950966025</v>
      </c>
      <c r="M227" s="19">
        <f t="shared" si="74"/>
        <v>-0.2472725771</v>
      </c>
      <c r="N227" s="19">
        <f t="shared" si="74"/>
        <v>0.3504823851</v>
      </c>
      <c r="O227" s="19">
        <f t="shared" si="74"/>
        <v>-0.2296855164</v>
      </c>
      <c r="P227" s="19">
        <f t="shared" si="74"/>
        <v>0.3106551992</v>
      </c>
      <c r="Q227" s="19">
        <f t="shared" si="74"/>
        <v>-0.227891695</v>
      </c>
      <c r="R227" s="19">
        <f t="shared" si="74"/>
        <v>0.2933843046</v>
      </c>
      <c r="S227" s="19">
        <f t="shared" si="74"/>
        <v>-0.1854071471</v>
      </c>
      <c r="T227" s="1"/>
      <c r="U227" s="1"/>
      <c r="V227" s="1"/>
      <c r="W227" s="1"/>
      <c r="X227" s="1"/>
      <c r="Y227" s="1"/>
      <c r="Z227" s="1"/>
    </row>
    <row r="228" ht="15.75" customHeight="1" outlineLevel="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outlineLevel="1">
      <c r="A229" s="1"/>
      <c r="B229" s="1"/>
      <c r="C229" s="278" t="s">
        <v>236</v>
      </c>
      <c r="D229" s="280" t="s">
        <v>63</v>
      </c>
      <c r="E229" s="281">
        <f t="shared" ref="E229:S229" si="75">+E191+E199+E200</f>
        <v>2597.776652</v>
      </c>
      <c r="F229" s="281">
        <f t="shared" si="75"/>
        <v>1844.507</v>
      </c>
      <c r="G229" s="281">
        <f t="shared" si="75"/>
        <v>2525.30024</v>
      </c>
      <c r="H229" s="281">
        <f t="shared" si="75"/>
        <v>3051.01065</v>
      </c>
      <c r="I229" s="281">
        <f t="shared" si="75"/>
        <v>2557.0694</v>
      </c>
      <c r="J229" s="281">
        <f t="shared" si="75"/>
        <v>2270.025343</v>
      </c>
      <c r="K229" s="281">
        <f t="shared" si="75"/>
        <v>2303.111048</v>
      </c>
      <c r="L229" s="281">
        <f t="shared" si="75"/>
        <v>2319.734783</v>
      </c>
      <c r="M229" s="281">
        <f t="shared" si="75"/>
        <v>2356.842377</v>
      </c>
      <c r="N229" s="281">
        <f t="shared" si="75"/>
        <v>2359.959056</v>
      </c>
      <c r="O229" s="281">
        <f t="shared" si="75"/>
        <v>2436.821915</v>
      </c>
      <c r="P229" s="281">
        <f t="shared" si="75"/>
        <v>2422.402758</v>
      </c>
      <c r="Q229" s="281">
        <f t="shared" si="75"/>
        <v>2433.63192</v>
      </c>
      <c r="R229" s="281">
        <f t="shared" si="75"/>
        <v>2401.765681</v>
      </c>
      <c r="S229" s="281">
        <f t="shared" si="75"/>
        <v>2222.994627</v>
      </c>
      <c r="T229" s="1"/>
      <c r="U229" s="1"/>
      <c r="V229" s="1"/>
      <c r="W229" s="1"/>
      <c r="X229" s="1"/>
      <c r="Y229" s="1"/>
      <c r="Z229" s="1"/>
    </row>
    <row r="230" ht="15.75" customHeight="1" outlineLevel="1">
      <c r="A230" s="1"/>
      <c r="B230" s="1"/>
      <c r="C230" s="136" t="s">
        <v>237</v>
      </c>
      <c r="D230" s="61" t="s">
        <v>66</v>
      </c>
      <c r="E230" s="19" t="str">
        <f t="shared" ref="E230:S230" si="76">IFERROR(+E229/D229-1,"N/A")</f>
        <v>N/A</v>
      </c>
      <c r="F230" s="19">
        <f t="shared" si="76"/>
        <v>-0.2899670577</v>
      </c>
      <c r="G230" s="19">
        <f t="shared" si="76"/>
        <v>0.3690922507</v>
      </c>
      <c r="H230" s="19">
        <f t="shared" si="76"/>
        <v>0.2081773888</v>
      </c>
      <c r="I230" s="19">
        <f t="shared" si="76"/>
        <v>-0.1618943054</v>
      </c>
      <c r="J230" s="19">
        <f t="shared" si="76"/>
        <v>-0.1122550904</v>
      </c>
      <c r="K230" s="19">
        <f t="shared" si="76"/>
        <v>0.01457503739</v>
      </c>
      <c r="L230" s="19">
        <f t="shared" si="76"/>
        <v>0.007217947795</v>
      </c>
      <c r="M230" s="19">
        <f t="shared" si="76"/>
        <v>0.0159964813</v>
      </c>
      <c r="N230" s="19">
        <f t="shared" si="76"/>
        <v>0.001322395969</v>
      </c>
      <c r="O230" s="19">
        <f t="shared" si="76"/>
        <v>0.03256957302</v>
      </c>
      <c r="P230" s="19">
        <f t="shared" si="76"/>
        <v>-0.005917197464</v>
      </c>
      <c r="Q230" s="19">
        <f t="shared" si="76"/>
        <v>0.004635547145</v>
      </c>
      <c r="R230" s="19">
        <f t="shared" si="76"/>
        <v>-0.01309410802</v>
      </c>
      <c r="S230" s="19">
        <f t="shared" si="76"/>
        <v>-0.07443317886</v>
      </c>
      <c r="T230" s="1"/>
      <c r="U230" s="1"/>
      <c r="V230" s="1"/>
      <c r="W230" s="1"/>
      <c r="X230" s="1"/>
      <c r="Y230" s="1"/>
      <c r="Z230" s="1"/>
    </row>
    <row r="231" ht="15.75" customHeight="1" outlineLevel="1">
      <c r="A231" s="1"/>
      <c r="B231" s="1"/>
      <c r="C231" s="1"/>
      <c r="D231" s="2"/>
      <c r="E231" s="2"/>
      <c r="F231" s="2"/>
      <c r="G231" s="1"/>
      <c r="H231" s="1"/>
      <c r="I231" s="1"/>
      <c r="J231" s="1"/>
      <c r="K231" s="1"/>
      <c r="L231" s="1"/>
      <c r="M231" s="1"/>
      <c r="N231" s="1"/>
      <c r="O231" s="1"/>
      <c r="P231" s="1"/>
      <c r="Q231" s="1"/>
      <c r="R231" s="1"/>
      <c r="S231" s="1"/>
      <c r="T231" s="1"/>
      <c r="U231" s="1"/>
      <c r="V231" s="1"/>
      <c r="W231" s="1"/>
      <c r="X231" s="1"/>
      <c r="Y231" s="1"/>
      <c r="Z231" s="1"/>
    </row>
    <row r="232" ht="15.75" customHeight="1" outlineLevel="1">
      <c r="A232" s="1"/>
      <c r="B232" s="1"/>
      <c r="C232" s="278" t="s">
        <v>238</v>
      </c>
      <c r="D232" s="280" t="s">
        <v>63</v>
      </c>
      <c r="E232" s="281">
        <f>(+E191+E201)*(1-Tax_Rate)</f>
        <v>2099.263313</v>
      </c>
      <c r="F232" s="281">
        <f>(+F191+F201)*(1-Tax_Rate)</f>
        <v>1490.546107</v>
      </c>
      <c r="G232" s="281">
        <f>(+G191+G201)*(1-Tax_Rate)</f>
        <v>2040.695124</v>
      </c>
      <c r="H232" s="281">
        <f>(+H191+H201)*(1-Tax_Rate)</f>
        <v>2465.521706</v>
      </c>
      <c r="I232" s="281">
        <f>(+I191+I201)*(1-Tax_Rate)</f>
        <v>2066.367782</v>
      </c>
      <c r="J232" s="281">
        <f>(+J191+J201)*(1-Tax_Rate)</f>
        <v>1834.40748</v>
      </c>
      <c r="K232" s="281">
        <f>(+K191+K201)*(1-Tax_Rate)</f>
        <v>1861.144038</v>
      </c>
      <c r="L232" s="281">
        <f>(+L191+L201)*(1-Tax_Rate)</f>
        <v>1874.577678</v>
      </c>
      <c r="M232" s="281">
        <f>(+M191+M201)*(1-Tax_Rate)</f>
        <v>1904.564325</v>
      </c>
      <c r="N232" s="281">
        <f>(+N191+N201)*(1-Tax_Rate)</f>
        <v>1907.082913</v>
      </c>
      <c r="O232" s="281">
        <f>(+O191+O201)*(1-Tax_Rate)</f>
        <v>1969.195789</v>
      </c>
      <c r="P232" s="281">
        <f>(+P191+P201)*(1-Tax_Rate)</f>
        <v>1957.543669</v>
      </c>
      <c r="Q232" s="281">
        <f>(+Q191+Q201)*(1-Tax_Rate)</f>
        <v>1966.617955</v>
      </c>
      <c r="R232" s="281">
        <f>(+R191+R201)*(1-Tax_Rate)</f>
        <v>1940.866847</v>
      </c>
      <c r="S232" s="281">
        <f>(+S191+S201)*(1-Tax_Rate)</f>
        <v>1796.401958</v>
      </c>
      <c r="T232" s="1"/>
      <c r="U232" s="1"/>
      <c r="V232" s="1"/>
      <c r="W232" s="1"/>
      <c r="X232" s="1"/>
      <c r="Y232" s="1"/>
      <c r="Z232" s="1"/>
    </row>
    <row r="233" ht="15.75" customHeight="1" outlineLevel="1">
      <c r="A233" s="1"/>
      <c r="B233" s="1"/>
      <c r="C233" s="136" t="s">
        <v>239</v>
      </c>
      <c r="D233" s="61" t="s">
        <v>66</v>
      </c>
      <c r="E233" s="19" t="str">
        <f t="shared" ref="E233:S233" si="77">IFERROR(+E232/D232-1,"N/A")</f>
        <v>N/A</v>
      </c>
      <c r="F233" s="19">
        <f t="shared" si="77"/>
        <v>-0.2899670577</v>
      </c>
      <c r="G233" s="19">
        <f t="shared" si="77"/>
        <v>0.3690922507</v>
      </c>
      <c r="H233" s="19">
        <f t="shared" si="77"/>
        <v>0.2081773888</v>
      </c>
      <c r="I233" s="19">
        <f t="shared" si="77"/>
        <v>-0.1618943054</v>
      </c>
      <c r="J233" s="19">
        <f t="shared" si="77"/>
        <v>-0.1122550904</v>
      </c>
      <c r="K233" s="19">
        <f t="shared" si="77"/>
        <v>0.01457503739</v>
      </c>
      <c r="L233" s="19">
        <f t="shared" si="77"/>
        <v>0.007217947795</v>
      </c>
      <c r="M233" s="19">
        <f t="shared" si="77"/>
        <v>0.0159964813</v>
      </c>
      <c r="N233" s="19">
        <f t="shared" si="77"/>
        <v>0.001322395969</v>
      </c>
      <c r="O233" s="19">
        <f t="shared" si="77"/>
        <v>0.03256957302</v>
      </c>
      <c r="P233" s="19">
        <f t="shared" si="77"/>
        <v>-0.005917197464</v>
      </c>
      <c r="Q233" s="19">
        <f t="shared" si="77"/>
        <v>0.004635547145</v>
      </c>
      <c r="R233" s="19">
        <f t="shared" si="77"/>
        <v>-0.01309410802</v>
      </c>
      <c r="S233" s="19">
        <f t="shared" si="77"/>
        <v>-0.07443317886</v>
      </c>
      <c r="T233" s="1"/>
      <c r="U233" s="1"/>
      <c r="V233" s="1"/>
      <c r="W233" s="1"/>
      <c r="X233" s="1"/>
      <c r="Y233" s="1"/>
      <c r="Z233" s="1"/>
    </row>
    <row r="234" ht="15.75" customHeight="1">
      <c r="A234" s="1"/>
      <c r="B234" s="1"/>
      <c r="C234" s="1"/>
      <c r="D234" s="2"/>
      <c r="E234" s="2"/>
      <c r="F234" s="2"/>
      <c r="G234" s="1"/>
      <c r="H234" s="1"/>
      <c r="I234" s="1"/>
      <c r="J234" s="1"/>
      <c r="K234" s="1"/>
      <c r="L234" s="1"/>
      <c r="M234" s="1"/>
      <c r="N234" s="1"/>
      <c r="O234" s="1"/>
      <c r="P234" s="1"/>
      <c r="Q234" s="1"/>
      <c r="R234" s="1"/>
      <c r="S234" s="1"/>
      <c r="T234" s="1"/>
      <c r="U234" s="1"/>
      <c r="V234" s="1"/>
      <c r="W234" s="1"/>
      <c r="X234" s="1"/>
      <c r="Y234" s="1"/>
      <c r="Z234" s="1"/>
    </row>
    <row r="235" ht="15.75" customHeight="1">
      <c r="A235" s="1"/>
      <c r="B235" s="44" t="s">
        <v>240</v>
      </c>
      <c r="C235" s="44"/>
      <c r="D235" s="185"/>
      <c r="E235" s="186"/>
      <c r="F235" s="186"/>
      <c r="G235" s="191"/>
      <c r="H235" s="191"/>
      <c r="I235" s="191"/>
      <c r="J235" s="191"/>
      <c r="K235" s="191"/>
      <c r="L235" s="191"/>
      <c r="M235" s="191"/>
      <c r="N235" s="191"/>
      <c r="O235" s="191"/>
      <c r="P235" s="191"/>
      <c r="Q235" s="191"/>
      <c r="R235" s="191"/>
      <c r="S235" s="1"/>
      <c r="T235" s="1"/>
      <c r="U235" s="1"/>
      <c r="V235" s="1"/>
      <c r="W235" s="1"/>
      <c r="X235" s="1"/>
      <c r="Y235" s="1"/>
      <c r="Z235" s="1"/>
    </row>
    <row r="236" ht="15.75" customHeight="1" outlineLevel="1">
      <c r="A236" s="1"/>
      <c r="B236" s="1"/>
      <c r="C236" s="1"/>
      <c r="D236" s="2"/>
      <c r="E236" s="2"/>
      <c r="F236" s="2"/>
      <c r="G236" s="1"/>
      <c r="H236" s="1"/>
      <c r="I236" s="1"/>
      <c r="J236" s="1"/>
      <c r="K236" s="1"/>
      <c r="L236" s="1"/>
      <c r="M236" s="1"/>
      <c r="N236" s="1"/>
      <c r="O236" s="1"/>
      <c r="P236" s="1"/>
      <c r="Q236" s="1"/>
      <c r="R236" s="1"/>
      <c r="S236" s="1"/>
      <c r="T236" s="1"/>
      <c r="U236" s="1"/>
      <c r="V236" s="1"/>
      <c r="W236" s="1"/>
      <c r="X236" s="1"/>
      <c r="Y236" s="1"/>
      <c r="Z236" s="1"/>
    </row>
    <row r="237" ht="15.75" customHeight="1" outlineLevel="1">
      <c r="A237" s="1"/>
      <c r="B237" s="1"/>
      <c r="C237" s="4" t="s">
        <v>242</v>
      </c>
      <c r="D237" s="2"/>
      <c r="E237" s="2"/>
      <c r="F237" s="1"/>
      <c r="G237" s="1"/>
      <c r="H237" s="1"/>
      <c r="I237" s="1"/>
      <c r="J237" s="1"/>
      <c r="K237" s="1"/>
      <c r="L237" s="1"/>
      <c r="M237" s="1"/>
      <c r="N237" s="1"/>
      <c r="O237" s="1"/>
      <c r="P237" s="1"/>
      <c r="Q237" s="1"/>
      <c r="R237" s="1"/>
      <c r="S237" s="1"/>
      <c r="T237" s="1"/>
      <c r="U237" s="1"/>
      <c r="V237" s="1"/>
      <c r="W237" s="1"/>
      <c r="X237" s="1"/>
      <c r="Y237" s="1"/>
      <c r="Z237" s="1"/>
    </row>
    <row r="238" ht="15.75" customHeight="1" outlineLevel="1">
      <c r="A238" s="1"/>
      <c r="B238" s="1"/>
      <c r="C238" s="2"/>
      <c r="D238" s="2"/>
      <c r="E238" s="2"/>
      <c r="F238" s="1"/>
      <c r="G238" s="1"/>
      <c r="H238" s="1"/>
      <c r="I238" s="1"/>
      <c r="J238" s="1"/>
      <c r="K238" s="1"/>
      <c r="L238" s="1"/>
      <c r="M238" s="1"/>
      <c r="N238" s="1"/>
      <c r="O238" s="1"/>
      <c r="P238" s="1"/>
      <c r="Q238" s="1"/>
      <c r="R238" s="1"/>
      <c r="S238" s="1"/>
      <c r="T238" s="1"/>
      <c r="U238" s="1"/>
      <c r="V238" s="1"/>
      <c r="W238" s="1"/>
      <c r="X238" s="1"/>
      <c r="Y238" s="1"/>
      <c r="Z238" s="1"/>
    </row>
    <row r="239" ht="15.75" customHeight="1" outlineLevel="1">
      <c r="A239" s="1"/>
      <c r="B239" s="1"/>
      <c r="C239" s="292"/>
      <c r="D239" s="293"/>
      <c r="E239" s="294" t="s">
        <v>243</v>
      </c>
      <c r="F239" s="294"/>
      <c r="G239" s="294"/>
      <c r="H239" s="294"/>
      <c r="I239" s="294"/>
      <c r="J239" s="294"/>
      <c r="K239" s="294"/>
      <c r="L239" s="294"/>
      <c r="M239" s="295"/>
      <c r="N239" s="1"/>
      <c r="O239" s="1"/>
      <c r="P239" s="1"/>
      <c r="Q239" s="1"/>
      <c r="R239" s="1"/>
      <c r="S239" s="1"/>
      <c r="T239" s="1"/>
      <c r="U239" s="1"/>
      <c r="V239" s="1"/>
      <c r="W239" s="1"/>
      <c r="X239" s="1"/>
      <c r="Y239" s="1"/>
      <c r="Z239" s="1"/>
    </row>
    <row r="240" ht="15.75" customHeight="1" outlineLevel="1">
      <c r="A240" s="1"/>
      <c r="B240" s="1"/>
      <c r="C240" s="297"/>
      <c r="D240" s="299">
        <f>N168</f>
        <v>56.96261824</v>
      </c>
      <c r="E240" s="301">
        <v>0.005</v>
      </c>
      <c r="F240" s="301">
        <f t="shared" ref="F240:M240" si="78">+E240+0.25%</f>
        <v>0.0075</v>
      </c>
      <c r="G240" s="301">
        <f t="shared" si="78"/>
        <v>0.01</v>
      </c>
      <c r="H240" s="301">
        <f t="shared" si="78"/>
        <v>0.0125</v>
      </c>
      <c r="I240" s="301">
        <f t="shared" si="78"/>
        <v>0.015</v>
      </c>
      <c r="J240" s="301">
        <f t="shared" si="78"/>
        <v>0.0175</v>
      </c>
      <c r="K240" s="301">
        <f t="shared" si="78"/>
        <v>0.02</v>
      </c>
      <c r="L240" s="301">
        <f t="shared" si="78"/>
        <v>0.0225</v>
      </c>
      <c r="M240" s="302">
        <f t="shared" si="78"/>
        <v>0.025</v>
      </c>
      <c r="X240" s="1"/>
      <c r="Y240" s="1"/>
      <c r="Z240" s="1"/>
    </row>
    <row r="241" ht="15.75" customHeight="1" outlineLevel="1">
      <c r="A241" s="1"/>
      <c r="B241" s="1"/>
      <c r="C241" s="304" t="s">
        <v>245</v>
      </c>
      <c r="D241" s="305">
        <v>0.05</v>
      </c>
      <c r="E241" s="307">
        <v>56.883640986894086</v>
      </c>
      <c r="F241" s="172">
        <v>58.84196100102946</v>
      </c>
      <c r="G241" s="154">
        <v>61.04507101693176</v>
      </c>
      <c r="H241" s="172">
        <v>63.54192903495436</v>
      </c>
      <c r="I241" s="172">
        <v>66.39548105555163</v>
      </c>
      <c r="J241" s="172">
        <v>69.68804107931768</v>
      </c>
      <c r="K241" s="172">
        <v>73.52936110704478</v>
      </c>
      <c r="L241" s="172">
        <v>78.06910295799494</v>
      </c>
      <c r="M241" s="57">
        <v>83.51679317913518</v>
      </c>
      <c r="X241" s="1"/>
      <c r="Y241" s="1"/>
      <c r="Z241" s="1"/>
    </row>
    <row r="242" ht="15.75" customHeight="1" outlineLevel="1">
      <c r="A242" s="1"/>
      <c r="B242" s="1"/>
      <c r="C242" s="308"/>
      <c r="D242" s="305">
        <f t="shared" ref="D242:D249" si="79">+D241+0.2%</f>
        <v>0.052</v>
      </c>
      <c r="E242" s="310">
        <v>54.76662870684484</v>
      </c>
      <c r="F242" s="311">
        <v>56.52693917094458</v>
      </c>
      <c r="G242" s="311">
        <v>58.49681040458002</v>
      </c>
      <c r="H242" s="311">
        <v>60.71603242728321</v>
      </c>
      <c r="I242" s="311">
        <v>63.23514931791927</v>
      </c>
      <c r="J242" s="311">
        <v>66.11935561299535</v>
      </c>
      <c r="K242" s="311">
        <v>69.45421914167707</v>
      </c>
      <c r="L242" s="311">
        <v>73.35431377691499</v>
      </c>
      <c r="M242" s="311">
        <v>77.97664815941921</v>
      </c>
      <c r="X242" s="1"/>
      <c r="Y242" s="1"/>
      <c r="Z242" s="1"/>
    </row>
    <row r="243" ht="15.75" customHeight="1" outlineLevel="1">
      <c r="A243" s="1"/>
      <c r="B243" s="1"/>
      <c r="C243" s="308"/>
      <c r="D243" s="305">
        <f t="shared" si="79"/>
        <v>0.054</v>
      </c>
      <c r="E243" s="312">
        <v>52.82136933230179</v>
      </c>
      <c r="F243" s="65">
        <v>54.40982195880431</v>
      </c>
      <c r="G243" s="311">
        <v>56.178780565591204</v>
      </c>
      <c r="H243" s="65">
        <v>58.16086671536446</v>
      </c>
      <c r="I243" s="65">
        <v>60.39706647408302</v>
      </c>
      <c r="J243" s="65">
        <v>62.93959496687261</v>
      </c>
      <c r="K243" s="65">
        <v>65.85602470860185</v>
      </c>
      <c r="L243" s="65">
        <v>69.23537980616112</v>
      </c>
      <c r="M243" s="65">
        <v>73.19738233433407</v>
      </c>
      <c r="X243" s="1"/>
      <c r="Y243" s="1"/>
      <c r="Z243" s="1"/>
    </row>
    <row r="244" ht="15.75" customHeight="1" outlineLevel="1">
      <c r="A244" s="1"/>
      <c r="B244" s="1"/>
      <c r="C244" s="308"/>
      <c r="D244" s="305">
        <f t="shared" si="79"/>
        <v>0.056</v>
      </c>
      <c r="E244" s="312">
        <v>51.02767906570399</v>
      </c>
      <c r="F244" s="65">
        <v>52.4661517503417</v>
      </c>
      <c r="G244" s="311">
        <v>54.06098016157044</v>
      </c>
      <c r="H244" s="65">
        <v>55.839122183285255</v>
      </c>
      <c r="I244" s="65">
        <v>57.83411079301407</v>
      </c>
      <c r="J244" s="65">
        <v>60.088188832577806</v>
      </c>
      <c r="K244" s="65">
        <v>62.65533326652539</v>
      </c>
      <c r="L244" s="65">
        <v>65.60563358613678</v>
      </c>
      <c r="M244" s="65">
        <v>69.03178879600807</v>
      </c>
      <c r="X244" s="1"/>
      <c r="Y244" s="1"/>
      <c r="Z244" s="1"/>
    </row>
    <row r="245" ht="15.75" customHeight="1" outlineLevel="1">
      <c r="A245" s="1"/>
      <c r="B245" s="1"/>
      <c r="C245" s="308"/>
      <c r="D245" s="305">
        <f t="shared" si="79"/>
        <v>0.058</v>
      </c>
      <c r="E245" s="312">
        <v>49.36842020943344</v>
      </c>
      <c r="F245" s="65">
        <v>50.67534483413503</v>
      </c>
      <c r="G245" s="311">
        <v>52.11840744057637</v>
      </c>
      <c r="H245" s="65">
        <v>53.72004835541787</v>
      </c>
      <c r="I245" s="65">
        <v>55.507926585938606</v>
      </c>
      <c r="J245" s="65">
        <v>57.516530523931046</v>
      </c>
      <c r="K245" s="65">
        <v>59.78942445376459</v>
      </c>
      <c r="L245" s="65">
        <v>62.38244428920848</v>
      </c>
      <c r="M245" s="65">
        <v>65.36834591790145</v>
      </c>
      <c r="X245" s="1"/>
      <c r="Y245" s="1"/>
      <c r="Z245" s="1"/>
    </row>
    <row r="246" ht="15.75" customHeight="1" outlineLevel="1">
      <c r="A246" s="1"/>
      <c r="B246" s="1"/>
      <c r="C246" s="308"/>
      <c r="D246" s="305">
        <f t="shared" si="79"/>
        <v>0.06</v>
      </c>
      <c r="E246" s="312">
        <v>47.828947341967606</v>
      </c>
      <c r="F246" s="65">
        <v>49.01995352917269</v>
      </c>
      <c r="G246" s="311">
        <v>50.33006033509829</v>
      </c>
      <c r="H246" s="65">
        <v>51.778073120594996</v>
      </c>
      <c r="I246" s="65">
        <v>53.38697621559134</v>
      </c>
      <c r="J246" s="65">
        <v>55.18516202764608</v>
      </c>
      <c r="K246" s="65">
        <v>57.20812106620766</v>
      </c>
      <c r="L246" s="65">
        <v>59.50080797657744</v>
      </c>
      <c r="M246" s="65">
        <v>62.12102158842863</v>
      </c>
      <c r="X246" s="1"/>
      <c r="Y246" s="1"/>
      <c r="Z246" s="1"/>
    </row>
    <row r="247" ht="15.75" customHeight="1" outlineLevel="1">
      <c r="A247" s="1"/>
      <c r="B247" s="1"/>
      <c r="C247" s="308"/>
      <c r="D247" s="305">
        <f t="shared" si="79"/>
        <v>0.062</v>
      </c>
      <c r="E247" s="312">
        <v>46.39667008819928</v>
      </c>
      <c r="F247" s="65">
        <v>47.48509077938449</v>
      </c>
      <c r="G247" s="311">
        <v>48.6781673062606</v>
      </c>
      <c r="H247" s="65">
        <v>49.99175661362923</v>
      </c>
      <c r="I247" s="65">
        <v>51.44508946433495</v>
      </c>
      <c r="J247" s="65">
        <v>53.061718140962675</v>
      </c>
      <c r="K247" s="65">
        <v>54.87080261242702</v>
      </c>
      <c r="L247" s="65">
        <v>56.90888511825394</v>
      </c>
      <c r="M247" s="65">
        <v>59.222384178922326</v>
      </c>
      <c r="X247" s="1"/>
      <c r="Y247" s="1"/>
      <c r="Z247" s="1"/>
    </row>
    <row r="248" ht="15.75" customHeight="1" outlineLevel="1">
      <c r="A248" s="1"/>
      <c r="B248" s="1"/>
      <c r="C248" s="308"/>
      <c r="D248" s="305">
        <f t="shared" si="79"/>
        <v>0.064</v>
      </c>
      <c r="E248" s="312">
        <v>45.060704817519245</v>
      </c>
      <c r="F248" s="65">
        <v>46.05797695784731</v>
      </c>
      <c r="G248" s="311">
        <v>47.14758911116872</v>
      </c>
      <c r="H248" s="65">
        <v>48.34298885219124</v>
      </c>
      <c r="I248" s="65">
        <v>49.6603681586242</v>
      </c>
      <c r="J248" s="65">
        <v>51.11940115392095</v>
      </c>
      <c r="K248" s="65">
        <v>52.74423335322868</v>
      </c>
      <c r="L248" s="65">
        <v>54.56482846811564</v>
      </c>
      <c r="M248" s="65">
        <v>56.618833213116325</v>
      </c>
      <c r="X248" s="1"/>
      <c r="Y248" s="1"/>
      <c r="Z248" s="1"/>
    </row>
    <row r="249" ht="15.75" customHeight="1" outlineLevel="1">
      <c r="A249" s="1"/>
      <c r="B249" s="1"/>
      <c r="C249" s="313"/>
      <c r="D249" s="314">
        <f t="shared" si="79"/>
        <v>0.066</v>
      </c>
      <c r="E249" s="312">
        <v>43.811594860020755</v>
      </c>
      <c r="F249" s="65">
        <v>44.727579633915326</v>
      </c>
      <c r="G249" s="311">
        <v>45.725348762621906</v>
      </c>
      <c r="H249" s="65">
        <v>46.81636734260946</v>
      </c>
      <c r="I249" s="65">
        <v>48.014348528478166</v>
      </c>
      <c r="J249" s="65">
        <v>49.33583292938487</v>
      </c>
      <c r="K249" s="65">
        <v>50.800956939085786</v>
      </c>
      <c r="L249" s="65">
        <v>52.43448600737302</v>
      </c>
      <c r="M249" s="65">
        <v>54.26722593764649</v>
      </c>
      <c r="X249" s="1"/>
      <c r="Y249" s="1"/>
      <c r="Z249" s="1"/>
    </row>
    <row r="250" ht="15.75" customHeight="1" outlineLevel="1">
      <c r="A250" s="1"/>
      <c r="B250" s="1"/>
      <c r="C250" s="2"/>
      <c r="D250" s="2"/>
      <c r="E250" s="2"/>
      <c r="F250" s="1"/>
      <c r="G250" s="1"/>
      <c r="H250" s="1"/>
      <c r="I250" s="1"/>
      <c r="J250" s="1"/>
      <c r="K250" s="1"/>
      <c r="L250" s="1"/>
      <c r="M250" s="1"/>
      <c r="N250" s="1"/>
      <c r="O250" s="1"/>
      <c r="P250" s="1"/>
      <c r="Q250" s="1"/>
      <c r="R250" s="1"/>
      <c r="S250" s="1"/>
      <c r="T250" s="1"/>
      <c r="U250" s="1"/>
      <c r="V250" s="1"/>
      <c r="W250" s="1"/>
      <c r="X250" s="1"/>
      <c r="Y250" s="1"/>
      <c r="Z250" s="1"/>
    </row>
    <row r="251" ht="15.75" customHeight="1" outlineLevel="1">
      <c r="A251" s="1"/>
      <c r="B251" s="1"/>
      <c r="C251" s="4" t="s">
        <v>249</v>
      </c>
      <c r="D251" s="2"/>
      <c r="E251" s="2"/>
      <c r="F251" s="1"/>
      <c r="G251" s="1"/>
      <c r="H251" s="1"/>
      <c r="I251" s="1"/>
      <c r="J251" s="1"/>
      <c r="K251" s="1"/>
      <c r="L251" s="1"/>
      <c r="M251" s="1"/>
      <c r="N251" s="1"/>
      <c r="O251" s="1"/>
      <c r="P251" s="1"/>
      <c r="Q251" s="1"/>
      <c r="R251" s="1"/>
      <c r="S251" s="1"/>
      <c r="T251" s="1"/>
      <c r="U251" s="1"/>
      <c r="V251" s="1"/>
      <c r="W251" s="1"/>
      <c r="X251" s="1"/>
      <c r="Y251" s="1"/>
      <c r="Z251" s="1"/>
    </row>
    <row r="252" ht="15.75" customHeight="1" outlineLevel="1">
      <c r="A252" s="1"/>
      <c r="B252" s="1"/>
      <c r="C252" s="2"/>
      <c r="D252" s="2"/>
      <c r="E252" s="2"/>
      <c r="F252" s="1"/>
      <c r="G252" s="1"/>
      <c r="H252" s="1"/>
      <c r="I252" s="1"/>
      <c r="J252" s="1"/>
      <c r="K252" s="1"/>
      <c r="L252" s="1"/>
      <c r="M252" s="1"/>
      <c r="N252" s="1"/>
      <c r="O252" s="1"/>
      <c r="P252" s="1"/>
      <c r="Q252" s="1"/>
      <c r="R252" s="1"/>
      <c r="S252" s="1"/>
      <c r="T252" s="1"/>
      <c r="U252" s="1"/>
      <c r="V252" s="1"/>
      <c r="W252" s="1"/>
      <c r="X252" s="1"/>
      <c r="Y252" s="1"/>
      <c r="Z252" s="1"/>
    </row>
    <row r="253" ht="15.75" customHeight="1" outlineLevel="1">
      <c r="A253" s="1"/>
      <c r="B253" s="1"/>
      <c r="C253" s="292"/>
      <c r="D253" s="293"/>
      <c r="E253" s="315" t="s">
        <v>250</v>
      </c>
      <c r="F253" s="290"/>
      <c r="G253" s="290"/>
      <c r="H253" s="290"/>
      <c r="I253" s="290"/>
      <c r="J253" s="290"/>
      <c r="K253" s="290"/>
      <c r="L253" s="290"/>
      <c r="M253" s="291"/>
      <c r="N253" s="1"/>
      <c r="O253" s="1"/>
      <c r="P253" s="1"/>
      <c r="Q253" s="1"/>
      <c r="R253" s="1"/>
      <c r="S253" s="1"/>
      <c r="T253" s="1"/>
      <c r="U253" s="1"/>
      <c r="V253" s="1"/>
      <c r="W253" s="1"/>
      <c r="X253" s="1"/>
      <c r="Y253" s="1"/>
      <c r="Z253" s="1"/>
    </row>
    <row r="254" ht="15.75" customHeight="1" outlineLevel="1">
      <c r="A254" s="1"/>
      <c r="B254" s="1"/>
      <c r="C254" s="297"/>
      <c r="D254" s="299">
        <f>+$I$168</f>
        <v>46.68147422</v>
      </c>
      <c r="E254" s="316">
        <v>10.0</v>
      </c>
      <c r="F254" s="316">
        <f t="shared" ref="F254:M254" si="80">+E254+0.55</f>
        <v>10.55</v>
      </c>
      <c r="G254" s="316">
        <f t="shared" si="80"/>
        <v>11.1</v>
      </c>
      <c r="H254" s="316">
        <f t="shared" si="80"/>
        <v>11.65</v>
      </c>
      <c r="I254" s="316">
        <f t="shared" si="80"/>
        <v>12.2</v>
      </c>
      <c r="J254" s="316">
        <f t="shared" si="80"/>
        <v>12.75</v>
      </c>
      <c r="K254" s="316">
        <f t="shared" si="80"/>
        <v>13.3</v>
      </c>
      <c r="L254" s="316">
        <f t="shared" si="80"/>
        <v>13.85</v>
      </c>
      <c r="M254" s="318">
        <f t="shared" si="80"/>
        <v>14.4</v>
      </c>
      <c r="N254" s="1"/>
      <c r="O254" s="1"/>
      <c r="P254" s="1"/>
      <c r="Q254" s="1"/>
      <c r="R254" s="1"/>
      <c r="S254" s="1"/>
      <c r="T254" s="1"/>
      <c r="U254" s="1"/>
      <c r="V254" s="1"/>
      <c r="W254" s="1"/>
      <c r="X254" s="1"/>
      <c r="Y254" s="1"/>
      <c r="Z254" s="1"/>
    </row>
    <row r="255" ht="15.75" customHeight="1" outlineLevel="1">
      <c r="A255" s="1"/>
      <c r="B255" s="1"/>
      <c r="C255" s="304" t="s">
        <v>245</v>
      </c>
      <c r="D255" s="305">
        <f t="shared" ref="D255:D263" si="81">+D241</f>
        <v>0.05</v>
      </c>
      <c r="E255" s="307">
        <v>43.77733207293909</v>
      </c>
      <c r="F255" s="172">
        <v>44.88751429588814</v>
      </c>
      <c r="G255" s="172">
        <v>45.99769651883719</v>
      </c>
      <c r="H255" s="154">
        <v>47.107878741786244</v>
      </c>
      <c r="I255" s="172">
        <v>48.21806096473529</v>
      </c>
      <c r="J255" s="172">
        <v>49.32824318768434</v>
      </c>
      <c r="K255" s="172">
        <v>50.43842541063339</v>
      </c>
      <c r="L255" s="172">
        <v>51.54860763358245</v>
      </c>
      <c r="M255" s="57">
        <v>52.6587898565315</v>
      </c>
      <c r="N255" s="1"/>
      <c r="O255" s="1"/>
      <c r="P255" s="1"/>
      <c r="Q255" s="1"/>
      <c r="R255" s="1"/>
      <c r="S255" s="1"/>
      <c r="T255" s="1"/>
      <c r="U255" s="1"/>
      <c r="V255" s="1"/>
      <c r="W255" s="1"/>
      <c r="X255" s="1"/>
      <c r="Y255" s="1"/>
      <c r="Z255" s="1"/>
    </row>
    <row r="256" ht="15.75" customHeight="1" outlineLevel="1">
      <c r="A256" s="1"/>
      <c r="B256" s="1"/>
      <c r="C256" s="308"/>
      <c r="D256" s="305">
        <f t="shared" si="81"/>
        <v>0.052</v>
      </c>
      <c r="E256" s="310">
        <v>43.27547559558594</v>
      </c>
      <c r="F256" s="311">
        <v>44.36680611882034</v>
      </c>
      <c r="G256" s="311">
        <v>45.458136642054754</v>
      </c>
      <c r="H256" s="311">
        <v>46.54946716528916</v>
      </c>
      <c r="I256" s="311">
        <v>47.64079768852357</v>
      </c>
      <c r="J256" s="311">
        <v>48.732128211757974</v>
      </c>
      <c r="K256" s="311">
        <v>49.823458734992386</v>
      </c>
      <c r="L256" s="311">
        <v>50.91478925822679</v>
      </c>
      <c r="M256" s="311">
        <v>52.0061197814612</v>
      </c>
      <c r="N256" s="1"/>
      <c r="O256" s="1"/>
      <c r="P256" s="1"/>
      <c r="Q256" s="1"/>
      <c r="R256" s="1"/>
      <c r="S256" s="1"/>
      <c r="T256" s="1"/>
      <c r="U256" s="1"/>
      <c r="V256" s="1"/>
      <c r="W256" s="1"/>
      <c r="X256" s="1"/>
      <c r="Y256" s="1"/>
      <c r="Z256" s="1"/>
    </row>
    <row r="257" ht="15.75" customHeight="1" outlineLevel="1">
      <c r="A257" s="1"/>
      <c r="B257" s="1"/>
      <c r="C257" s="308"/>
      <c r="D257" s="305">
        <f t="shared" si="81"/>
        <v>0.054</v>
      </c>
      <c r="E257" s="312">
        <v>42.782220239213395</v>
      </c>
      <c r="F257" s="65">
        <v>43.85505407600561</v>
      </c>
      <c r="G257" s="65">
        <v>44.927887912797814</v>
      </c>
      <c r="H257" s="311">
        <v>46.000721749590035</v>
      </c>
      <c r="I257" s="65">
        <v>47.073555586382255</v>
      </c>
      <c r="J257" s="65">
        <v>48.14638942317446</v>
      </c>
      <c r="K257" s="65">
        <v>49.219223259966675</v>
      </c>
      <c r="L257" s="65">
        <v>50.29205709675889</v>
      </c>
      <c r="M257" s="65">
        <v>51.36489093355111</v>
      </c>
      <c r="N257" s="1"/>
      <c r="O257" s="1"/>
      <c r="P257" s="1"/>
      <c r="Q257" s="1"/>
      <c r="R257" s="1"/>
      <c r="S257" s="1"/>
      <c r="T257" s="1"/>
      <c r="U257" s="1"/>
      <c r="V257" s="1"/>
      <c r="W257" s="1"/>
      <c r="X257" s="1"/>
      <c r="Y257" s="1"/>
      <c r="Z257" s="1"/>
    </row>
    <row r="258" ht="15.75" customHeight="1" outlineLevel="1">
      <c r="A258" s="1"/>
      <c r="B258" s="1"/>
      <c r="C258" s="308"/>
      <c r="D258" s="305">
        <f t="shared" si="81"/>
        <v>0.056</v>
      </c>
      <c r="E258" s="312">
        <v>42.29739668068028</v>
      </c>
      <c r="F258" s="65">
        <v>43.352081504012396</v>
      </c>
      <c r="G258" s="65">
        <v>44.40676632734452</v>
      </c>
      <c r="H258" s="311">
        <v>45.46145115067664</v>
      </c>
      <c r="I258" s="65">
        <v>46.51613597400876</v>
      </c>
      <c r="J258" s="65">
        <v>47.57082079734088</v>
      </c>
      <c r="K258" s="65">
        <v>48.625505620673</v>
      </c>
      <c r="L258" s="65">
        <v>49.68019044400512</v>
      </c>
      <c r="M258" s="65">
        <v>50.734875267337245</v>
      </c>
      <c r="N258" s="1"/>
      <c r="O258" s="1"/>
      <c r="P258" s="1"/>
      <c r="Q258" s="1"/>
      <c r="R258" s="1"/>
      <c r="S258" s="1"/>
      <c r="T258" s="1"/>
      <c r="U258" s="1"/>
      <c r="V258" s="1"/>
      <c r="W258" s="1"/>
      <c r="X258" s="1"/>
      <c r="Y258" s="1"/>
      <c r="Z258" s="1"/>
    </row>
    <row r="259" ht="15.75" customHeight="1" outlineLevel="1">
      <c r="A259" s="1"/>
      <c r="B259" s="1"/>
      <c r="C259" s="308"/>
      <c r="D259" s="305">
        <f t="shared" si="81"/>
        <v>0.058</v>
      </c>
      <c r="E259" s="312">
        <v>41.82083929625218</v>
      </c>
      <c r="F259" s="65">
        <v>42.857715604070684</v>
      </c>
      <c r="G259" s="65">
        <v>43.89459191188919</v>
      </c>
      <c r="H259" s="311">
        <v>44.9314682197077</v>
      </c>
      <c r="I259" s="65">
        <v>45.968344527526206</v>
      </c>
      <c r="J259" s="65">
        <v>47.00522083534471</v>
      </c>
      <c r="K259" s="65">
        <v>48.04209714316322</v>
      </c>
      <c r="L259" s="65">
        <v>49.07897345098172</v>
      </c>
      <c r="M259" s="65">
        <v>50.11584975880022</v>
      </c>
      <c r="N259" s="1"/>
      <c r="O259" s="1"/>
      <c r="P259" s="1"/>
      <c r="Q259" s="1"/>
      <c r="R259" s="1"/>
      <c r="S259" s="1"/>
      <c r="T259" s="1"/>
      <c r="U259" s="1"/>
      <c r="V259" s="1"/>
      <c r="W259" s="1"/>
      <c r="X259" s="1"/>
      <c r="Y259" s="1"/>
      <c r="Z259" s="1"/>
    </row>
    <row r="260" ht="15.75" customHeight="1" outlineLevel="1">
      <c r="A260" s="1"/>
      <c r="B260" s="1"/>
      <c r="C260" s="308"/>
      <c r="D260" s="305">
        <f t="shared" si="81"/>
        <v>0.06</v>
      </c>
      <c r="E260" s="312">
        <v>41.352386073343396</v>
      </c>
      <c r="F260" s="65">
        <v>42.37178734979094</v>
      </c>
      <c r="G260" s="65">
        <v>43.39118862623849</v>
      </c>
      <c r="H260" s="311">
        <v>44.41058990268603</v>
      </c>
      <c r="I260" s="65">
        <v>45.42999117913358</v>
      </c>
      <c r="J260" s="65">
        <v>46.44939245558112</v>
      </c>
      <c r="K260" s="65">
        <v>47.468793732028665</v>
      </c>
      <c r="L260" s="65">
        <v>48.48819500847621</v>
      </c>
      <c r="M260" s="65">
        <v>49.50759628492375</v>
      </c>
      <c r="N260" s="1"/>
      <c r="O260" s="1"/>
      <c r="P260" s="1"/>
      <c r="Q260" s="1"/>
      <c r="R260" s="1"/>
      <c r="S260" s="1"/>
      <c r="T260" s="1"/>
      <c r="U260" s="1"/>
      <c r="V260" s="1"/>
      <c r="W260" s="1"/>
      <c r="X260" s="1"/>
      <c r="Y260" s="1"/>
      <c r="Z260" s="1"/>
    </row>
    <row r="261" ht="15.75" customHeight="1" outlineLevel="1">
      <c r="A261" s="1"/>
      <c r="B261" s="1"/>
      <c r="C261" s="308"/>
      <c r="D261" s="305">
        <f t="shared" si="81"/>
        <v>0.062</v>
      </c>
      <c r="E261" s="312">
        <v>40.89187852453545</v>
      </c>
      <c r="F261" s="65">
        <v>41.89413139726501</v>
      </c>
      <c r="G261" s="65">
        <v>42.89638426999457</v>
      </c>
      <c r="H261" s="311">
        <v>43.898637142724134</v>
      </c>
      <c r="I261" s="65">
        <v>44.9008900154537</v>
      </c>
      <c r="J261" s="65">
        <v>45.90314288818326</v>
      </c>
      <c r="K261" s="65">
        <v>46.905395760912825</v>
      </c>
      <c r="L261" s="65">
        <v>47.907648633642374</v>
      </c>
      <c r="M261" s="65">
        <v>48.90990150637194</v>
      </c>
      <c r="N261" s="1"/>
      <c r="O261" s="1"/>
      <c r="P261" s="1"/>
      <c r="Q261" s="1"/>
      <c r="R261" s="1"/>
      <c r="S261" s="1"/>
      <c r="T261" s="1"/>
      <c r="U261" s="1"/>
      <c r="V261" s="1"/>
      <c r="W261" s="1"/>
      <c r="X261" s="1"/>
      <c r="Y261" s="1"/>
      <c r="Z261" s="1"/>
    </row>
    <row r="262" ht="15.75" customHeight="1" outlineLevel="1">
      <c r="A262" s="1"/>
      <c r="B262" s="1"/>
      <c r="C262" s="308"/>
      <c r="D262" s="305">
        <f t="shared" si="81"/>
        <v>0.064</v>
      </c>
      <c r="E262" s="312">
        <v>40.43916160380848</v>
      </c>
      <c r="F262" s="65">
        <v>41.42458599748218</v>
      </c>
      <c r="G262" s="65">
        <v>42.41001039115587</v>
      </c>
      <c r="H262" s="311">
        <v>43.39543478482957</v>
      </c>
      <c r="I262" s="65">
        <v>44.38085917850327</v>
      </c>
      <c r="J262" s="65">
        <v>45.36628357217697</v>
      </c>
      <c r="K262" s="65">
        <v>46.35170796585066</v>
      </c>
      <c r="L262" s="65">
        <v>47.337132359524354</v>
      </c>
      <c r="M262" s="65">
        <v>48.32255675319806</v>
      </c>
      <c r="N262" s="1"/>
      <c r="O262" s="1"/>
      <c r="P262" s="1"/>
      <c r="Q262" s="1"/>
      <c r="R262" s="1"/>
      <c r="S262" s="1"/>
      <c r="T262" s="1"/>
      <c r="U262" s="1"/>
      <c r="V262" s="1"/>
      <c r="W262" s="1"/>
      <c r="X262" s="1"/>
      <c r="Y262" s="1"/>
      <c r="Z262" s="1"/>
    </row>
    <row r="263" ht="15.75" customHeight="1" outlineLevel="1">
      <c r="A263" s="1"/>
      <c r="B263" s="1"/>
      <c r="C263" s="313"/>
      <c r="D263" s="314">
        <f t="shared" si="81"/>
        <v>0.066</v>
      </c>
      <c r="E263" s="312">
        <v>39.99408362492511</v>
      </c>
      <c r="F263" s="65">
        <v>40.96299291099716</v>
      </c>
      <c r="G263" s="65">
        <v>41.9319021970692</v>
      </c>
      <c r="H263" s="311">
        <v>42.90081148314125</v>
      </c>
      <c r="I263" s="65">
        <v>43.86972076921329</v>
      </c>
      <c r="J263" s="65">
        <v>44.83863005528532</v>
      </c>
      <c r="K263" s="65">
        <v>45.80753934135736</v>
      </c>
      <c r="L263" s="65">
        <v>46.77644862742941</v>
      </c>
      <c r="M263" s="65">
        <v>47.74535791350145</v>
      </c>
      <c r="N263" s="1"/>
      <c r="O263" s="1"/>
      <c r="P263" s="1"/>
      <c r="Q263" s="1"/>
      <c r="R263" s="1"/>
      <c r="S263" s="1"/>
      <c r="T263" s="1"/>
      <c r="U263" s="1"/>
      <c r="V263" s="1"/>
      <c r="W263" s="1"/>
      <c r="X263" s="1"/>
      <c r="Y263" s="1"/>
      <c r="Z263" s="1"/>
    </row>
    <row r="264" ht="15.75" customHeight="1" outlineLevel="1">
      <c r="A264" s="1"/>
      <c r="B264" s="1"/>
      <c r="C264" s="1"/>
      <c r="D264" s="2"/>
      <c r="E264" s="2"/>
      <c r="F264" s="2"/>
      <c r="G264" s="1"/>
      <c r="H264" s="1"/>
      <c r="I264" s="1"/>
      <c r="J264" s="1"/>
      <c r="K264" s="1"/>
      <c r="L264" s="1"/>
      <c r="M264" s="1"/>
      <c r="N264" s="1"/>
      <c r="O264" s="1"/>
      <c r="P264" s="1"/>
      <c r="Q264" s="1"/>
      <c r="R264" s="1"/>
      <c r="S264" s="1"/>
      <c r="T264" s="1"/>
      <c r="U264" s="1"/>
      <c r="V264" s="1"/>
      <c r="W264" s="1"/>
      <c r="X264" s="1"/>
      <c r="Y264" s="1"/>
      <c r="Z264" s="1"/>
    </row>
    <row r="265" ht="15.75" customHeight="1" outlineLevel="1">
      <c r="A265" s="1"/>
      <c r="B265" s="1"/>
      <c r="C265" s="1"/>
      <c r="D265" s="2"/>
      <c r="E265" s="2"/>
      <c r="F265" s="2"/>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N266" s="1"/>
      <c r="O266" s="1"/>
      <c r="P266" s="1"/>
      <c r="Q266" s="1"/>
      <c r="R266" s="1"/>
      <c r="S266" s="1"/>
      <c r="T266" s="1"/>
      <c r="U266" s="1"/>
      <c r="V266" s="1"/>
      <c r="W266" s="1"/>
      <c r="X266" s="1"/>
      <c r="Y266" s="1"/>
      <c r="Z266" s="1"/>
    </row>
    <row r="267" ht="15.75" customHeight="1">
      <c r="A267" s="1"/>
      <c r="B267" s="1"/>
      <c r="C267" s="1"/>
      <c r="N267" s="1"/>
      <c r="O267" s="1"/>
      <c r="P267" s="1"/>
      <c r="Q267" s="1"/>
      <c r="R267" s="1"/>
      <c r="S267" s="1"/>
      <c r="T267" s="1"/>
      <c r="U267" s="1"/>
      <c r="V267" s="1"/>
      <c r="W267" s="1"/>
      <c r="X267" s="1"/>
      <c r="Y267" s="1"/>
      <c r="Z267" s="1"/>
    </row>
    <row r="268" ht="15.75" customHeight="1">
      <c r="A268" s="1"/>
      <c r="B268" s="1"/>
      <c r="C268" s="1"/>
      <c r="N268" s="1"/>
      <c r="O268" s="1"/>
      <c r="P268" s="1"/>
      <c r="Q268" s="1"/>
      <c r="R268" s="1"/>
      <c r="S268" s="1"/>
      <c r="T268" s="1"/>
      <c r="U268" s="1"/>
      <c r="V268" s="1"/>
      <c r="W268" s="1"/>
      <c r="X268" s="1"/>
      <c r="Y268" s="1"/>
      <c r="Z268" s="1"/>
    </row>
    <row r="269" ht="15.75" customHeight="1">
      <c r="A269" s="1"/>
      <c r="B269" s="1"/>
      <c r="C269" s="1"/>
      <c r="N269" s="1"/>
      <c r="O269" s="1"/>
      <c r="P269" s="1"/>
      <c r="Q269" s="1"/>
      <c r="R269" s="1"/>
      <c r="S269" s="1"/>
      <c r="T269" s="1"/>
      <c r="U269" s="1"/>
      <c r="V269" s="1"/>
      <c r="W269" s="1"/>
      <c r="X269" s="1"/>
      <c r="Y269" s="1"/>
      <c r="Z269" s="1"/>
    </row>
    <row r="270" ht="15.75" customHeight="1">
      <c r="A270" s="1"/>
      <c r="B270" s="1"/>
      <c r="C270" s="1"/>
      <c r="N270" s="1"/>
      <c r="O270" s="1"/>
      <c r="P270" s="1"/>
      <c r="Q270" s="1"/>
      <c r="R270" s="1"/>
      <c r="S270" s="1"/>
      <c r="T270" s="1"/>
      <c r="U270" s="1"/>
      <c r="V270" s="1"/>
      <c r="W270" s="1"/>
      <c r="X270" s="1"/>
      <c r="Y270" s="1"/>
      <c r="Z270" s="1"/>
    </row>
    <row r="271" ht="15.75" customHeight="1">
      <c r="A271" s="1"/>
      <c r="B271" s="1"/>
      <c r="C271" s="1"/>
      <c r="N271" s="1"/>
      <c r="O271" s="1"/>
      <c r="P271" s="1"/>
      <c r="Q271" s="1"/>
      <c r="R271" s="1"/>
      <c r="S271" s="1"/>
      <c r="T271" s="1"/>
      <c r="U271" s="1"/>
      <c r="V271" s="1"/>
      <c r="W271" s="1"/>
      <c r="X271" s="1"/>
      <c r="Y271" s="1"/>
      <c r="Z271" s="1"/>
    </row>
    <row r="272" ht="15.75" customHeight="1">
      <c r="A272" s="1"/>
      <c r="B272" s="1"/>
      <c r="C272" s="1"/>
      <c r="N272" s="1"/>
      <c r="O272" s="1"/>
      <c r="P272" s="1"/>
      <c r="Q272" s="1"/>
      <c r="R272" s="1"/>
      <c r="S272" s="1"/>
      <c r="T272" s="1"/>
      <c r="U272" s="1"/>
      <c r="V272" s="1"/>
      <c r="W272" s="1"/>
      <c r="X272" s="1"/>
      <c r="Y272" s="1"/>
      <c r="Z272" s="1"/>
    </row>
    <row r="273" ht="15.75" customHeight="1">
      <c r="A273" s="1"/>
      <c r="B273" s="1"/>
      <c r="C273" s="1"/>
      <c r="N273" s="1"/>
      <c r="O273" s="1"/>
      <c r="P273" s="1"/>
      <c r="Q273" s="1"/>
      <c r="R273" s="1"/>
      <c r="S273" s="1"/>
      <c r="T273" s="1"/>
      <c r="U273" s="1"/>
      <c r="V273" s="1"/>
      <c r="W273" s="1"/>
      <c r="X273" s="1"/>
      <c r="Y273" s="1"/>
      <c r="Z273" s="1"/>
    </row>
    <row r="274" ht="15.75" customHeight="1">
      <c r="A274" s="1"/>
      <c r="B274" s="1"/>
      <c r="C274" s="1"/>
      <c r="N274" s="1"/>
      <c r="O274" s="1"/>
      <c r="P274" s="1"/>
      <c r="Q274" s="1"/>
      <c r="R274" s="1"/>
      <c r="S274" s="1"/>
      <c r="T274" s="1"/>
      <c r="U274" s="1"/>
      <c r="V274" s="1"/>
      <c r="W274" s="1"/>
      <c r="X274" s="1"/>
      <c r="Y274" s="1"/>
      <c r="Z274" s="1"/>
    </row>
    <row r="275" ht="15.75" customHeight="1">
      <c r="A275" s="1"/>
      <c r="B275" s="1"/>
      <c r="C275" s="1"/>
      <c r="N275" s="1"/>
      <c r="O275" s="1"/>
      <c r="P275" s="1"/>
      <c r="Q275" s="1"/>
      <c r="R275" s="1"/>
      <c r="S275" s="1"/>
      <c r="T275" s="1"/>
      <c r="U275" s="1"/>
      <c r="V275" s="1"/>
      <c r="W275" s="1"/>
      <c r="X275" s="1"/>
      <c r="Y275" s="1"/>
      <c r="Z275" s="1"/>
    </row>
    <row r="276" ht="15.75" customHeight="1">
      <c r="A276" s="1"/>
      <c r="B276" s="1"/>
      <c r="C276" s="1"/>
      <c r="N276" s="1"/>
      <c r="O276" s="1"/>
      <c r="P276" s="1"/>
      <c r="Q276" s="1"/>
      <c r="R276" s="1"/>
      <c r="S276" s="1"/>
      <c r="T276" s="1"/>
      <c r="U276" s="1"/>
      <c r="V276" s="1"/>
      <c r="W276" s="1"/>
      <c r="X276" s="1"/>
      <c r="Y276" s="1"/>
      <c r="Z276" s="1"/>
    </row>
    <row r="277" ht="15.75" customHeight="1">
      <c r="A277" s="1"/>
      <c r="B277" s="1"/>
      <c r="C277" s="1"/>
      <c r="N277" s="1"/>
      <c r="O277" s="1"/>
      <c r="P277" s="1"/>
      <c r="Q277" s="1"/>
      <c r="R277" s="1"/>
      <c r="S277" s="1"/>
      <c r="T277" s="1"/>
      <c r="U277" s="1"/>
      <c r="V277" s="1"/>
      <c r="W277" s="1"/>
      <c r="X277" s="1"/>
      <c r="Y277" s="1"/>
      <c r="Z277" s="1"/>
    </row>
    <row r="278" ht="15.75" customHeight="1">
      <c r="A278" s="1"/>
      <c r="B278" s="1"/>
      <c r="C278" s="1"/>
      <c r="N278" s="1"/>
      <c r="O278" s="1"/>
      <c r="P278" s="1"/>
      <c r="Q278" s="1"/>
      <c r="R278" s="1"/>
      <c r="S278" s="1"/>
      <c r="T278" s="1"/>
      <c r="U278" s="1"/>
      <c r="V278" s="1"/>
      <c r="W278" s="1"/>
      <c r="X278" s="1"/>
      <c r="Y278" s="1"/>
      <c r="Z278" s="1"/>
    </row>
    <row r="279" ht="15.75" customHeight="1">
      <c r="A279" s="1"/>
      <c r="B279" s="1"/>
      <c r="C279" s="1"/>
      <c r="N279" s="1"/>
      <c r="O279" s="1"/>
      <c r="P279" s="1"/>
      <c r="Q279" s="1"/>
      <c r="R279" s="1"/>
      <c r="S279" s="1"/>
      <c r="T279" s="1"/>
      <c r="U279" s="1"/>
      <c r="V279" s="1"/>
      <c r="W279" s="1"/>
      <c r="X279" s="1"/>
      <c r="Y279" s="1"/>
      <c r="Z279" s="1"/>
    </row>
    <row r="280" ht="15.75" customHeight="1">
      <c r="A280" s="1"/>
      <c r="B280" s="1"/>
      <c r="C280" s="1"/>
      <c r="D280" s="2"/>
      <c r="E280" s="2"/>
      <c r="F280" s="2"/>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2"/>
      <c r="E281" s="2"/>
      <c r="F281" s="2"/>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2"/>
      <c r="E282" s="2"/>
      <c r="F282" s="2"/>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2"/>
      <c r="E283" s="2"/>
      <c r="F283" s="2"/>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2"/>
      <c r="E284" s="2"/>
      <c r="F284" s="2"/>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2"/>
      <c r="E285" s="2"/>
      <c r="F285" s="2"/>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2"/>
      <c r="E286" s="2"/>
      <c r="F286" s="2"/>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2"/>
      <c r="E287" s="2"/>
      <c r="F287" s="2"/>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2"/>
      <c r="E288" s="2"/>
      <c r="F288" s="2"/>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2"/>
      <c r="E289" s="2"/>
      <c r="F289" s="2"/>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2"/>
      <c r="E290" s="2"/>
      <c r="F290" s="2"/>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2"/>
      <c r="E291" s="2"/>
      <c r="F291" s="2"/>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2"/>
      <c r="E292" s="2"/>
      <c r="F292" s="2"/>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2"/>
      <c r="E293" s="2"/>
      <c r="F293" s="2"/>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2"/>
      <c r="E294" s="2"/>
      <c r="F294" s="2"/>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2"/>
      <c r="E295" s="2"/>
      <c r="F295" s="2"/>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2"/>
      <c r="E296" s="2"/>
      <c r="F296" s="2"/>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2"/>
      <c r="E297" s="2"/>
      <c r="F297" s="2"/>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2"/>
      <c r="E298" s="2"/>
      <c r="F298" s="2"/>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2"/>
      <c r="E299" s="2"/>
      <c r="F299" s="2"/>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2"/>
      <c r="E300" s="2"/>
      <c r="F300" s="2"/>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2"/>
      <c r="E301" s="2"/>
      <c r="F301" s="2"/>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2"/>
      <c r="E302" s="2"/>
      <c r="F302" s="2"/>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2"/>
      <c r="E303" s="2"/>
      <c r="F303" s="2"/>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2"/>
      <c r="E304" s="2"/>
      <c r="F304" s="2"/>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2"/>
      <c r="E305" s="2"/>
      <c r="F305" s="2"/>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2"/>
      <c r="E306" s="2"/>
      <c r="F306" s="2"/>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2"/>
      <c r="E307" s="2"/>
      <c r="F307" s="2"/>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2"/>
      <c r="E308" s="2"/>
      <c r="F308" s="2"/>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2"/>
      <c r="E309" s="2"/>
      <c r="F309" s="2"/>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2"/>
      <c r="E310" s="2"/>
      <c r="F310" s="2"/>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2"/>
      <c r="E311" s="2"/>
      <c r="F311" s="2"/>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2"/>
      <c r="E312" s="2"/>
      <c r="F312" s="2"/>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2"/>
      <c r="E313" s="2"/>
      <c r="F313" s="2"/>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2"/>
      <c r="E314" s="2"/>
      <c r="F314" s="2"/>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2"/>
      <c r="E315" s="2"/>
      <c r="F315" s="2"/>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2"/>
      <c r="E316" s="2"/>
      <c r="F316" s="2"/>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2"/>
      <c r="E317" s="2"/>
      <c r="F317" s="2"/>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2"/>
      <c r="E318" s="2"/>
      <c r="F318" s="2"/>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2"/>
      <c r="E319" s="2"/>
      <c r="F319" s="2"/>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2"/>
      <c r="E320" s="2"/>
      <c r="F320" s="2"/>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2"/>
      <c r="E321" s="2"/>
      <c r="F321" s="2"/>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2"/>
      <c r="E322" s="2"/>
      <c r="F322" s="2"/>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2"/>
      <c r="E323" s="2"/>
      <c r="F323" s="2"/>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2"/>
      <c r="E324" s="2"/>
      <c r="F324" s="2"/>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2"/>
      <c r="E325" s="2"/>
      <c r="F325" s="2"/>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2"/>
      <c r="E326" s="2"/>
      <c r="F326" s="2"/>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2"/>
      <c r="E327" s="2"/>
      <c r="F327" s="2"/>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2"/>
      <c r="E328" s="2"/>
      <c r="F328" s="2"/>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2"/>
      <c r="E329" s="2"/>
      <c r="F329" s="2"/>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2"/>
      <c r="E330" s="2"/>
      <c r="F330" s="2"/>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2"/>
      <c r="E331" s="2"/>
      <c r="F331" s="2"/>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2"/>
      <c r="E332" s="2"/>
      <c r="F332" s="2"/>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2"/>
      <c r="E333" s="2"/>
      <c r="F333" s="2"/>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2"/>
      <c r="E334" s="2"/>
      <c r="F334" s="2"/>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2"/>
      <c r="E335" s="2"/>
      <c r="F335" s="2"/>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2"/>
      <c r="E336" s="2"/>
      <c r="F336" s="2"/>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2"/>
      <c r="E337" s="2"/>
      <c r="F337" s="2"/>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2"/>
      <c r="E338" s="2"/>
      <c r="F338" s="2"/>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2"/>
      <c r="E339" s="2"/>
      <c r="F339" s="2"/>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2"/>
      <c r="E340" s="2"/>
      <c r="F340" s="2"/>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2"/>
      <c r="E341" s="2"/>
      <c r="F341" s="2"/>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2"/>
      <c r="E342" s="2"/>
      <c r="F342" s="2"/>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2"/>
      <c r="E343" s="2"/>
      <c r="F343" s="2"/>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2"/>
      <c r="E344" s="2"/>
      <c r="F344" s="2"/>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2"/>
      <c r="E345" s="2"/>
      <c r="F345" s="2"/>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2"/>
      <c r="E346" s="2"/>
      <c r="F346" s="2"/>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2"/>
      <c r="E347" s="2"/>
      <c r="F347" s="2"/>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2"/>
      <c r="E348" s="2"/>
      <c r="F348" s="2"/>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2"/>
      <c r="E349" s="2"/>
      <c r="F349" s="2"/>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2"/>
      <c r="E350" s="2"/>
      <c r="F350" s="2"/>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2"/>
      <c r="E351" s="2"/>
      <c r="F351" s="2"/>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2"/>
      <c r="E352" s="2"/>
      <c r="F352" s="2"/>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2"/>
      <c r="E353" s="2"/>
      <c r="F353" s="2"/>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2"/>
      <c r="E354" s="2"/>
      <c r="F354" s="2"/>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2"/>
      <c r="E355" s="2"/>
      <c r="F355" s="2"/>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2"/>
      <c r="E356" s="2"/>
      <c r="F356" s="2"/>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2"/>
      <c r="E357" s="2"/>
      <c r="F357" s="2"/>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2"/>
      <c r="E358" s="2"/>
      <c r="F358" s="2"/>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2"/>
      <c r="E359" s="2"/>
      <c r="F359" s="2"/>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2"/>
      <c r="E360" s="2"/>
      <c r="F360" s="2"/>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2"/>
      <c r="E361" s="2"/>
      <c r="F361" s="2"/>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2"/>
      <c r="E362" s="2"/>
      <c r="F362" s="2"/>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2"/>
      <c r="E363" s="2"/>
      <c r="F363" s="2"/>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2"/>
      <c r="E364" s="2"/>
      <c r="F364" s="2"/>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2"/>
      <c r="E365" s="2"/>
      <c r="F365" s="2"/>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2"/>
      <c r="E366" s="2"/>
      <c r="F366" s="2"/>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2"/>
      <c r="E367" s="2"/>
      <c r="F367" s="2"/>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2"/>
      <c r="E368" s="2"/>
      <c r="F368" s="2"/>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2"/>
      <c r="E369" s="2"/>
      <c r="F369" s="2"/>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2"/>
      <c r="E370" s="2"/>
      <c r="F370" s="2"/>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2"/>
      <c r="E371" s="2"/>
      <c r="F371" s="2"/>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2"/>
      <c r="E372" s="2"/>
      <c r="F372" s="2"/>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2"/>
      <c r="E373" s="2"/>
      <c r="F373" s="2"/>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2"/>
      <c r="E374" s="2"/>
      <c r="F374" s="2"/>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2"/>
      <c r="E375" s="2"/>
      <c r="F375" s="2"/>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2"/>
      <c r="E376" s="2"/>
      <c r="F376" s="2"/>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2"/>
      <c r="E377" s="2"/>
      <c r="F377" s="2"/>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2"/>
      <c r="E378" s="2"/>
      <c r="F378" s="2"/>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2"/>
      <c r="E379" s="2"/>
      <c r="F379" s="2"/>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2"/>
      <c r="E380" s="2"/>
      <c r="F380" s="2"/>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2"/>
      <c r="E381" s="2"/>
      <c r="F381" s="2"/>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2"/>
      <c r="E382" s="2"/>
      <c r="F382" s="2"/>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2"/>
      <c r="E383" s="2"/>
      <c r="F383" s="2"/>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2"/>
      <c r="E384" s="2"/>
      <c r="F384" s="2"/>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2"/>
      <c r="E385" s="2"/>
      <c r="F385" s="2"/>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2"/>
      <c r="E386" s="2"/>
      <c r="F386" s="2"/>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2"/>
      <c r="E387" s="2"/>
      <c r="F387" s="2"/>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2"/>
      <c r="E388" s="2"/>
      <c r="F388" s="2"/>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2"/>
      <c r="E389" s="2"/>
      <c r="F389" s="2"/>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2"/>
      <c r="E390" s="2"/>
      <c r="F390" s="2"/>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2"/>
      <c r="E391" s="2"/>
      <c r="F391" s="2"/>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2"/>
      <c r="E392" s="2"/>
      <c r="F392" s="2"/>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2"/>
      <c r="E393" s="2"/>
      <c r="F393" s="2"/>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2"/>
      <c r="E394" s="2"/>
      <c r="F394" s="2"/>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2"/>
      <c r="E395" s="2"/>
      <c r="F395" s="2"/>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2"/>
      <c r="E396" s="2"/>
      <c r="F396" s="2"/>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2"/>
      <c r="E397" s="2"/>
      <c r="F397" s="2"/>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2"/>
      <c r="E398" s="2"/>
      <c r="F398" s="2"/>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2"/>
      <c r="E399" s="2"/>
      <c r="F399" s="2"/>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2"/>
      <c r="E400" s="2"/>
      <c r="F400" s="2"/>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2"/>
      <c r="E401" s="2"/>
      <c r="F401" s="2"/>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2"/>
      <c r="E402" s="2"/>
      <c r="F402" s="2"/>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2"/>
      <c r="E403" s="2"/>
      <c r="F403" s="2"/>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2"/>
      <c r="E404" s="2"/>
      <c r="F404" s="2"/>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2"/>
      <c r="E405" s="2"/>
      <c r="F405" s="2"/>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2"/>
      <c r="E406" s="2"/>
      <c r="F406" s="2"/>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2"/>
      <c r="E407" s="2"/>
      <c r="F407" s="2"/>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2"/>
      <c r="E408" s="2"/>
      <c r="F408" s="2"/>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2"/>
      <c r="E409" s="2"/>
      <c r="F409" s="2"/>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2"/>
      <c r="E410" s="2"/>
      <c r="F410" s="2"/>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2"/>
      <c r="E411" s="2"/>
      <c r="F411" s="2"/>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2"/>
      <c r="E412" s="2"/>
      <c r="F412" s="2"/>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2"/>
      <c r="E413" s="2"/>
      <c r="F413" s="2"/>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2"/>
      <c r="E414" s="2"/>
      <c r="F414" s="2"/>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2"/>
      <c r="E415" s="2"/>
      <c r="F415" s="2"/>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2"/>
      <c r="E416" s="2"/>
      <c r="F416" s="2"/>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2"/>
      <c r="E417" s="2"/>
      <c r="F417" s="2"/>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2"/>
      <c r="E418" s="2"/>
      <c r="F418" s="2"/>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2"/>
      <c r="E419" s="2"/>
      <c r="F419" s="2"/>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2"/>
      <c r="E420" s="2"/>
      <c r="F420" s="2"/>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2"/>
      <c r="E421" s="2"/>
      <c r="F421" s="2"/>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2"/>
      <c r="E422" s="2"/>
      <c r="F422" s="2"/>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2"/>
      <c r="E423" s="2"/>
      <c r="F423" s="2"/>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2"/>
      <c r="E424" s="2"/>
      <c r="F424" s="2"/>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2"/>
      <c r="E425" s="2"/>
      <c r="F425" s="2"/>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2"/>
      <c r="E426" s="2"/>
      <c r="F426" s="2"/>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2"/>
      <c r="E427" s="2"/>
      <c r="F427" s="2"/>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2"/>
      <c r="E428" s="2"/>
      <c r="F428" s="2"/>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2"/>
      <c r="E429" s="2"/>
      <c r="F429" s="2"/>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2"/>
      <c r="E430" s="2"/>
      <c r="F430" s="2"/>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2"/>
      <c r="E431" s="2"/>
      <c r="F431" s="2"/>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2"/>
      <c r="E432" s="2"/>
      <c r="F432" s="2"/>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2"/>
      <c r="E433" s="2"/>
      <c r="F433" s="2"/>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2"/>
      <c r="E434" s="2"/>
      <c r="F434" s="2"/>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2"/>
      <c r="E435" s="2"/>
      <c r="F435" s="2"/>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2"/>
      <c r="E436" s="2"/>
      <c r="F436" s="2"/>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2"/>
      <c r="E437" s="2"/>
      <c r="F437" s="2"/>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2"/>
      <c r="E438" s="2"/>
      <c r="F438" s="2"/>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2"/>
      <c r="E439" s="2"/>
      <c r="F439" s="2"/>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2"/>
      <c r="E440" s="2"/>
      <c r="F440" s="2"/>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2"/>
      <c r="E441" s="2"/>
      <c r="F441" s="2"/>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2"/>
      <c r="E442" s="2"/>
      <c r="F442" s="2"/>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2"/>
      <c r="E443" s="2"/>
      <c r="F443" s="2"/>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2"/>
      <c r="E444" s="2"/>
      <c r="F444" s="2"/>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2"/>
      <c r="E445" s="2"/>
      <c r="F445" s="2"/>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2"/>
      <c r="E446" s="2"/>
      <c r="F446" s="2"/>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2"/>
      <c r="E447" s="2"/>
      <c r="F447" s="2"/>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2"/>
      <c r="E448" s="2"/>
      <c r="F448" s="2"/>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2"/>
      <c r="E449" s="2"/>
      <c r="F449" s="2"/>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2"/>
      <c r="E450" s="2"/>
      <c r="F450" s="2"/>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2"/>
      <c r="E451" s="2"/>
      <c r="F451" s="2"/>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2"/>
      <c r="E452" s="2"/>
      <c r="F452" s="2"/>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2"/>
      <c r="E453" s="2"/>
      <c r="F453" s="2"/>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2"/>
      <c r="E454" s="2"/>
      <c r="F454" s="2"/>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2"/>
      <c r="E455" s="2"/>
      <c r="F455" s="2"/>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2"/>
      <c r="E456" s="2"/>
      <c r="F456" s="2"/>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2"/>
      <c r="E457" s="2"/>
      <c r="F457" s="2"/>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2"/>
      <c r="E458" s="2"/>
      <c r="F458" s="2"/>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2"/>
      <c r="E459" s="2"/>
      <c r="F459" s="2"/>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2"/>
      <c r="E460" s="2"/>
      <c r="F460" s="2"/>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2"/>
      <c r="E461" s="2"/>
      <c r="F461" s="2"/>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2"/>
      <c r="E462" s="2"/>
      <c r="F462" s="2"/>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2"/>
      <c r="E463" s="2"/>
      <c r="F463" s="2"/>
      <c r="G463" s="1"/>
      <c r="H463" s="1"/>
      <c r="I463" s="1"/>
      <c r="J463" s="1"/>
      <c r="K463" s="1"/>
      <c r="L463" s="1"/>
      <c r="M463" s="1"/>
      <c r="N463" s="1"/>
      <c r="O463" s="1"/>
      <c r="P463" s="1"/>
      <c r="Q463" s="1"/>
      <c r="R463" s="1"/>
      <c r="S463" s="1"/>
      <c r="T463" s="1"/>
      <c r="U463" s="1"/>
      <c r="V463" s="1"/>
      <c r="W463" s="1"/>
      <c r="X463" s="1"/>
      <c r="Y463" s="1"/>
      <c r="Z463" s="1"/>
    </row>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C241:C249"/>
    <mergeCell ref="C255:C263"/>
    <mergeCell ref="E17:H17"/>
    <mergeCell ref="I17:S17"/>
    <mergeCell ref="E98:H98"/>
    <mergeCell ref="I98:R98"/>
    <mergeCell ref="E172:H172"/>
    <mergeCell ref="I172:R172"/>
    <mergeCell ref="E253:M253"/>
  </mergeCells>
  <dataValidations>
    <dataValidation type="list" allowBlank="1" showErrorMessage="1" sqref="D14">
      <formula1>$C$24:$C$26</formula1>
    </dataValidation>
  </dataValidations>
  <printOptions/>
  <pageMargins bottom="0.75" footer="0.0" header="0.0" left="0.7" right="0.7" top="0.75"/>
  <pageSetup orientation="portrait"/>
  <rowBreaks count="6" manualBreakCount="6">
    <brk id="97" man="1"/>
    <brk id="36" man="1"/>
    <brk id="68" man="1"/>
    <brk id="136" man="1"/>
    <brk id="234" man="1"/>
    <brk id="171" man="1"/>
  </rowBrea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outlineLevelCol="1" outlineLevelRow="1"/>
  <cols>
    <col customWidth="1" min="1" max="1" width="2.71"/>
    <col customWidth="1" min="2" max="2" width="39.29"/>
    <col customWidth="1" min="3" max="3" width="8.14" outlineLevel="1"/>
    <col customWidth="1" min="4" max="8" width="12.71"/>
    <col customWidth="1" min="9" max="9" width="14.57"/>
    <col customWidth="1" min="10" max="12" width="12.71"/>
    <col customWidth="1" min="13" max="14" width="2.71"/>
    <col customWidth="1" min="15" max="23" width="10.71"/>
    <col customWidth="1" min="24" max="27" width="9.14"/>
  </cols>
  <sheetData>
    <row r="1" ht="15.75" customHeight="1">
      <c r="A1" s="1"/>
      <c r="B1" s="1"/>
      <c r="C1" s="1"/>
      <c r="D1" s="1"/>
      <c r="E1" s="1"/>
      <c r="F1" s="1"/>
      <c r="G1" s="1"/>
      <c r="H1" s="1"/>
      <c r="I1" s="1"/>
      <c r="J1" s="1"/>
      <c r="K1" s="1"/>
      <c r="L1" s="1"/>
      <c r="M1" s="1"/>
      <c r="N1" s="1"/>
      <c r="O1" s="1"/>
      <c r="P1" s="1"/>
      <c r="Q1" s="1"/>
      <c r="R1" s="1"/>
      <c r="S1" s="1"/>
      <c r="T1" s="1"/>
      <c r="U1" s="1"/>
      <c r="V1" s="1"/>
      <c r="W1" s="1"/>
      <c r="X1" s="1"/>
      <c r="Y1" s="1"/>
      <c r="Z1" s="1"/>
      <c r="AA1" s="1"/>
    </row>
    <row r="2" ht="15.75" customHeight="1">
      <c r="A2" s="1"/>
      <c r="B2" s="3" t="str">
        <f>"WACC Analysis - "&amp;TEXT(Company_Name,"")</f>
        <v>WACC Analysis - Activision Blizzard</v>
      </c>
      <c r="C2" s="4"/>
      <c r="D2" s="1"/>
      <c r="E2" s="1"/>
      <c r="F2" s="1"/>
      <c r="G2" s="1"/>
      <c r="H2" s="1"/>
      <c r="I2" s="1"/>
      <c r="J2" s="1"/>
      <c r="K2" s="1"/>
      <c r="L2" s="1"/>
      <c r="M2" s="1"/>
      <c r="N2" s="1"/>
      <c r="O2" s="1"/>
      <c r="P2" s="1"/>
      <c r="Q2" s="1"/>
      <c r="R2" s="1"/>
      <c r="S2" s="1"/>
      <c r="T2" s="1"/>
      <c r="U2" s="1"/>
      <c r="V2" s="1"/>
      <c r="W2" s="1"/>
      <c r="X2" s="1"/>
      <c r="Y2" s="1"/>
      <c r="Z2" s="1"/>
      <c r="AA2" s="1"/>
    </row>
    <row r="3" ht="15.75" customHeight="1">
      <c r="A3" s="1"/>
      <c r="B3" s="1" t="str">
        <f>+'ATVI-DCF'!$B$3</f>
        <v>($ in Millions Except Per Share and Per Unit Data)</v>
      </c>
      <c r="C3" s="1"/>
      <c r="D3" s="1"/>
      <c r="E3" s="1"/>
      <c r="F3" s="1"/>
      <c r="G3" s="1"/>
      <c r="H3" s="1"/>
      <c r="I3" s="1"/>
      <c r="J3" s="1"/>
      <c r="K3" s="1"/>
      <c r="L3" s="1"/>
      <c r="M3" s="1"/>
      <c r="N3" s="1"/>
      <c r="O3" s="1"/>
      <c r="P3" s="1"/>
      <c r="Q3" s="1"/>
      <c r="R3" s="1"/>
      <c r="S3" s="1"/>
      <c r="T3" s="1"/>
      <c r="U3" s="1"/>
      <c r="V3" s="1"/>
      <c r="W3" s="1"/>
      <c r="X3" s="1"/>
      <c r="Y3" s="1"/>
      <c r="Z3" s="1"/>
      <c r="AA3" s="1"/>
    </row>
    <row r="4" ht="15.75" customHeight="1">
      <c r="A4" s="1"/>
      <c r="B4" s="1"/>
      <c r="C4" s="1"/>
      <c r="D4" s="1"/>
      <c r="E4" s="1"/>
      <c r="F4" s="1"/>
      <c r="G4" s="1"/>
      <c r="H4" s="1"/>
      <c r="I4" s="1"/>
      <c r="J4" s="1"/>
      <c r="K4" s="1"/>
      <c r="L4" s="1"/>
      <c r="M4" s="1"/>
      <c r="N4" s="1"/>
      <c r="O4" s="1"/>
      <c r="P4" s="1"/>
      <c r="Q4" s="1"/>
      <c r="R4" s="1"/>
      <c r="S4" s="1"/>
      <c r="T4" s="1"/>
      <c r="U4" s="1"/>
      <c r="V4" s="1"/>
      <c r="W4" s="1"/>
      <c r="X4" s="1"/>
      <c r="Y4" s="1"/>
      <c r="Z4" s="1"/>
      <c r="AA4" s="1"/>
    </row>
    <row r="5" ht="15.75" customHeight="1">
      <c r="A5" s="1"/>
      <c r="B5" s="24" t="s">
        <v>2</v>
      </c>
      <c r="C5" s="24"/>
      <c r="D5" s="25"/>
      <c r="E5" s="25"/>
      <c r="F5" s="25"/>
      <c r="G5" s="26"/>
      <c r="H5" s="26"/>
      <c r="I5" s="1"/>
      <c r="J5" s="1"/>
      <c r="K5" s="1"/>
      <c r="L5" s="1"/>
      <c r="M5" s="1"/>
      <c r="N5" s="1"/>
      <c r="O5" s="1"/>
      <c r="P5" s="1"/>
      <c r="Q5" s="1"/>
      <c r="R5" s="1"/>
      <c r="S5" s="1"/>
      <c r="T5" s="1"/>
      <c r="U5" s="1"/>
      <c r="V5" s="1"/>
      <c r="W5" s="1"/>
      <c r="X5" s="1"/>
      <c r="Y5" s="1"/>
      <c r="Z5" s="1"/>
      <c r="AA5" s="1"/>
    </row>
    <row r="6" ht="15.75" customHeight="1">
      <c r="A6" s="1"/>
      <c r="B6" s="1" t="s">
        <v>16</v>
      </c>
      <c r="C6" s="1"/>
      <c r="D6" s="1"/>
      <c r="E6" s="1"/>
      <c r="F6" s="27">
        <v>0.0083</v>
      </c>
      <c r="G6" s="28"/>
      <c r="H6" s="28"/>
      <c r="I6" s="1"/>
      <c r="J6" s="1"/>
      <c r="K6" s="1"/>
      <c r="L6" s="1"/>
      <c r="M6" s="1"/>
      <c r="N6" s="1"/>
      <c r="O6" s="1"/>
      <c r="P6" s="1"/>
      <c r="Q6" s="1"/>
      <c r="R6" s="1"/>
      <c r="S6" s="1"/>
      <c r="T6" s="1"/>
      <c r="U6" s="1"/>
      <c r="V6" s="1"/>
      <c r="W6" s="1"/>
      <c r="X6" s="1"/>
      <c r="Y6" s="1"/>
      <c r="Z6" s="1"/>
      <c r="AA6" s="1"/>
    </row>
    <row r="7" ht="15.75" customHeight="1">
      <c r="A7" s="1"/>
      <c r="B7" s="1" t="s">
        <v>17</v>
      </c>
      <c r="C7" s="1"/>
      <c r="D7" s="1"/>
      <c r="E7" s="1"/>
      <c r="F7" s="27">
        <v>0.0506</v>
      </c>
      <c r="G7" s="28"/>
      <c r="H7" s="28"/>
      <c r="I7" s="1"/>
      <c r="J7" s="1"/>
      <c r="K7" s="1"/>
      <c r="L7" s="1"/>
      <c r="M7" s="1"/>
      <c r="N7" s="1"/>
      <c r="O7" s="1"/>
      <c r="P7" s="1"/>
      <c r="Q7" s="1"/>
      <c r="R7" s="1"/>
      <c r="S7" s="1"/>
      <c r="T7" s="1"/>
      <c r="U7" s="1"/>
      <c r="V7" s="1"/>
      <c r="W7" s="1"/>
      <c r="X7" s="1"/>
      <c r="Y7" s="1"/>
      <c r="Z7" s="1"/>
      <c r="AA7" s="1"/>
    </row>
    <row r="8" ht="15.75" customHeight="1">
      <c r="A8" s="1"/>
      <c r="B8" s="1" t="s">
        <v>18</v>
      </c>
      <c r="C8" s="1"/>
      <c r="D8" s="1"/>
      <c r="E8" s="1"/>
      <c r="F8" s="29">
        <v>0.0318</v>
      </c>
      <c r="G8" s="28"/>
      <c r="H8" s="28"/>
      <c r="I8" s="30"/>
      <c r="J8" s="30"/>
      <c r="K8" s="1"/>
      <c r="L8" s="1"/>
      <c r="M8" s="1"/>
      <c r="N8" s="1"/>
      <c r="O8" s="1"/>
      <c r="P8" s="1"/>
      <c r="Q8" s="1"/>
      <c r="R8" s="1"/>
      <c r="S8" s="1"/>
      <c r="T8" s="1"/>
      <c r="U8" s="1"/>
      <c r="V8" s="1"/>
      <c r="W8" s="1"/>
      <c r="X8" s="1"/>
      <c r="Y8" s="1"/>
      <c r="Z8" s="1"/>
      <c r="AA8" s="1"/>
    </row>
    <row r="9" ht="15.75" customHeight="1">
      <c r="A9" s="1"/>
      <c r="B9" s="1" t="s">
        <v>19</v>
      </c>
      <c r="C9" s="1"/>
      <c r="D9" s="1"/>
      <c r="E9" s="1"/>
      <c r="F9" s="27">
        <v>0.0</v>
      </c>
      <c r="G9" s="28"/>
      <c r="H9" s="28"/>
      <c r="I9" s="30"/>
      <c r="J9" s="30"/>
      <c r="K9" s="1"/>
      <c r="L9" s="1"/>
      <c r="M9" s="1"/>
      <c r="N9" s="1"/>
      <c r="O9" s="1"/>
      <c r="P9" s="1"/>
      <c r="Q9" s="1"/>
      <c r="R9" s="1"/>
      <c r="S9" s="1"/>
      <c r="T9" s="1"/>
      <c r="U9" s="1"/>
      <c r="V9" s="1"/>
      <c r="W9" s="1"/>
      <c r="X9" s="1"/>
      <c r="Y9" s="1"/>
      <c r="Z9" s="1"/>
      <c r="AA9" s="1"/>
    </row>
    <row r="10" ht="15.75" customHeight="1">
      <c r="A10" s="1"/>
      <c r="B10" s="1"/>
      <c r="C10" s="1"/>
      <c r="D10" s="1"/>
      <c r="E10" s="1"/>
      <c r="F10" s="1"/>
      <c r="G10" s="1"/>
      <c r="H10" s="1"/>
      <c r="I10" s="1"/>
      <c r="J10" s="1"/>
      <c r="K10" s="1"/>
      <c r="L10" s="1"/>
      <c r="M10" s="1"/>
      <c r="N10" s="1"/>
      <c r="O10" s="1"/>
      <c r="P10" s="1"/>
      <c r="Q10" s="1"/>
      <c r="R10" s="1"/>
      <c r="S10" s="1"/>
      <c r="T10" s="1"/>
      <c r="U10" s="1"/>
      <c r="V10" s="1"/>
      <c r="W10" s="1"/>
      <c r="X10" s="1"/>
      <c r="Y10" s="1"/>
      <c r="Z10" s="1"/>
      <c r="AA10" s="1"/>
    </row>
    <row r="11" ht="15.75" hidden="1" customHeight="1" outlineLevel="1">
      <c r="A11" s="1"/>
      <c r="B11" s="31">
        <f>+Inputs!$F$13</f>
        <v>2</v>
      </c>
      <c r="C11" s="32"/>
      <c r="D11" s="32">
        <f>+Inputs!$F$35</f>
        <v>61</v>
      </c>
      <c r="E11" s="32">
        <f>+Inputs!$F$36</f>
        <v>21</v>
      </c>
      <c r="F11" s="32"/>
      <c r="G11" s="32">
        <f>+Inputs!$F$37</f>
        <v>22</v>
      </c>
      <c r="H11" s="32"/>
      <c r="I11" s="31">
        <f>+Inputs!$F$15</f>
        <v>59</v>
      </c>
      <c r="J11" s="31"/>
      <c r="K11" s="32">
        <f>+Inputs!$F$38</f>
        <v>14</v>
      </c>
      <c r="L11" s="1"/>
      <c r="M11" s="1"/>
      <c r="N11" s="1"/>
      <c r="O11" s="1"/>
      <c r="P11" s="1"/>
      <c r="Q11" s="1"/>
      <c r="R11" s="1"/>
      <c r="S11" s="1"/>
      <c r="T11" s="1"/>
      <c r="U11" s="1"/>
      <c r="V11" s="1"/>
      <c r="W11" s="1"/>
      <c r="X11" s="1"/>
      <c r="Y11" s="1"/>
      <c r="Z11" s="1"/>
      <c r="AA11" s="1"/>
    </row>
    <row r="12" ht="15.75" customHeight="1" collapsed="1">
      <c r="A12" s="1"/>
      <c r="B12" s="33" t="s">
        <v>20</v>
      </c>
      <c r="C12" s="33"/>
      <c r="D12" s="33"/>
      <c r="E12" s="33"/>
      <c r="F12" s="33"/>
      <c r="G12" s="33"/>
      <c r="H12" s="33"/>
      <c r="I12" s="33"/>
      <c r="J12" s="33"/>
      <c r="K12" s="33"/>
      <c r="L12" s="33"/>
      <c r="M12" s="1"/>
      <c r="N12" s="1"/>
      <c r="O12" s="1"/>
      <c r="P12" s="1"/>
      <c r="Q12" s="1"/>
      <c r="R12" s="1"/>
      <c r="S12" s="1"/>
      <c r="T12" s="1"/>
      <c r="U12" s="1"/>
      <c r="V12" s="1"/>
      <c r="W12" s="1"/>
      <c r="X12" s="1"/>
      <c r="Y12" s="1"/>
      <c r="Z12" s="1"/>
      <c r="AA12" s="1"/>
    </row>
    <row r="13" ht="15.75" customHeight="1">
      <c r="A13" s="1"/>
      <c r="B13" s="33"/>
      <c r="C13" s="33"/>
      <c r="D13" s="34" t="s">
        <v>21</v>
      </c>
      <c r="E13" s="34"/>
      <c r="F13" s="34"/>
      <c r="G13" s="34" t="s">
        <v>22</v>
      </c>
      <c r="H13" s="34"/>
      <c r="I13" s="34" t="s">
        <v>23</v>
      </c>
      <c r="J13" s="34"/>
      <c r="K13" s="34"/>
      <c r="L13" s="34" t="s">
        <v>24</v>
      </c>
      <c r="M13" s="1"/>
      <c r="N13" s="1"/>
      <c r="O13" s="1"/>
      <c r="P13" s="1"/>
      <c r="Q13" s="1"/>
      <c r="R13" s="1"/>
      <c r="S13" s="1"/>
      <c r="T13" s="1"/>
      <c r="U13" s="1"/>
      <c r="V13" s="1"/>
      <c r="W13" s="1"/>
      <c r="X13" s="1"/>
      <c r="Y13" s="1"/>
      <c r="Z13" s="1"/>
      <c r="AA13" s="1"/>
    </row>
    <row r="14" ht="15.75" customHeight="1">
      <c r="A14" s="1"/>
      <c r="B14" s="24" t="s">
        <v>25</v>
      </c>
      <c r="C14" s="24" t="s">
        <v>26</v>
      </c>
      <c r="D14" s="35" t="s">
        <v>27</v>
      </c>
      <c r="E14" s="35" t="s">
        <v>28</v>
      </c>
      <c r="F14" s="35" t="s">
        <v>29</v>
      </c>
      <c r="G14" s="35" t="s">
        <v>30</v>
      </c>
      <c r="H14" s="35" t="s">
        <v>31</v>
      </c>
      <c r="I14" s="35" t="s">
        <v>32</v>
      </c>
      <c r="J14" s="35" t="s">
        <v>33</v>
      </c>
      <c r="K14" s="35" t="s">
        <v>34</v>
      </c>
      <c r="L14" s="35" t="s">
        <v>27</v>
      </c>
      <c r="M14" s="1"/>
      <c r="N14" s="1"/>
      <c r="O14" s="1"/>
      <c r="P14" s="1"/>
      <c r="Q14" s="1"/>
      <c r="R14" s="1"/>
      <c r="S14" s="1"/>
      <c r="T14" s="1"/>
      <c r="U14" s="1"/>
      <c r="V14" s="1"/>
      <c r="W14" s="1"/>
      <c r="X14" s="1"/>
      <c r="Y14" s="1"/>
      <c r="Z14" s="1"/>
      <c r="AA14" s="1"/>
    </row>
    <row r="15" ht="15.75" customHeight="1">
      <c r="A15" s="1"/>
      <c r="B15" s="1" t="str">
        <f>HLOOKUP($C15,Comps_Range,B$11,FALSE)</f>
        <v>Ubisoft</v>
      </c>
      <c r="C15" s="1" t="s">
        <v>35</v>
      </c>
      <c r="D15" s="36">
        <f>HLOOKUP($C15,Comps_Range,D$11,FALSE)</f>
        <v>1.3</v>
      </c>
      <c r="E15" s="37">
        <f>HLOOKUP($C15,Comps_Range,E$11,FALSE)</f>
        <v>2250.959</v>
      </c>
      <c r="F15" s="38">
        <f t="shared" ref="F15:F24" si="1">+E15/($E15+$G15+$I15)</f>
        <v>0.1893293355</v>
      </c>
      <c r="G15" s="37">
        <f>HLOOKUP($C15,Comps_Range,G$11,FALSE)</f>
        <v>0</v>
      </c>
      <c r="H15" s="38">
        <f t="shared" ref="H15:H24" si="2">+G15/($E15+$G15+$I15)</f>
        <v>0</v>
      </c>
      <c r="I15" s="37">
        <f>HLOOKUP($C15,Comps_Range,I$11,FALSE)</f>
        <v>9638.16</v>
      </c>
      <c r="J15" s="38">
        <f t="shared" ref="J15:J24" si="3">+I15/($E15+$G15+$I15)</f>
        <v>0.8106706645</v>
      </c>
      <c r="K15" s="38">
        <f>HLOOKUP($C15,Comps_Range,K$11,FALSE)</f>
        <v>0.1268</v>
      </c>
      <c r="L15" s="49">
        <f t="shared" ref="L15:L24" si="4">IFERROR(D15/(1+(E15/I15)*(1-K15)+G15/I15),"N/A")</f>
        <v>1.079794446</v>
      </c>
      <c r="M15" s="1"/>
      <c r="N15" s="1"/>
      <c r="O15" s="1"/>
      <c r="P15" s="1"/>
      <c r="Q15" s="1"/>
      <c r="R15" s="1"/>
      <c r="S15" s="1"/>
      <c r="T15" s="1"/>
      <c r="U15" s="1"/>
      <c r="V15" s="1"/>
      <c r="W15" s="1"/>
      <c r="X15" s="1"/>
      <c r="Y15" s="1"/>
      <c r="Z15" s="1"/>
      <c r="AA15" s="1"/>
    </row>
    <row r="16" ht="15.75" customHeight="1">
      <c r="A16" s="1"/>
      <c r="B16" s="1" t="str">
        <f>HLOOKUP($C16,Comps_Range,B$11,FALSE)</f>
        <v>Electronic Arts</v>
      </c>
      <c r="C16" s="1" t="s">
        <v>38</v>
      </c>
      <c r="D16" s="36">
        <f>HLOOKUP($C16,Comps_Range,D$11,FALSE)</f>
        <v>1.05</v>
      </c>
      <c r="E16" s="8">
        <f>HLOOKUP($C16,Comps_Range,E$11,FALSE)</f>
        <v>994</v>
      </c>
      <c r="F16" s="38">
        <f t="shared" si="1"/>
        <v>0.03034529326</v>
      </c>
      <c r="G16" s="8">
        <f>HLOOKUP($C16,Comps_Range,G$11,FALSE)</f>
        <v>0</v>
      </c>
      <c r="H16" s="38">
        <f t="shared" si="2"/>
        <v>0</v>
      </c>
      <c r="I16" s="8">
        <f>HLOOKUP($C16,Comps_Range,I$11,FALSE)</f>
        <v>31762.3155</v>
      </c>
      <c r="J16" s="38">
        <f t="shared" si="3"/>
        <v>0.9696547067</v>
      </c>
      <c r="K16" s="38">
        <f>HLOOKUP($C16,Comps_Range,K$11,FALSE)</f>
        <v>0.18</v>
      </c>
      <c r="L16" s="49">
        <f t="shared" si="4"/>
        <v>1.023729207</v>
      </c>
      <c r="M16" s="1"/>
      <c r="N16" s="1"/>
      <c r="O16" s="1"/>
      <c r="P16" s="1"/>
      <c r="Q16" s="1"/>
      <c r="R16" s="1"/>
      <c r="S16" s="1"/>
      <c r="T16" s="1"/>
      <c r="U16" s="1"/>
      <c r="V16" s="1"/>
      <c r="W16" s="1"/>
      <c r="X16" s="1"/>
      <c r="Y16" s="1"/>
      <c r="Z16" s="1"/>
      <c r="AA16" s="1"/>
    </row>
    <row r="17" ht="15.75" customHeight="1">
      <c r="A17" s="1"/>
      <c r="B17" s="1" t="str">
        <f>HLOOKUP($C17,Comps_Range,B$11,FALSE)</f>
        <v>Take Two Initiative</v>
      </c>
      <c r="C17" s="1" t="s">
        <v>40</v>
      </c>
      <c r="D17" s="36">
        <f>HLOOKUP($C17,Comps_Range,D$11,FALSE)</f>
        <v>0.79</v>
      </c>
      <c r="E17" s="8">
        <f>HLOOKUP($C17,Comps_Range,E$11,FALSE)</f>
        <v>0</v>
      </c>
      <c r="F17" s="38">
        <f t="shared" si="1"/>
        <v>0</v>
      </c>
      <c r="G17" s="8">
        <f>HLOOKUP($C17,Comps_Range,G$11,FALSE)</f>
        <v>0</v>
      </c>
      <c r="H17" s="38">
        <f t="shared" si="2"/>
        <v>0</v>
      </c>
      <c r="I17" s="8">
        <f>HLOOKUP($C17,Comps_Range,I$11,FALSE)</f>
        <v>12557.8624</v>
      </c>
      <c r="J17" s="38">
        <f t="shared" si="3"/>
        <v>1</v>
      </c>
      <c r="K17" s="38">
        <f>HLOOKUP($C17,Comps_Range,K$11,FALSE)</f>
        <v>0.1998</v>
      </c>
      <c r="L17" s="49">
        <f t="shared" si="4"/>
        <v>0.79</v>
      </c>
      <c r="M17" s="1"/>
      <c r="N17" s="1"/>
      <c r="O17" s="1"/>
      <c r="P17" s="1"/>
      <c r="Q17" s="1"/>
      <c r="R17" s="1"/>
      <c r="S17" s="1"/>
      <c r="T17" s="1"/>
      <c r="U17" s="1"/>
      <c r="V17" s="1"/>
      <c r="W17" s="1"/>
      <c r="X17" s="1"/>
      <c r="Y17" s="1"/>
      <c r="Z17" s="1"/>
      <c r="AA17" s="1"/>
    </row>
    <row r="18" ht="15.75" customHeight="1">
      <c r="A18" s="1"/>
      <c r="B18" s="1" t="str">
        <f>HLOOKUP($C18,Comps_Range,B$11,FALSE)</f>
        <v>Netmarble Games (BILL KRW)</v>
      </c>
      <c r="C18" s="1">
        <v>251270.0</v>
      </c>
      <c r="D18" s="36">
        <f>HLOOKUP($C18,Comps_Range,D$11,FALSE)</f>
        <v>1.33</v>
      </c>
      <c r="E18" s="8">
        <f>HLOOKUP($C18,Comps_Range,E$11,FALSE)</f>
        <v>258.009</v>
      </c>
      <c r="F18" s="38">
        <f t="shared" si="1"/>
        <v>0.03104917645</v>
      </c>
      <c r="G18" s="8" t="str">
        <f>HLOOKUP($C18,Comps_Range,G$11,FALSE)</f>
        <v/>
      </c>
      <c r="H18" s="38">
        <f t="shared" si="2"/>
        <v>0</v>
      </c>
      <c r="I18" s="8">
        <f>HLOOKUP($C18,Comps_Range,I$11,FALSE)</f>
        <v>8051.68</v>
      </c>
      <c r="J18" s="38">
        <f t="shared" si="3"/>
        <v>0.9689508236</v>
      </c>
      <c r="K18" s="38">
        <f>HLOOKUP($C18,Comps_Range,K$11,FALSE)</f>
        <v>0.2176</v>
      </c>
      <c r="L18" s="49">
        <f t="shared" si="4"/>
        <v>1.297470698</v>
      </c>
      <c r="M18" s="1"/>
      <c r="N18" s="1"/>
      <c r="O18" s="1"/>
      <c r="P18" s="1"/>
      <c r="Q18" s="1"/>
      <c r="R18" s="1"/>
      <c r="S18" s="1"/>
      <c r="T18" s="1"/>
      <c r="U18" s="1"/>
      <c r="V18" s="1"/>
      <c r="W18" s="1"/>
      <c r="X18" s="1"/>
      <c r="Y18" s="1"/>
      <c r="Z18" s="1"/>
      <c r="AA18" s="1"/>
    </row>
    <row r="19" ht="15.75" customHeight="1">
      <c r="A19" s="1"/>
      <c r="B19" s="1" t="str">
        <f>HLOOKUP($C19,Comps_Range,B$11,FALSE)</f>
        <v>Square Enix Co. (MILL JPY)</v>
      </c>
      <c r="C19" s="1">
        <v>9684.0</v>
      </c>
      <c r="D19" s="36">
        <f>HLOOKUP($C19,Comps_Range,D$11,FALSE)</f>
        <v>0.72</v>
      </c>
      <c r="E19" s="8">
        <f>HLOOKUP($C19,Comps_Range,E$11,FALSE)</f>
        <v>0</v>
      </c>
      <c r="F19" s="38">
        <f t="shared" si="1"/>
        <v>0</v>
      </c>
      <c r="G19" s="8">
        <f>HLOOKUP($C19,Comps_Range,G$11,FALSE)</f>
        <v>0</v>
      </c>
      <c r="H19" s="38">
        <f t="shared" si="2"/>
        <v>0</v>
      </c>
      <c r="I19" s="8">
        <f>HLOOKUP($C19,Comps_Range,I$11,FALSE)</f>
        <v>620297.6</v>
      </c>
      <c r="J19" s="38">
        <f t="shared" si="3"/>
        <v>1</v>
      </c>
      <c r="K19" s="38">
        <f>HLOOKUP($C19,Comps_Range,K$11,FALSE)</f>
        <v>0.198</v>
      </c>
      <c r="L19" s="49">
        <f t="shared" si="4"/>
        <v>0.72</v>
      </c>
      <c r="M19" s="1"/>
      <c r="N19" s="1"/>
      <c r="O19" s="1"/>
      <c r="P19" s="1"/>
      <c r="Q19" s="1"/>
      <c r="R19" s="1"/>
      <c r="S19" s="1"/>
      <c r="T19" s="1"/>
      <c r="U19" s="1"/>
      <c r="V19" s="1"/>
      <c r="W19" s="1"/>
      <c r="X19" s="1"/>
      <c r="Y19" s="1"/>
      <c r="Z19" s="1"/>
      <c r="AA19" s="1"/>
    </row>
    <row r="20" ht="15.75" customHeight="1">
      <c r="A20" s="1"/>
      <c r="B20" s="1" t="str">
        <f>HLOOKUP($C20,Comps_Range,B$11,FALSE)</f>
        <v>Nintendo (MILL JPY)</v>
      </c>
      <c r="C20" s="1">
        <v>7974.0</v>
      </c>
      <c r="D20" s="36">
        <f>HLOOKUP($C20,Comps_Range,D$11,FALSE)</f>
        <v>1.05</v>
      </c>
      <c r="E20" s="8">
        <f>HLOOKUP($C20,Comps_Range,E$11,FALSE)</f>
        <v>0</v>
      </c>
      <c r="F20" s="38">
        <f t="shared" si="1"/>
        <v>0</v>
      </c>
      <c r="G20" s="8">
        <f>HLOOKUP($C20,Comps_Range,G$11,FALSE)</f>
        <v>0</v>
      </c>
      <c r="H20" s="38">
        <f t="shared" si="2"/>
        <v>0</v>
      </c>
      <c r="I20" s="8">
        <f>HLOOKUP($C20,Comps_Range,I$11,FALSE)</f>
        <v>4842380.803</v>
      </c>
      <c r="J20" s="38">
        <f t="shared" si="3"/>
        <v>1</v>
      </c>
      <c r="K20" s="38">
        <f>HLOOKUP($C20,Comps_Range,K$11,FALSE)</f>
        <v>0.2841</v>
      </c>
      <c r="L20" s="49">
        <f t="shared" si="4"/>
        <v>1.05</v>
      </c>
      <c r="M20" s="1"/>
      <c r="N20" s="1"/>
      <c r="O20" s="1"/>
      <c r="P20" s="1"/>
      <c r="Q20" s="1"/>
      <c r="R20" s="1"/>
      <c r="S20" s="1"/>
      <c r="T20" s="1"/>
      <c r="U20" s="1"/>
      <c r="V20" s="1"/>
      <c r="W20" s="1"/>
      <c r="X20" s="1"/>
      <c r="Y20" s="1"/>
      <c r="Z20" s="1"/>
      <c r="AA20" s="1"/>
    </row>
    <row r="21" ht="15.75" customHeight="1">
      <c r="A21" s="1"/>
      <c r="B21" s="1" t="str">
        <f>HLOOKUP($C21,Comps_Range,B$11,FALSE)</f>
        <v>CD Projekt (MILL PLN)</v>
      </c>
      <c r="C21" s="1" t="s">
        <v>53</v>
      </c>
      <c r="D21" s="36">
        <f>HLOOKUP($C21,Comps_Range,D$11,FALSE)</f>
        <v>0.99</v>
      </c>
      <c r="E21" s="8">
        <f>HLOOKUP($C21,Comps_Range,E$11,FALSE)</f>
        <v>161.33</v>
      </c>
      <c r="F21" s="38">
        <f t="shared" si="1"/>
        <v>0.005376485632</v>
      </c>
      <c r="G21" s="8">
        <f>HLOOKUP($C21,Comps_Range,G$11,FALSE)</f>
        <v>0</v>
      </c>
      <c r="H21" s="38">
        <f t="shared" si="2"/>
        <v>0</v>
      </c>
      <c r="I21" s="8">
        <f>HLOOKUP($C21,Comps_Range,I$11,FALSE)</f>
        <v>29845.26</v>
      </c>
      <c r="J21" s="38">
        <f t="shared" si="3"/>
        <v>0.9946235144</v>
      </c>
      <c r="K21" s="38">
        <f>HLOOKUP($C21,Comps_Range,K$11,FALSE)</f>
        <v>0.1933</v>
      </c>
      <c r="L21" s="49">
        <f t="shared" si="4"/>
        <v>0.985701694</v>
      </c>
      <c r="M21" s="1"/>
      <c r="N21" s="1"/>
      <c r="O21" s="1"/>
      <c r="P21" s="1"/>
      <c r="Q21" s="1"/>
      <c r="R21" s="1"/>
      <c r="S21" s="1"/>
      <c r="T21" s="1"/>
      <c r="U21" s="1"/>
      <c r="V21" s="1"/>
      <c r="W21" s="1"/>
      <c r="X21" s="1"/>
      <c r="Y21" s="1"/>
      <c r="Z21" s="1"/>
      <c r="AA21" s="1"/>
    </row>
    <row r="22" ht="15.75" customHeight="1">
      <c r="A22" s="1"/>
      <c r="B22" s="1" t="str">
        <f>HLOOKUP($C22,Comps_Range,B$11,FALSE)</f>
        <v>Bandai Namco (BILL JPY)</v>
      </c>
      <c r="C22" s="1" t="s">
        <v>54</v>
      </c>
      <c r="D22" s="36">
        <f>HLOOKUP($C22,Comps_Range,D$11,FALSE)</f>
        <v>0.47</v>
      </c>
      <c r="E22" s="8">
        <f>HLOOKUP($C22,Comps_Range,E$11,FALSE)</f>
        <v>0</v>
      </c>
      <c r="F22" s="38">
        <f t="shared" si="1"/>
        <v>0</v>
      </c>
      <c r="G22" s="8" t="str">
        <f>HLOOKUP($C22,Comps_Range,G$11,FALSE)</f>
        <v/>
      </c>
      <c r="H22" s="38">
        <f t="shared" si="2"/>
        <v>0</v>
      </c>
      <c r="I22" s="8">
        <f>HLOOKUP($C22,Comps_Range,I$11,FALSE)</f>
        <v>1323132.64</v>
      </c>
      <c r="J22" s="38">
        <f t="shared" si="3"/>
        <v>1</v>
      </c>
      <c r="K22" s="38">
        <f>HLOOKUP($C22,Comps_Range,K$11,FALSE)</f>
        <v>0.2566864836</v>
      </c>
      <c r="L22" s="49">
        <f t="shared" si="4"/>
        <v>0.47</v>
      </c>
      <c r="M22" s="1"/>
      <c r="N22" s="1"/>
      <c r="O22" s="1"/>
      <c r="P22" s="1"/>
      <c r="Q22" s="1"/>
      <c r="R22" s="1"/>
      <c r="S22" s="1"/>
      <c r="T22" s="1"/>
      <c r="U22" s="1"/>
      <c r="V22" s="1"/>
      <c r="W22" s="1"/>
      <c r="X22" s="1"/>
      <c r="Y22" s="1"/>
      <c r="Z22" s="1"/>
      <c r="AA22" s="1"/>
    </row>
    <row r="23" ht="15.75" customHeight="1">
      <c r="A23" s="1"/>
      <c r="B23" s="1" t="str">
        <f>HLOOKUP($C23,Comps_Range,B$11,FALSE)</f>
        <v>Nexon (BILL JPY)</v>
      </c>
      <c r="C23" s="1" t="s">
        <v>55</v>
      </c>
      <c r="D23" s="36">
        <f>HLOOKUP($C23,Comps_Range,D$11,FALSE)</f>
        <v>0.87</v>
      </c>
      <c r="E23" s="8">
        <f>HLOOKUP($C23,Comps_Range,E$11,FALSE)</f>
        <v>12341</v>
      </c>
      <c r="F23" s="38">
        <f t="shared" si="1"/>
        <v>0.008524828243</v>
      </c>
      <c r="G23" s="8" t="str">
        <f>HLOOKUP($C23,Comps_Range,G$11,FALSE)</f>
        <v/>
      </c>
      <c r="H23" s="38">
        <f t="shared" si="2"/>
        <v>0</v>
      </c>
      <c r="I23" s="8">
        <f>HLOOKUP($C23,Comps_Range,I$11,FALSE)</f>
        <v>1435312.8</v>
      </c>
      <c r="J23" s="38">
        <f t="shared" si="3"/>
        <v>0.9914751718</v>
      </c>
      <c r="K23" s="38">
        <f>HLOOKUP($C23,Comps_Range,K$11,FALSE)</f>
        <v>0.25</v>
      </c>
      <c r="L23" s="49">
        <f t="shared" si="4"/>
        <v>0.8644256695</v>
      </c>
      <c r="M23" s="1"/>
      <c r="N23" s="1"/>
      <c r="O23" s="1"/>
      <c r="P23" s="1"/>
      <c r="Q23" s="1"/>
      <c r="R23" s="1"/>
      <c r="S23" s="1"/>
      <c r="T23" s="1"/>
      <c r="U23" s="1"/>
      <c r="V23" s="1"/>
      <c r="W23" s="1"/>
      <c r="X23" s="1"/>
      <c r="Y23" s="1"/>
      <c r="Z23" s="1"/>
      <c r="AA23" s="1"/>
    </row>
    <row r="24" ht="15.75" customHeight="1">
      <c r="A24" s="1"/>
      <c r="B24" s="1" t="str">
        <f>HLOOKUP($C24,Comps_Range,B$11,FALSE)</f>
        <v>NCsoft Corp. (KRW)</v>
      </c>
      <c r="C24" s="1">
        <v>36570.0</v>
      </c>
      <c r="D24" s="36">
        <f>HLOOKUP($C24,Comps_Range,D$11,FALSE)</f>
        <v>0.21</v>
      </c>
      <c r="E24" s="8">
        <f>HLOOKUP($C24,Comps_Range,E$11,FALSE)</f>
        <v>263162</v>
      </c>
      <c r="F24" s="38">
        <f t="shared" si="1"/>
        <v>0.01932394322</v>
      </c>
      <c r="G24" s="8" t="str">
        <f>HLOOKUP($C24,Comps_Range,G$11,FALSE)</f>
        <v/>
      </c>
      <c r="H24" s="38">
        <f t="shared" si="2"/>
        <v>0</v>
      </c>
      <c r="I24" s="8">
        <f>HLOOKUP($C24,Comps_Range,I$11,FALSE)</f>
        <v>13355280</v>
      </c>
      <c r="J24" s="38">
        <f t="shared" si="3"/>
        <v>0.9806760568</v>
      </c>
      <c r="K24" s="38">
        <f>HLOOKUP($C24,Comps_Range,K$11,FALSE)</f>
        <v>0.2584982507</v>
      </c>
      <c r="L24" s="49">
        <f t="shared" si="4"/>
        <v>0.2069758589</v>
      </c>
      <c r="M24" s="1"/>
      <c r="N24" s="1"/>
      <c r="O24" s="1"/>
      <c r="P24" s="1"/>
      <c r="Q24" s="1"/>
      <c r="R24" s="1"/>
      <c r="S24" s="1"/>
      <c r="T24" s="1"/>
      <c r="U24" s="1"/>
      <c r="V24" s="1"/>
      <c r="W24" s="1"/>
      <c r="X24" s="1"/>
      <c r="Y24" s="1"/>
      <c r="Z24" s="1"/>
      <c r="AA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ht="15.75" customHeight="1">
      <c r="A26" s="1"/>
      <c r="B26" s="68" t="s">
        <v>56</v>
      </c>
      <c r="C26" s="69"/>
      <c r="D26" s="70">
        <f t="shared" ref="D26:L26" si="5">MEDIAN(D15:D24)</f>
        <v>0.93</v>
      </c>
      <c r="E26" s="71">
        <f t="shared" si="5"/>
        <v>209.6695</v>
      </c>
      <c r="F26" s="72">
        <f t="shared" si="5"/>
        <v>0.006950656937</v>
      </c>
      <c r="G26" s="71">
        <f t="shared" si="5"/>
        <v>0</v>
      </c>
      <c r="H26" s="72">
        <f t="shared" si="5"/>
        <v>0</v>
      </c>
      <c r="I26" s="71">
        <f t="shared" si="5"/>
        <v>326029.9578</v>
      </c>
      <c r="J26" s="72">
        <f t="shared" si="5"/>
        <v>0.9930493431</v>
      </c>
      <c r="K26" s="72">
        <f t="shared" si="5"/>
        <v>0.2087</v>
      </c>
      <c r="L26" s="74">
        <f t="shared" si="5"/>
        <v>0.9250636818</v>
      </c>
      <c r="M26" s="1"/>
      <c r="N26" s="1"/>
      <c r="O26" s="1"/>
      <c r="P26" s="1"/>
      <c r="Q26" s="1"/>
      <c r="R26" s="1"/>
      <c r="S26" s="1"/>
      <c r="T26" s="1"/>
      <c r="U26" s="1"/>
      <c r="V26" s="1"/>
      <c r="W26" s="1"/>
      <c r="X26" s="1"/>
      <c r="Y26" s="1"/>
      <c r="Z26" s="1"/>
      <c r="AA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ht="15.75" customHeight="1">
      <c r="A28" s="1"/>
      <c r="B28" s="75" t="str">
        <f>HLOOKUP($C28,Comps_Range,B$11,FALSE)</f>
        <v>Activision Blizzard</v>
      </c>
      <c r="C28" s="76" t="str">
        <f>Ticker</f>
        <v>ATVI</v>
      </c>
      <c r="D28" s="77">
        <f>HLOOKUP($C28,Comps_Range,D$11,FALSE)</f>
        <v>0.8342</v>
      </c>
      <c r="E28" s="78">
        <f>HLOOKUP($C28,Comps_Range,E$11,FALSE)</f>
        <v>2675</v>
      </c>
      <c r="F28" s="79"/>
      <c r="G28" s="79"/>
      <c r="H28" s="79"/>
      <c r="I28" s="79"/>
      <c r="J28" s="79"/>
      <c r="K28" s="80"/>
      <c r="L28" s="81"/>
      <c r="M28" s="1"/>
      <c r="N28" s="1"/>
      <c r="O28" s="1"/>
      <c r="P28" s="1"/>
      <c r="Q28" s="1"/>
      <c r="R28" s="1"/>
      <c r="S28" s="1"/>
      <c r="T28" s="1"/>
      <c r="U28" s="1"/>
      <c r="V28" s="1"/>
      <c r="W28" s="1"/>
      <c r="X28" s="1"/>
      <c r="Y28" s="1"/>
      <c r="Z28" s="1"/>
      <c r="AA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ht="15.75" customHeight="1">
      <c r="A30" s="1"/>
      <c r="B30" s="33" t="str">
        <f>TEXT(Company_Name,"")&amp; " - Levered Beta &amp; WACC Calculation:"</f>
        <v>Activision Blizzard - Levered Beta &amp; WACC Calculation:</v>
      </c>
      <c r="C30" s="33"/>
      <c r="D30" s="33"/>
      <c r="E30" s="33"/>
      <c r="F30" s="33"/>
      <c r="G30" s="33"/>
      <c r="H30" s="33"/>
      <c r="I30" s="33"/>
      <c r="J30" s="33"/>
      <c r="K30" s="33"/>
      <c r="L30" s="33"/>
      <c r="M30" s="1"/>
      <c r="N30" s="1"/>
      <c r="O30" s="1"/>
      <c r="P30" s="1"/>
      <c r="Q30" s="1"/>
      <c r="R30" s="1"/>
      <c r="S30" s="1"/>
      <c r="T30" s="1"/>
      <c r="U30" s="1"/>
      <c r="V30" s="1"/>
      <c r="W30" s="1"/>
      <c r="X30" s="1"/>
      <c r="Y30" s="1"/>
      <c r="Z30" s="1"/>
      <c r="AA30" s="1"/>
    </row>
    <row r="31" ht="15.75" customHeight="1">
      <c r="A31" s="1"/>
      <c r="B31" s="33"/>
      <c r="C31" s="33"/>
      <c r="D31" s="34" t="s">
        <v>24</v>
      </c>
      <c r="E31" s="34"/>
      <c r="F31" s="34"/>
      <c r="G31" s="34" t="s">
        <v>22</v>
      </c>
      <c r="H31" s="34"/>
      <c r="I31" s="34" t="s">
        <v>23</v>
      </c>
      <c r="J31" s="34"/>
      <c r="K31" s="34"/>
      <c r="L31" s="34" t="s">
        <v>21</v>
      </c>
      <c r="M31" s="1"/>
      <c r="N31" s="1"/>
      <c r="O31" s="1"/>
      <c r="P31" s="1"/>
      <c r="Q31" s="1"/>
      <c r="R31" s="1"/>
      <c r="S31" s="1"/>
      <c r="T31" s="1"/>
      <c r="U31" s="1"/>
      <c r="V31" s="1"/>
      <c r="W31" s="1"/>
      <c r="X31" s="1"/>
      <c r="Y31" s="1"/>
      <c r="Z31" s="1"/>
      <c r="AA31" s="1"/>
    </row>
    <row r="32" ht="15.75" customHeight="1">
      <c r="A32" s="1"/>
      <c r="B32" s="24"/>
      <c r="C32" s="24" t="s">
        <v>26</v>
      </c>
      <c r="D32" s="35" t="s">
        <v>27</v>
      </c>
      <c r="E32" s="35" t="s">
        <v>28</v>
      </c>
      <c r="F32" s="35" t="s">
        <v>29</v>
      </c>
      <c r="G32" s="35" t="s">
        <v>30</v>
      </c>
      <c r="H32" s="35" t="s">
        <v>31</v>
      </c>
      <c r="I32" s="35" t="s">
        <v>32</v>
      </c>
      <c r="J32" s="35" t="s">
        <v>33</v>
      </c>
      <c r="K32" s="35" t="s">
        <v>34</v>
      </c>
      <c r="L32" s="35" t="s">
        <v>27</v>
      </c>
      <c r="M32" s="1"/>
      <c r="N32" s="1"/>
      <c r="O32" s="1"/>
      <c r="P32" s="1"/>
      <c r="Q32" s="1"/>
      <c r="R32" s="1"/>
      <c r="S32" s="1"/>
      <c r="T32" s="1"/>
      <c r="U32" s="1"/>
      <c r="V32" s="1"/>
      <c r="W32" s="1"/>
      <c r="X32" s="1"/>
      <c r="Y32" s="1"/>
      <c r="Z32" s="1"/>
      <c r="AA32" s="1"/>
    </row>
    <row r="33" ht="15.75" customHeight="1">
      <c r="A33" s="1"/>
      <c r="B33" s="82" t="s">
        <v>60</v>
      </c>
      <c r="C33" s="83" t="str">
        <f>Ticker</f>
        <v>ATVI</v>
      </c>
      <c r="D33" s="85">
        <f>+L26</f>
        <v>0.9250636818</v>
      </c>
      <c r="E33" s="88">
        <f>HLOOKUP($C33,Comps_Range,E$11,FALSE)</f>
        <v>2675</v>
      </c>
      <c r="F33" s="89">
        <f>+E33/($E33+$G33+$I33)</f>
        <v>0.05347326337</v>
      </c>
      <c r="G33" s="88" t="str">
        <f>HLOOKUP($C33,Comps_Range,G$11,FALSE)</f>
        <v/>
      </c>
      <c r="H33" s="89">
        <f>+G33/($E33+$G33+$I33)</f>
        <v>0</v>
      </c>
      <c r="I33" s="88">
        <f>HLOOKUP($C33,Comps_Range,I$11,FALSE)</f>
        <v>47350</v>
      </c>
      <c r="J33" s="89">
        <f>+I33/($E33+$G33+$I33)</f>
        <v>0.9465267366</v>
      </c>
      <c r="K33" s="90">
        <f>HLOOKUP($C33,Comps_Range,K$11,FALSE)</f>
        <v>0.1919</v>
      </c>
      <c r="L33" s="91">
        <f>D33*(1+(E33/I33)*(1-Tax_Rate)+(G33/I33))</f>
        <v>0.967295574</v>
      </c>
      <c r="M33" s="1"/>
      <c r="N33" s="1"/>
      <c r="O33" s="1"/>
      <c r="P33" s="1"/>
      <c r="Q33" s="1"/>
      <c r="R33" s="1"/>
      <c r="S33" s="1"/>
      <c r="T33" s="1"/>
      <c r="U33" s="1"/>
      <c r="V33" s="1"/>
      <c r="W33" s="1"/>
      <c r="X33" s="1"/>
      <c r="Y33" s="1"/>
      <c r="Z33" s="1"/>
      <c r="AA33" s="1"/>
    </row>
    <row r="34" ht="15.75" customHeight="1">
      <c r="A34" s="1"/>
      <c r="B34" s="1" t="s">
        <v>61</v>
      </c>
      <c r="C34" s="92" t="str">
        <f>Ticker</f>
        <v>ATVI</v>
      </c>
      <c r="D34" s="36">
        <f>+L26</f>
        <v>0.9250636818</v>
      </c>
      <c r="E34" s="8">
        <f>+F34*($E33+$G33+$I33)</f>
        <v>347.7066133</v>
      </c>
      <c r="F34" s="38">
        <f>+F26</f>
        <v>0.006950656937</v>
      </c>
      <c r="G34" s="8">
        <f>+H34*($E33+$G33+$I33)</f>
        <v>0</v>
      </c>
      <c r="H34" s="38">
        <f>+H26</f>
        <v>0</v>
      </c>
      <c r="I34" s="8">
        <f>+J34*($E33+$G33+$I33)</f>
        <v>49677.29339</v>
      </c>
      <c r="J34" s="38">
        <f>+J26</f>
        <v>0.9930493431</v>
      </c>
      <c r="K34" s="93">
        <f>HLOOKUP($C34,Comps_Range,K$11,FALSE)</f>
        <v>0.1919</v>
      </c>
      <c r="L34" s="65">
        <f>D34*(1+(E34/I34)*(1-Tax_Rate)+(G34/I34))</f>
        <v>0.9302959712</v>
      </c>
      <c r="M34" s="1"/>
      <c r="N34" s="1"/>
      <c r="O34" s="1"/>
      <c r="P34" s="1"/>
      <c r="Q34" s="1"/>
      <c r="R34" s="1"/>
      <c r="S34" s="1"/>
      <c r="T34" s="1"/>
      <c r="U34" s="1"/>
      <c r="V34" s="1"/>
      <c r="W34" s="1"/>
      <c r="X34" s="1"/>
      <c r="Y34" s="1"/>
      <c r="Z34" s="1"/>
      <c r="AA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ht="15.75" customHeight="1">
      <c r="A36" s="1"/>
      <c r="B36" s="95" t="s">
        <v>65</v>
      </c>
      <c r="C36" s="97"/>
      <c r="D36" s="97"/>
      <c r="E36" s="97"/>
      <c r="F36" s="97"/>
      <c r="G36" s="97"/>
      <c r="H36" s="97"/>
      <c r="I36" s="97"/>
      <c r="J36" s="97"/>
      <c r="K36" s="97"/>
      <c r="L36" s="98">
        <f>+Risk_Free_Rate+Equity_Risk_Premium*L33</f>
        <v>0.05724515604</v>
      </c>
      <c r="M36" s="1"/>
      <c r="N36" s="1"/>
      <c r="O36" s="1"/>
      <c r="P36" s="1"/>
      <c r="Q36" s="1"/>
      <c r="R36" s="1"/>
      <c r="S36" s="1"/>
      <c r="T36" s="1"/>
      <c r="U36" s="1"/>
      <c r="V36" s="1"/>
      <c r="W36" s="1"/>
      <c r="X36" s="1"/>
      <c r="Y36" s="1"/>
      <c r="Z36" s="1"/>
      <c r="AA36" s="1"/>
    </row>
    <row r="37" ht="15.75" customHeight="1">
      <c r="A37" s="1"/>
      <c r="B37" s="99" t="s">
        <v>67</v>
      </c>
      <c r="C37" s="101"/>
      <c r="D37" s="101"/>
      <c r="E37" s="101"/>
      <c r="F37" s="101"/>
      <c r="G37" s="101"/>
      <c r="H37" s="101"/>
      <c r="I37" s="101"/>
      <c r="J37" s="101"/>
      <c r="K37" s="101"/>
      <c r="L37" s="102">
        <f>+Risk_Free_Rate+Equity_Risk_Premium*L34</f>
        <v>0.05537297614</v>
      </c>
      <c r="M37" s="1"/>
      <c r="N37" s="1"/>
      <c r="O37" s="1"/>
      <c r="P37" s="1"/>
      <c r="Q37" s="1"/>
      <c r="R37" s="1"/>
      <c r="S37" s="1"/>
      <c r="T37" s="1"/>
      <c r="U37" s="1"/>
      <c r="V37" s="1"/>
      <c r="W37" s="1"/>
      <c r="X37" s="1"/>
      <c r="Y37" s="1"/>
      <c r="Z37" s="1"/>
      <c r="AA37" s="1"/>
    </row>
    <row r="38" ht="15.75" customHeight="1">
      <c r="A38" s="1"/>
      <c r="B38" s="103" t="s">
        <v>69</v>
      </c>
      <c r="C38" s="104"/>
      <c r="D38" s="104"/>
      <c r="E38" s="104"/>
      <c r="F38" s="104"/>
      <c r="G38" s="104"/>
      <c r="H38" s="104"/>
      <c r="I38" s="104"/>
      <c r="J38" s="104"/>
      <c r="K38" s="104"/>
      <c r="L38" s="105">
        <f>+Risk_Free_Rate+Equity_Risk_Premium*D28</f>
        <v>0.05051052</v>
      </c>
      <c r="M38" s="1"/>
      <c r="N38" s="1"/>
      <c r="O38" s="1"/>
      <c r="P38" s="1"/>
      <c r="Q38" s="1"/>
      <c r="R38" s="1"/>
      <c r="S38" s="1"/>
      <c r="T38" s="1"/>
      <c r="U38" s="1"/>
      <c r="V38" s="1"/>
      <c r="W38" s="1"/>
      <c r="X38" s="1"/>
      <c r="Y38" s="1"/>
      <c r="Z38" s="1"/>
      <c r="AA38" s="1"/>
    </row>
    <row r="39" ht="15.75" customHeight="1">
      <c r="A39" s="1"/>
      <c r="B39" s="82"/>
      <c r="C39" s="82"/>
      <c r="D39" s="82"/>
      <c r="E39" s="82"/>
      <c r="F39" s="82"/>
      <c r="G39" s="82"/>
      <c r="H39" s="82"/>
      <c r="I39" s="82"/>
      <c r="J39" s="82"/>
      <c r="K39" s="82"/>
      <c r="L39" s="82"/>
      <c r="M39" s="1"/>
      <c r="N39" s="1"/>
      <c r="O39" s="1"/>
      <c r="P39" s="1"/>
      <c r="Q39" s="1"/>
      <c r="R39" s="1"/>
      <c r="S39" s="1"/>
      <c r="T39" s="1"/>
      <c r="U39" s="1"/>
      <c r="V39" s="1"/>
      <c r="W39" s="1"/>
      <c r="X39" s="1"/>
      <c r="Y39" s="1"/>
      <c r="Z39" s="1"/>
      <c r="AA39" s="1"/>
    </row>
    <row r="40" ht="15.75" customHeight="1">
      <c r="A40" s="1"/>
      <c r="B40" s="1" t="s">
        <v>70</v>
      </c>
      <c r="C40" s="1"/>
      <c r="D40" s="1"/>
      <c r="E40" s="1"/>
      <c r="F40" s="1"/>
      <c r="G40" s="1"/>
      <c r="H40" s="1"/>
      <c r="I40" s="1"/>
      <c r="J40" s="1"/>
      <c r="K40" s="1"/>
      <c r="L40" s="1"/>
      <c r="M40" s="1"/>
      <c r="N40" s="1"/>
      <c r="O40" s="1"/>
      <c r="P40" s="1"/>
      <c r="Q40" s="1"/>
      <c r="R40" s="1"/>
      <c r="S40" s="1"/>
      <c r="T40" s="1"/>
      <c r="U40" s="1"/>
      <c r="V40" s="1"/>
      <c r="W40" s="1"/>
      <c r="X40" s="1"/>
      <c r="Y40" s="1"/>
      <c r="Z40" s="1"/>
      <c r="AA40" s="1"/>
    </row>
    <row r="41" ht="15.75" customHeight="1">
      <c r="A41" s="1"/>
      <c r="B41" s="106"/>
      <c r="C41" s="106"/>
      <c r="D41" s="106"/>
      <c r="E41" s="106"/>
      <c r="F41" s="106"/>
      <c r="G41" s="106"/>
      <c r="H41" s="106"/>
      <c r="I41" s="106"/>
      <c r="J41" s="106"/>
      <c r="K41" s="106"/>
      <c r="L41" s="106"/>
      <c r="M41" s="1"/>
      <c r="N41" s="1"/>
      <c r="O41" s="1"/>
      <c r="P41" s="1"/>
      <c r="Q41" s="1"/>
      <c r="R41" s="1"/>
      <c r="S41" s="1"/>
      <c r="T41" s="1"/>
      <c r="U41" s="1"/>
      <c r="V41" s="1"/>
      <c r="W41" s="1"/>
      <c r="X41" s="1"/>
      <c r="Y41" s="1"/>
      <c r="Z41" s="1"/>
      <c r="AA41" s="1"/>
    </row>
    <row r="42" ht="15.75" customHeight="1">
      <c r="A42" s="1"/>
      <c r="B42" s="95" t="s">
        <v>71</v>
      </c>
      <c r="C42" s="97"/>
      <c r="D42" s="97"/>
      <c r="E42" s="97"/>
      <c r="F42" s="97"/>
      <c r="G42" s="97"/>
      <c r="H42" s="97"/>
      <c r="I42" s="97"/>
      <c r="J42" s="97"/>
      <c r="K42" s="97"/>
      <c r="L42" s="107">
        <f>+L36*J33+Cost_of_Debt*(1-Tax_Rate)*F33+Cost_of_Preferred*H33</f>
        <v>0.0555582042</v>
      </c>
      <c r="M42" s="1"/>
      <c r="N42" s="1"/>
      <c r="O42" s="1"/>
      <c r="P42" s="1"/>
      <c r="Q42" s="1"/>
      <c r="R42" s="1"/>
      <c r="S42" s="1"/>
      <c r="T42" s="1"/>
      <c r="U42" s="1"/>
      <c r="V42" s="1"/>
      <c r="W42" s="1"/>
      <c r="X42" s="1"/>
      <c r="Y42" s="1"/>
      <c r="Z42" s="1"/>
      <c r="AA42" s="1"/>
    </row>
    <row r="43" ht="15.75" customHeight="1">
      <c r="A43" s="1"/>
      <c r="B43" s="99" t="s">
        <v>72</v>
      </c>
      <c r="C43" s="101"/>
      <c r="D43" s="101"/>
      <c r="E43" s="101"/>
      <c r="F43" s="101"/>
      <c r="G43" s="101"/>
      <c r="H43" s="101"/>
      <c r="I43" s="101"/>
      <c r="J43" s="101"/>
      <c r="K43" s="101"/>
      <c r="L43" s="108">
        <f>+L38*J33+Cost_of_Debt*(1-Tax_Rate)*F33+Cost_of_Preferred*H33</f>
        <v>0.04918369112</v>
      </c>
      <c r="M43" s="1"/>
      <c r="N43" s="1"/>
      <c r="O43" s="1"/>
      <c r="P43" s="1"/>
      <c r="Q43" s="1"/>
      <c r="R43" s="1"/>
      <c r="S43" s="1"/>
      <c r="T43" s="1"/>
      <c r="U43" s="1"/>
      <c r="V43" s="1"/>
      <c r="W43" s="1"/>
      <c r="X43" s="1"/>
      <c r="Y43" s="1"/>
      <c r="Z43" s="1"/>
      <c r="AA43" s="1"/>
    </row>
    <row r="44" ht="15.75" customHeight="1">
      <c r="A44" s="1"/>
      <c r="B44" s="103" t="s">
        <v>73</v>
      </c>
      <c r="C44" s="104"/>
      <c r="D44" s="104"/>
      <c r="E44" s="104"/>
      <c r="F44" s="104"/>
      <c r="G44" s="104"/>
      <c r="H44" s="104"/>
      <c r="I44" s="104"/>
      <c r="J44" s="104"/>
      <c r="K44" s="104"/>
      <c r="L44" s="109">
        <f>+L37*J34+Cost_of_Debt*(1-Tax_Rate)*F34+Cost_of_Preferred*H34</f>
        <v>0.05516671265</v>
      </c>
      <c r="M44" s="1"/>
      <c r="N44" s="1"/>
      <c r="O44" s="1"/>
      <c r="P44" s="1"/>
      <c r="Q44" s="1"/>
      <c r="R44" s="1"/>
      <c r="S44" s="1"/>
      <c r="T44" s="1"/>
      <c r="U44" s="1"/>
      <c r="V44" s="1"/>
      <c r="W44" s="1"/>
      <c r="X44" s="1"/>
      <c r="Y44" s="1"/>
      <c r="Z44" s="1"/>
      <c r="AA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ht="15.75" customHeight="1">
      <c r="A46" s="1"/>
      <c r="B46" s="110" t="s">
        <v>74</v>
      </c>
      <c r="C46" s="111"/>
      <c r="D46" s="111"/>
      <c r="E46" s="111"/>
      <c r="F46" s="111"/>
      <c r="G46" s="111"/>
      <c r="H46" s="111"/>
      <c r="I46" s="111"/>
      <c r="J46" s="111"/>
      <c r="K46" s="111"/>
      <c r="L46" s="112">
        <f>AVERAGE(L42:L44)</f>
        <v>0.05330286932</v>
      </c>
      <c r="M46" s="1"/>
      <c r="N46" s="1"/>
      <c r="O46" s="1"/>
      <c r="P46" s="1"/>
      <c r="Q46" s="1"/>
      <c r="R46" s="1"/>
      <c r="S46" s="1"/>
      <c r="T46" s="1"/>
      <c r="U46" s="1"/>
      <c r="V46" s="1"/>
      <c r="W46" s="1"/>
      <c r="X46" s="1"/>
      <c r="Y46" s="1"/>
      <c r="Z46" s="1"/>
      <c r="AA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scale="56" orientation="portrait"/>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71"/>
    <col customWidth="1" min="2" max="18" width="10.71"/>
    <col customWidth="1" min="19" max="26" width="8.86"/>
  </cols>
  <sheetData>
    <row r="1" ht="15.75" customHeight="1">
      <c r="A1" s="1"/>
      <c r="B1" s="1"/>
      <c r="C1" s="1"/>
      <c r="D1" s="1"/>
      <c r="E1" s="1"/>
      <c r="F1" s="1"/>
      <c r="G1" s="1"/>
      <c r="H1" s="1"/>
      <c r="I1" s="1"/>
      <c r="J1" s="1"/>
      <c r="K1" s="1"/>
      <c r="L1" s="1"/>
      <c r="M1" s="1"/>
      <c r="N1" s="1"/>
      <c r="O1" s="1"/>
      <c r="P1" s="1"/>
      <c r="Q1" s="1"/>
      <c r="R1" s="1"/>
      <c r="S1" s="1"/>
      <c r="T1" s="1"/>
      <c r="U1" s="1"/>
      <c r="V1" s="1"/>
      <c r="W1" s="1"/>
      <c r="X1" s="1"/>
      <c r="Y1" s="1"/>
      <c r="Z1" s="1"/>
    </row>
    <row r="2" ht="15.75" customHeight="1">
      <c r="A2" s="1"/>
      <c r="B2" s="1"/>
      <c r="C2" s="1"/>
      <c r="D2" s="1"/>
      <c r="E2" s="1"/>
      <c r="F2" s="1"/>
      <c r="G2" s="1"/>
      <c r="H2" s="1"/>
      <c r="I2" s="1"/>
      <c r="J2" s="1"/>
      <c r="K2" s="1"/>
      <c r="L2" s="1"/>
      <c r="M2" s="1"/>
      <c r="N2" s="1"/>
      <c r="O2" s="1"/>
      <c r="P2" s="1"/>
      <c r="Q2" s="1"/>
      <c r="R2" s="1"/>
      <c r="S2" s="1"/>
      <c r="T2" s="1"/>
      <c r="U2" s="1"/>
      <c r="V2" s="1"/>
      <c r="W2" s="1"/>
      <c r="X2" s="1"/>
      <c r="Y2" s="1"/>
      <c r="Z2" s="1"/>
    </row>
    <row r="3" ht="15.75" customHeight="1">
      <c r="A3" s="1"/>
      <c r="B3" s="1"/>
      <c r="C3" s="1"/>
      <c r="D3" s="1"/>
      <c r="E3" s="1"/>
      <c r="F3" s="1"/>
      <c r="G3" s="1"/>
      <c r="H3" s="1"/>
      <c r="I3" s="1"/>
      <c r="J3" s="1"/>
      <c r="K3" s="1"/>
      <c r="L3" s="1"/>
      <c r="M3" s="1"/>
      <c r="N3" s="1"/>
      <c r="O3" s="1"/>
      <c r="P3" s="1"/>
      <c r="Q3" s="1"/>
      <c r="R3" s="1"/>
      <c r="S3" s="1"/>
      <c r="T3" s="1"/>
      <c r="U3" s="1"/>
      <c r="V3" s="1"/>
      <c r="W3" s="1"/>
      <c r="X3" s="1"/>
      <c r="Y3" s="1"/>
      <c r="Z3" s="1"/>
    </row>
    <row r="4" ht="15.75" customHeight="1">
      <c r="A4" s="1"/>
      <c r="B4" s="1"/>
      <c r="C4" s="1"/>
      <c r="D4" s="1"/>
      <c r="E4" s="1"/>
      <c r="F4" s="1"/>
      <c r="G4" s="1"/>
      <c r="H4" s="1"/>
      <c r="I4" s="1"/>
      <c r="J4" s="1"/>
      <c r="K4" s="1"/>
      <c r="L4" s="1"/>
      <c r="M4" s="1"/>
      <c r="N4" s="1"/>
      <c r="O4" s="1"/>
      <c r="P4" s="1"/>
      <c r="Q4" s="1"/>
      <c r="R4" s="1"/>
      <c r="S4" s="1"/>
      <c r="T4" s="1"/>
      <c r="U4" s="1"/>
      <c r="V4" s="1"/>
      <c r="W4" s="1"/>
      <c r="X4" s="1"/>
      <c r="Y4" s="1"/>
      <c r="Z4" s="1"/>
    </row>
    <row r="5" ht="15.75" customHeight="1">
      <c r="A5" s="1"/>
      <c r="B5" s="1"/>
      <c r="C5" s="1"/>
      <c r="D5" s="1"/>
      <c r="E5" s="1"/>
      <c r="F5" s="1"/>
      <c r="G5" s="1"/>
      <c r="H5" s="1"/>
      <c r="I5" s="1"/>
      <c r="J5" s="1"/>
      <c r="K5" s="1"/>
      <c r="L5" s="1"/>
      <c r="M5" s="1"/>
      <c r="N5" s="1"/>
      <c r="O5" s="1"/>
      <c r="P5" s="1"/>
      <c r="Q5" s="1"/>
      <c r="R5" s="1"/>
      <c r="S5" s="1"/>
      <c r="T5" s="1"/>
      <c r="U5" s="1"/>
      <c r="V5" s="1"/>
      <c r="W5" s="1"/>
      <c r="X5" s="1"/>
      <c r="Y5" s="1"/>
      <c r="Z5" s="1"/>
    </row>
    <row r="6" ht="15.75" customHeight="1">
      <c r="A6" s="1"/>
      <c r="B6" s="1"/>
      <c r="C6" s="1"/>
      <c r="D6" s="1"/>
      <c r="E6" s="1"/>
      <c r="F6" s="1"/>
      <c r="G6" s="1"/>
      <c r="H6" s="1"/>
      <c r="I6" s="1"/>
      <c r="J6" s="1"/>
      <c r="K6" s="1"/>
      <c r="L6" s="1"/>
      <c r="M6" s="1"/>
      <c r="N6" s="1"/>
      <c r="O6" s="1"/>
      <c r="P6" s="1"/>
      <c r="Q6" s="1"/>
      <c r="R6" s="1"/>
      <c r="S6" s="1"/>
      <c r="T6" s="1"/>
      <c r="U6" s="1"/>
      <c r="V6" s="1"/>
      <c r="W6" s="1"/>
      <c r="X6" s="1"/>
      <c r="Y6" s="1"/>
      <c r="Z6" s="1"/>
    </row>
    <row r="7" ht="15.75" customHeight="1">
      <c r="A7" s="1"/>
      <c r="B7" s="1"/>
      <c r="C7" s="1"/>
      <c r="D7" s="1"/>
      <c r="E7" s="1"/>
      <c r="F7" s="1"/>
      <c r="G7" s="1"/>
      <c r="H7" s="1"/>
      <c r="I7" s="1"/>
      <c r="J7" s="1"/>
      <c r="K7" s="1"/>
      <c r="L7" s="1"/>
      <c r="M7" s="1"/>
      <c r="N7" s="1"/>
      <c r="O7" s="1"/>
      <c r="P7" s="1"/>
      <c r="Q7" s="1"/>
      <c r="R7" s="1"/>
      <c r="S7" s="1"/>
      <c r="T7" s="1"/>
      <c r="U7" s="1"/>
      <c r="V7" s="1"/>
      <c r="W7" s="1"/>
      <c r="X7" s="1"/>
      <c r="Y7" s="1"/>
      <c r="Z7" s="1"/>
    </row>
    <row r="8" ht="15.75" customHeight="1">
      <c r="A8" s="1"/>
      <c r="B8" s="1"/>
      <c r="C8" s="1"/>
      <c r="D8" s="1"/>
      <c r="E8" s="1"/>
      <c r="F8" s="1"/>
      <c r="G8" s="1"/>
      <c r="H8" s="1"/>
      <c r="I8" s="1"/>
      <c r="J8" s="1"/>
      <c r="K8" s="1"/>
      <c r="L8" s="1"/>
      <c r="M8" s="1"/>
      <c r="N8" s="1"/>
      <c r="O8" s="1"/>
      <c r="P8" s="1"/>
      <c r="Q8" s="1"/>
      <c r="R8" s="1"/>
      <c r="S8" s="1"/>
      <c r="T8" s="1"/>
      <c r="U8" s="1"/>
      <c r="V8" s="1"/>
      <c r="W8" s="1"/>
      <c r="X8" s="1"/>
      <c r="Y8" s="1"/>
      <c r="Z8" s="1"/>
    </row>
    <row r="9" ht="15.75" customHeight="1">
      <c r="A9" s="1"/>
      <c r="B9" s="1"/>
      <c r="C9" s="1"/>
      <c r="D9" s="1"/>
      <c r="E9" s="1"/>
      <c r="F9" s="1"/>
      <c r="G9" s="1"/>
      <c r="H9" s="1"/>
      <c r="I9" s="1"/>
      <c r="J9" s="1"/>
      <c r="K9" s="1"/>
      <c r="L9" s="1"/>
      <c r="M9" s="1"/>
      <c r="N9" s="1"/>
      <c r="O9" s="1"/>
      <c r="P9" s="1"/>
      <c r="Q9" s="1"/>
      <c r="R9" s="1"/>
      <c r="S9" s="1"/>
      <c r="T9" s="1"/>
      <c r="U9" s="1"/>
      <c r="V9" s="1"/>
      <c r="W9" s="1"/>
      <c r="X9" s="1"/>
      <c r="Y9" s="1"/>
      <c r="Z9" s="1"/>
    </row>
    <row r="10" ht="15.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5.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5.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5.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5.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5.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t="s">
        <v>41</v>
      </c>
      <c r="J32" s="1" t="s">
        <v>42</v>
      </c>
      <c r="K32" s="1" t="s">
        <v>43</v>
      </c>
      <c r="L32" s="1" t="s">
        <v>44</v>
      </c>
      <c r="M32" s="1" t="s">
        <v>45</v>
      </c>
      <c r="N32" s="55" t="s">
        <v>46</v>
      </c>
      <c r="O32" s="55" t="s">
        <v>47</v>
      </c>
      <c r="P32" s="55" t="s">
        <v>48</v>
      </c>
      <c r="Q32" s="55" t="s">
        <v>49</v>
      </c>
      <c r="R32" s="55" t="s">
        <v>50</v>
      </c>
      <c r="S32" s="1"/>
      <c r="T32" s="1"/>
      <c r="U32" s="1"/>
      <c r="V32" s="1"/>
      <c r="W32" s="1"/>
      <c r="X32" s="1"/>
      <c r="Y32" s="1"/>
      <c r="Z32" s="1"/>
    </row>
    <row r="33" ht="15.75" customHeight="1">
      <c r="A33" s="1"/>
      <c r="B33" s="1"/>
      <c r="C33" s="1"/>
      <c r="D33" s="1"/>
      <c r="E33" s="1"/>
      <c r="F33" s="1"/>
      <c r="G33" s="1"/>
      <c r="H33" s="1"/>
      <c r="I33" s="56"/>
      <c r="J33" s="56"/>
      <c r="K33" s="56"/>
      <c r="L33" s="56"/>
      <c r="M33" s="56"/>
      <c r="N33" s="56"/>
      <c r="O33" s="56"/>
      <c r="P33" s="56"/>
      <c r="Q33" s="56"/>
      <c r="R33" s="56"/>
      <c r="S33" s="1"/>
      <c r="T33" s="1"/>
      <c r="U33" s="1"/>
      <c r="V33" s="1"/>
      <c r="W33" s="1"/>
      <c r="X33" s="1"/>
      <c r="Y33" s="1"/>
      <c r="Z33" s="1"/>
    </row>
    <row r="34" ht="15.75" customHeight="1">
      <c r="A34" s="1"/>
      <c r="B34" s="32" t="str">
        <f>+ValSum!B23</f>
        <v>5.00% - 6.60% WACC, 0.50% - 2.50% Terminal FCF Growth Rate:</v>
      </c>
      <c r="C34" s="1"/>
      <c r="D34" s="1"/>
      <c r="E34" s="1"/>
      <c r="F34" s="1"/>
      <c r="G34" s="1"/>
      <c r="H34" s="1"/>
      <c r="I34" s="56">
        <f>+ValSum!I23</f>
        <v>47.48509078</v>
      </c>
      <c r="J34" s="56">
        <f>+ValSum!J23</f>
        <v>50.67534483</v>
      </c>
      <c r="K34" s="56">
        <f>+ValSum!K23</f>
        <v>58.4968104</v>
      </c>
      <c r="L34" s="56">
        <f>+ValSum!L23</f>
        <v>60.08818883</v>
      </c>
      <c r="M34" s="56">
        <f>+ValSum!M23</f>
        <v>69.45421914</v>
      </c>
      <c r="N34" s="57">
        <f>+I34</f>
        <v>47.48509078</v>
      </c>
      <c r="O34" s="57">
        <f t="shared" ref="O34:R34" si="1">+J34-I34</f>
        <v>3.190254055</v>
      </c>
      <c r="P34" s="57">
        <f t="shared" si="1"/>
        <v>7.82146557</v>
      </c>
      <c r="Q34" s="57">
        <f t="shared" si="1"/>
        <v>1.591378428</v>
      </c>
      <c r="R34" s="57">
        <f t="shared" si="1"/>
        <v>9.366030309</v>
      </c>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62"/>
      <c r="J36" s="62"/>
      <c r="K36" s="62"/>
      <c r="L36" s="62"/>
      <c r="M36" s="62"/>
      <c r="N36" s="62"/>
      <c r="O36" s="62"/>
      <c r="P36" s="62"/>
      <c r="Q36" s="62"/>
      <c r="R36" s="62"/>
      <c r="S36" s="1"/>
      <c r="T36" s="1"/>
      <c r="U36" s="1"/>
      <c r="V36" s="1"/>
      <c r="W36" s="1"/>
      <c r="X36" s="1"/>
      <c r="Y36" s="1"/>
      <c r="Z36" s="1"/>
    </row>
    <row r="37" ht="15.75" customHeight="1">
      <c r="A37" s="1"/>
      <c r="B37" s="32" t="str">
        <f>+ValSum!B20</f>
        <v>Friday-12-31 E Reported P / E:</v>
      </c>
      <c r="C37" s="1"/>
      <c r="D37" s="1"/>
      <c r="E37" s="1"/>
      <c r="F37" s="1"/>
      <c r="G37" s="1"/>
      <c r="H37" s="1"/>
      <c r="I37" s="62">
        <f>+ValSum!I20</f>
        <v>38.20678331</v>
      </c>
      <c r="J37" s="62">
        <f>+ValSum!J20</f>
        <v>43.9013788</v>
      </c>
      <c r="K37" s="62">
        <f>+ValSum!K20</f>
        <v>48.10492841</v>
      </c>
      <c r="L37" s="62">
        <f>+ValSum!L20</f>
        <v>51.61714723</v>
      </c>
      <c r="M37" s="62">
        <f>+ValSum!M20</f>
        <v>58.56342089</v>
      </c>
      <c r="N37" s="65">
        <f t="shared" ref="N37:N45" si="3">+I37</f>
        <v>38.20678331</v>
      </c>
      <c r="O37" s="65">
        <f t="shared" ref="O37:R37" si="2">+J37-I37</f>
        <v>5.69459549</v>
      </c>
      <c r="P37" s="65">
        <f t="shared" si="2"/>
        <v>4.203549606</v>
      </c>
      <c r="Q37" s="65">
        <f t="shared" si="2"/>
        <v>3.512218822</v>
      </c>
      <c r="R37" s="65">
        <f t="shared" si="2"/>
        <v>6.946273661</v>
      </c>
      <c r="S37" s="1"/>
      <c r="T37" s="1"/>
      <c r="U37" s="1"/>
      <c r="V37" s="1"/>
      <c r="W37" s="1"/>
      <c r="X37" s="1"/>
      <c r="Y37" s="1"/>
      <c r="Z37" s="1"/>
    </row>
    <row r="38" ht="15.75" customHeight="1">
      <c r="A38" s="1"/>
      <c r="B38" s="32" t="str">
        <f>+ValSum!B19</f>
        <v>Thursday-12-31 E Reported P / E:</v>
      </c>
      <c r="C38" s="1"/>
      <c r="D38" s="1"/>
      <c r="E38" s="1"/>
      <c r="F38" s="1"/>
      <c r="G38" s="1"/>
      <c r="H38" s="1"/>
      <c r="I38" s="62">
        <f>+ValSum!I19</f>
        <v>31.6554843</v>
      </c>
      <c r="J38" s="62">
        <f>+ValSum!J19</f>
        <v>44.17124246</v>
      </c>
      <c r="K38" s="62">
        <f>+ValSum!K19</f>
        <v>47.12678557</v>
      </c>
      <c r="L38" s="62">
        <f>+ValSum!L19</f>
        <v>50.11802446</v>
      </c>
      <c r="M38" s="62">
        <f>+ValSum!M19</f>
        <v>59.89580557</v>
      </c>
      <c r="N38" s="65">
        <f t="shared" si="3"/>
        <v>31.6554843</v>
      </c>
      <c r="O38" s="65">
        <f t="shared" ref="O38:R38" si="4">+J38-I38</f>
        <v>12.51575816</v>
      </c>
      <c r="P38" s="65">
        <f t="shared" si="4"/>
        <v>2.955543116</v>
      </c>
      <c r="Q38" s="65">
        <f t="shared" si="4"/>
        <v>2.991238885</v>
      </c>
      <c r="R38" s="65">
        <f t="shared" si="4"/>
        <v>9.777781113</v>
      </c>
      <c r="S38" s="1"/>
      <c r="T38" s="1"/>
      <c r="U38" s="1"/>
      <c r="V38" s="1"/>
      <c r="W38" s="1"/>
      <c r="X38" s="1"/>
      <c r="Y38" s="1"/>
      <c r="Z38" s="1"/>
    </row>
    <row r="39" ht="15.75" customHeight="1">
      <c r="A39" s="1"/>
      <c r="B39" s="32" t="str">
        <f>+ValSum!B18</f>
        <v>LTM Reported P / E:</v>
      </c>
      <c r="C39" s="1"/>
      <c r="D39" s="1"/>
      <c r="E39" s="1"/>
      <c r="F39" s="1"/>
      <c r="G39" s="1"/>
      <c r="H39" s="1"/>
      <c r="I39" s="62">
        <f>+ValSum!I18</f>
        <v>42.07732892</v>
      </c>
      <c r="J39" s="62">
        <f>+ValSum!J18</f>
        <v>47.13768611</v>
      </c>
      <c r="K39" s="62">
        <f>+ValSum!K18</f>
        <v>65.30076664</v>
      </c>
      <c r="L39" s="62">
        <f>+ValSum!L18</f>
        <v>72.43070313</v>
      </c>
      <c r="M39" s="62">
        <f>+ValSum!M18</f>
        <v>77.45411584</v>
      </c>
      <c r="N39" s="65">
        <f t="shared" si="3"/>
        <v>42.07732892</v>
      </c>
      <c r="O39" s="65">
        <f t="shared" ref="O39:R39" si="5">+J39-I39</f>
        <v>5.060357184</v>
      </c>
      <c r="P39" s="65">
        <f t="shared" si="5"/>
        <v>18.16308053</v>
      </c>
      <c r="Q39" s="65">
        <f t="shared" si="5"/>
        <v>7.129936489</v>
      </c>
      <c r="R39" s="65">
        <f t="shared" si="5"/>
        <v>5.023412716</v>
      </c>
      <c r="S39" s="1"/>
      <c r="T39" s="1"/>
      <c r="U39" s="1"/>
      <c r="V39" s="1"/>
      <c r="W39" s="1"/>
      <c r="X39" s="1"/>
      <c r="Y39" s="1"/>
      <c r="Z39" s="1"/>
    </row>
    <row r="40" ht="15.75" customHeight="1">
      <c r="A40" s="1"/>
      <c r="B40" s="32" t="str">
        <f>+ValSum!B17</f>
        <v>Friday-12-31 E EV / EBITDA:</v>
      </c>
      <c r="C40" s="1"/>
      <c r="D40" s="1"/>
      <c r="E40" s="1"/>
      <c r="F40" s="1"/>
      <c r="G40" s="1"/>
      <c r="H40" s="1"/>
      <c r="I40" s="62">
        <f>+ValSum!I17</f>
        <v>24.87201901</v>
      </c>
      <c r="J40" s="62">
        <f>+ValSum!J17</f>
        <v>38.05240772</v>
      </c>
      <c r="K40" s="62">
        <f>+ValSum!K17</f>
        <v>41.72766703</v>
      </c>
      <c r="L40" s="62">
        <f>+ValSum!L17</f>
        <v>47.36616709</v>
      </c>
      <c r="M40" s="62">
        <f>+ValSum!M17</f>
        <v>56.83352775</v>
      </c>
      <c r="N40" s="65">
        <f t="shared" si="3"/>
        <v>24.87201901</v>
      </c>
      <c r="O40" s="65">
        <f t="shared" ref="O40:R40" si="6">+J40-I40</f>
        <v>13.18038871</v>
      </c>
      <c r="P40" s="65">
        <f t="shared" si="6"/>
        <v>3.675259312</v>
      </c>
      <c r="Q40" s="65">
        <f t="shared" si="6"/>
        <v>5.638500053</v>
      </c>
      <c r="R40" s="65">
        <f t="shared" si="6"/>
        <v>9.467360664</v>
      </c>
      <c r="S40" s="1"/>
      <c r="T40" s="1"/>
      <c r="U40" s="1"/>
      <c r="V40" s="1"/>
      <c r="W40" s="1"/>
      <c r="X40" s="1"/>
      <c r="Y40" s="1"/>
      <c r="Z40" s="1"/>
    </row>
    <row r="41" ht="15.75" customHeight="1">
      <c r="A41" s="1"/>
      <c r="B41" s="32" t="str">
        <f>+ValSum!B16</f>
        <v>Thursday-12-31 E EV / EBITDA:</v>
      </c>
      <c r="C41" s="1"/>
      <c r="D41" s="1"/>
      <c r="E41" s="1"/>
      <c r="F41" s="1"/>
      <c r="G41" s="1"/>
      <c r="H41" s="1"/>
      <c r="I41" s="62">
        <f>+ValSum!I16</f>
        <v>35.61271555</v>
      </c>
      <c r="J41" s="62">
        <f>+ValSum!J16</f>
        <v>40.30868149</v>
      </c>
      <c r="K41" s="62">
        <f>+ValSum!K16</f>
        <v>42.21935285</v>
      </c>
      <c r="L41" s="62">
        <f>+ValSum!L16</f>
        <v>43.08229599</v>
      </c>
      <c r="M41" s="62">
        <f>+ValSum!M16</f>
        <v>45.96345378</v>
      </c>
      <c r="N41" s="65">
        <f t="shared" si="3"/>
        <v>35.61271555</v>
      </c>
      <c r="O41" s="65">
        <f t="shared" ref="O41:R41" si="7">+J41-I41</f>
        <v>4.695965935</v>
      </c>
      <c r="P41" s="65">
        <f t="shared" si="7"/>
        <v>1.910671362</v>
      </c>
      <c r="Q41" s="65">
        <f t="shared" si="7"/>
        <v>0.8629431442</v>
      </c>
      <c r="R41" s="65">
        <f t="shared" si="7"/>
        <v>2.881157784</v>
      </c>
      <c r="S41" s="1"/>
      <c r="T41" s="1"/>
      <c r="U41" s="1"/>
      <c r="V41" s="1"/>
      <c r="W41" s="1"/>
      <c r="X41" s="1"/>
      <c r="Y41" s="1"/>
      <c r="Z41" s="1"/>
    </row>
    <row r="42" ht="15.75" customHeight="1">
      <c r="A42" s="1"/>
      <c r="B42" s="32" t="str">
        <f>+ValSum!B15</f>
        <v>LTM EV / EBITDA:</v>
      </c>
      <c r="C42" s="1"/>
      <c r="D42" s="1"/>
      <c r="E42" s="1"/>
      <c r="F42" s="1"/>
      <c r="G42" s="1"/>
      <c r="H42" s="1"/>
      <c r="I42" s="62">
        <f>+ValSum!I15</f>
        <v>36.75006485</v>
      </c>
      <c r="J42" s="62">
        <f>+ValSum!J15</f>
        <v>41.09812659</v>
      </c>
      <c r="K42" s="62">
        <f>+ValSum!K15</f>
        <v>47.32868672</v>
      </c>
      <c r="L42" s="62">
        <f>+ValSum!L15</f>
        <v>57.02928684</v>
      </c>
      <c r="M42" s="62">
        <f>+ValSum!M15</f>
        <v>143.8015633</v>
      </c>
      <c r="N42" s="65">
        <f t="shared" si="3"/>
        <v>36.75006485</v>
      </c>
      <c r="O42" s="65">
        <f t="shared" ref="O42:R42" si="8">+J42-I42</f>
        <v>4.348061735</v>
      </c>
      <c r="P42" s="65">
        <f t="shared" si="8"/>
        <v>6.230560139</v>
      </c>
      <c r="Q42" s="65">
        <f t="shared" si="8"/>
        <v>9.700600115</v>
      </c>
      <c r="R42" s="65">
        <f t="shared" si="8"/>
        <v>86.77227644</v>
      </c>
      <c r="S42" s="1"/>
      <c r="T42" s="1"/>
      <c r="U42" s="1"/>
      <c r="V42" s="1"/>
      <c r="W42" s="1"/>
      <c r="X42" s="1"/>
      <c r="Y42" s="1"/>
      <c r="Z42" s="1"/>
    </row>
    <row r="43" ht="15.75" customHeight="1">
      <c r="A43" s="1"/>
      <c r="B43" s="32" t="str">
        <f>+ValSum!B14</f>
        <v>Friday-12-31 E EV / Revenue:</v>
      </c>
      <c r="C43" s="1"/>
      <c r="D43" s="1"/>
      <c r="E43" s="1"/>
      <c r="F43" s="1"/>
      <c r="G43" s="1"/>
      <c r="H43" s="1"/>
      <c r="I43" s="62">
        <f>+ValSum!I14</f>
        <v>22.04187105</v>
      </c>
      <c r="J43" s="62">
        <f>+ValSum!J14</f>
        <v>32.31345611</v>
      </c>
      <c r="K43" s="62">
        <f>+ValSum!K14</f>
        <v>38.91158035</v>
      </c>
      <c r="L43" s="62">
        <f>+ValSum!L14</f>
        <v>46.594279</v>
      </c>
      <c r="M43" s="62">
        <f>+ValSum!M14</f>
        <v>132.2112184</v>
      </c>
      <c r="N43" s="65">
        <f t="shared" si="3"/>
        <v>22.04187105</v>
      </c>
      <c r="O43" s="65">
        <f t="shared" ref="O43:R43" si="9">+J43-I43</f>
        <v>10.27158506</v>
      </c>
      <c r="P43" s="65">
        <f t="shared" si="9"/>
        <v>6.598124236</v>
      </c>
      <c r="Q43" s="65">
        <f t="shared" si="9"/>
        <v>7.682698653</v>
      </c>
      <c r="R43" s="65">
        <f t="shared" si="9"/>
        <v>85.61693937</v>
      </c>
      <c r="S43" s="1"/>
      <c r="T43" s="1"/>
      <c r="U43" s="1"/>
      <c r="V43" s="1"/>
      <c r="W43" s="1"/>
      <c r="X43" s="1"/>
      <c r="Y43" s="1"/>
      <c r="Z43" s="1"/>
    </row>
    <row r="44" ht="15.75" customHeight="1">
      <c r="A44" s="1"/>
      <c r="B44" s="32" t="str">
        <f>+ValSum!B13</f>
        <v>Thursday-12-31 E EV / Revenue:</v>
      </c>
      <c r="C44" s="1"/>
      <c r="D44" s="1"/>
      <c r="E44" s="1"/>
      <c r="F44" s="1"/>
      <c r="G44" s="1"/>
      <c r="H44" s="1"/>
      <c r="I44" s="62">
        <f>+ValSum!I13</f>
        <v>23.26254164</v>
      </c>
      <c r="J44" s="62">
        <f>+ValSum!J13</f>
        <v>31.43879182</v>
      </c>
      <c r="K44" s="62">
        <f>+ValSum!K13</f>
        <v>37.24669489</v>
      </c>
      <c r="L44" s="62">
        <f>+ValSum!L13</f>
        <v>54.4282807</v>
      </c>
      <c r="M44" s="62">
        <f>+ValSum!M13</f>
        <v>87.62083947</v>
      </c>
      <c r="N44" s="65">
        <f t="shared" si="3"/>
        <v>23.26254164</v>
      </c>
      <c r="O44" s="65">
        <f t="shared" ref="O44:R44" si="10">+J44-I44</f>
        <v>8.176250172</v>
      </c>
      <c r="P44" s="65">
        <f t="shared" si="10"/>
        <v>5.807903077</v>
      </c>
      <c r="Q44" s="65">
        <f t="shared" si="10"/>
        <v>17.18158581</v>
      </c>
      <c r="R44" s="65">
        <f t="shared" si="10"/>
        <v>33.19255876</v>
      </c>
      <c r="S44" s="1"/>
      <c r="T44" s="1"/>
      <c r="U44" s="1"/>
      <c r="V44" s="1"/>
      <c r="W44" s="1"/>
      <c r="X44" s="1"/>
      <c r="Y44" s="1"/>
      <c r="Z44" s="1"/>
    </row>
    <row r="45" ht="15.75" customHeight="1">
      <c r="A45" s="1"/>
      <c r="B45" s="32" t="str">
        <f>+ValSum!B12</f>
        <v>LTM EV / Revenue:</v>
      </c>
      <c r="C45" s="1"/>
      <c r="D45" s="1"/>
      <c r="E45" s="1"/>
      <c r="F45" s="1"/>
      <c r="G45" s="1"/>
      <c r="H45" s="1"/>
      <c r="I45" s="62">
        <f>+ValSum!I12</f>
        <v>22.54887495</v>
      </c>
      <c r="J45" s="62">
        <f>+ValSum!J12</f>
        <v>33.27340254</v>
      </c>
      <c r="K45" s="62">
        <f>+ValSum!K12</f>
        <v>42.54430347</v>
      </c>
      <c r="L45" s="62">
        <f>+ValSum!L12</f>
        <v>55.34557167</v>
      </c>
      <c r="M45" s="62">
        <f>+ValSum!M12</f>
        <v>572.2118969</v>
      </c>
      <c r="N45" s="65">
        <f t="shared" si="3"/>
        <v>22.54887495</v>
      </c>
      <c r="O45" s="65">
        <f t="shared" ref="O45:R45" si="11">+J45-I45</f>
        <v>10.72452759</v>
      </c>
      <c r="P45" s="65">
        <f t="shared" si="11"/>
        <v>9.270900926</v>
      </c>
      <c r="Q45" s="65">
        <f t="shared" si="11"/>
        <v>12.80126821</v>
      </c>
      <c r="R45" s="65">
        <f t="shared" si="11"/>
        <v>516.8663252</v>
      </c>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scale="37"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71"/>
    <col customWidth="1" min="2" max="2" width="46.43"/>
    <col customWidth="1" min="3" max="13" width="12.71"/>
    <col customWidth="1" min="14" max="26" width="8.86"/>
  </cols>
  <sheetData>
    <row r="1" ht="15.75" customHeight="1">
      <c r="A1" s="1"/>
      <c r="B1" s="1"/>
      <c r="C1" s="1"/>
      <c r="D1" s="1"/>
      <c r="E1" s="1"/>
      <c r="F1" s="1"/>
      <c r="G1" s="1"/>
      <c r="H1" s="1"/>
      <c r="I1" s="1"/>
      <c r="J1" s="1"/>
      <c r="K1" s="1"/>
      <c r="L1" s="1"/>
      <c r="M1" s="1"/>
      <c r="N1" s="1"/>
      <c r="O1" s="1"/>
      <c r="P1" s="1"/>
      <c r="Q1" s="1"/>
      <c r="R1" s="1"/>
      <c r="S1" s="1"/>
      <c r="T1" s="1"/>
      <c r="U1" s="1"/>
      <c r="V1" s="1"/>
      <c r="W1" s="1"/>
      <c r="X1" s="1"/>
      <c r="Y1" s="1"/>
      <c r="Z1" s="1"/>
    </row>
    <row r="2" ht="15.75" customHeight="1">
      <c r="A2" s="1"/>
      <c r="B2" s="3" t="str">
        <f>"Valuation Summary - "&amp;TEXT(Company_Name,"")&amp;" - "&amp;Scenario&amp;" Case"</f>
        <v>Valuation Summary - Activision Blizzard - Base Case</v>
      </c>
      <c r="C2" s="1"/>
      <c r="D2" s="1"/>
      <c r="E2" s="1"/>
      <c r="F2" s="1"/>
      <c r="G2" s="1"/>
      <c r="H2" s="1"/>
      <c r="I2" s="1"/>
      <c r="J2" s="1"/>
      <c r="K2" s="1"/>
      <c r="L2" s="1"/>
      <c r="M2" s="1"/>
      <c r="N2" s="1"/>
      <c r="O2" s="1"/>
      <c r="P2" s="1"/>
      <c r="Q2" s="1"/>
      <c r="R2" s="1"/>
      <c r="S2" s="1"/>
      <c r="T2" s="1"/>
      <c r="U2" s="1"/>
      <c r="V2" s="1"/>
      <c r="W2" s="1"/>
      <c r="X2" s="1"/>
      <c r="Y2" s="1"/>
      <c r="Z2" s="1"/>
    </row>
    <row r="3" ht="15.75" customHeight="1">
      <c r="A3" s="1"/>
      <c r="B3" s="1" t="str">
        <f>+'ATVI-DCF'!$B$3</f>
        <v>($ in Millions Except Per Share and Per Unit Data)</v>
      </c>
      <c r="C3" s="1"/>
      <c r="D3" s="1"/>
      <c r="E3" s="1"/>
      <c r="F3" s="1"/>
      <c r="G3" s="1"/>
      <c r="H3" s="1"/>
      <c r="I3" s="1"/>
      <c r="J3" s="1"/>
      <c r="K3" s="1"/>
      <c r="L3" s="1"/>
      <c r="M3" s="1"/>
      <c r="N3" s="1"/>
      <c r="O3" s="1"/>
      <c r="P3" s="1"/>
      <c r="Q3" s="1"/>
      <c r="R3" s="1"/>
      <c r="S3" s="1"/>
      <c r="T3" s="1"/>
      <c r="U3" s="1"/>
      <c r="V3" s="1"/>
      <c r="W3" s="1"/>
      <c r="X3" s="1"/>
      <c r="Y3" s="1"/>
      <c r="Z3" s="1"/>
    </row>
    <row r="4" ht="15.75" customHeight="1">
      <c r="A4" s="1"/>
      <c r="B4" s="1"/>
      <c r="C4" s="1"/>
      <c r="D4" s="1"/>
      <c r="E4" s="1"/>
      <c r="F4" s="1"/>
      <c r="G4" s="1"/>
      <c r="H4" s="1"/>
      <c r="I4" s="1"/>
      <c r="J4" s="1"/>
      <c r="K4" s="1"/>
      <c r="L4" s="1"/>
      <c r="M4" s="1"/>
      <c r="N4" s="1"/>
      <c r="O4" s="1"/>
      <c r="P4" s="1"/>
      <c r="Q4" s="1"/>
      <c r="R4" s="1"/>
      <c r="S4" s="1"/>
      <c r="T4" s="1"/>
      <c r="U4" s="1"/>
      <c r="V4" s="1"/>
      <c r="W4" s="1"/>
      <c r="X4" s="1"/>
      <c r="Y4" s="1"/>
      <c r="Z4" s="1"/>
    </row>
    <row r="5" ht="15.75" customHeight="1">
      <c r="A5" s="1"/>
      <c r="B5" s="33" t="str">
        <f>"Valuation Statistics - "&amp;TEXT(Company_Name,"")</f>
        <v>Valuation Statistics - Activision Blizzard</v>
      </c>
      <c r="C5" s="115" t="s">
        <v>80</v>
      </c>
      <c r="D5" s="116"/>
      <c r="E5" s="116"/>
      <c r="F5" s="116"/>
      <c r="G5" s="116"/>
      <c r="H5" s="117"/>
      <c r="I5" s="115" t="s">
        <v>81</v>
      </c>
      <c r="J5" s="116"/>
      <c r="K5" s="116"/>
      <c r="L5" s="116"/>
      <c r="M5" s="117"/>
      <c r="N5" s="1"/>
      <c r="O5" s="1"/>
      <c r="P5" s="1"/>
      <c r="Q5" s="1"/>
      <c r="R5" s="1"/>
      <c r="S5" s="1"/>
      <c r="T5" s="1"/>
      <c r="U5" s="1"/>
      <c r="V5" s="1"/>
      <c r="W5" s="1"/>
      <c r="X5" s="1"/>
      <c r="Y5" s="1"/>
      <c r="Z5" s="1"/>
    </row>
    <row r="6" ht="15.75" customHeight="1">
      <c r="A6" s="1"/>
      <c r="B6" s="118"/>
      <c r="C6" s="34"/>
      <c r="D6" s="119"/>
      <c r="E6" s="119"/>
      <c r="F6" s="120"/>
      <c r="G6" s="119"/>
      <c r="H6" s="119"/>
      <c r="I6" s="119"/>
      <c r="J6" s="119"/>
      <c r="K6" s="119"/>
      <c r="L6" s="119"/>
      <c r="M6" s="119"/>
      <c r="N6" s="1"/>
      <c r="O6" s="1"/>
      <c r="P6" s="1"/>
      <c r="Q6" s="1"/>
      <c r="R6" s="1"/>
      <c r="S6" s="1"/>
      <c r="T6" s="1"/>
      <c r="U6" s="1"/>
      <c r="V6" s="1"/>
      <c r="W6" s="1"/>
      <c r="X6" s="1"/>
      <c r="Y6" s="1"/>
      <c r="Z6" s="1"/>
    </row>
    <row r="7" ht="15.75" customHeight="1">
      <c r="A7" s="1"/>
      <c r="B7" s="118"/>
      <c r="C7" s="34"/>
      <c r="D7" s="34" t="s">
        <v>44</v>
      </c>
      <c r="E7" s="34"/>
      <c r="F7" s="34" t="s">
        <v>42</v>
      </c>
      <c r="G7" s="119"/>
      <c r="H7" s="34" t="s">
        <v>82</v>
      </c>
      <c r="I7" s="34"/>
      <c r="J7" s="34" t="s">
        <v>42</v>
      </c>
      <c r="K7" s="34"/>
      <c r="L7" s="34" t="s">
        <v>44</v>
      </c>
      <c r="M7" s="34"/>
      <c r="N7" s="1"/>
      <c r="O7" s="1"/>
      <c r="P7" s="1"/>
      <c r="Q7" s="1"/>
      <c r="R7" s="1"/>
      <c r="S7" s="1"/>
      <c r="T7" s="1"/>
      <c r="U7" s="1"/>
      <c r="V7" s="1"/>
      <c r="W7" s="1"/>
      <c r="X7" s="1"/>
      <c r="Y7" s="1"/>
      <c r="Z7" s="1"/>
    </row>
    <row r="8" ht="15.75" customHeight="1">
      <c r="A8" s="1"/>
      <c r="B8" s="118"/>
      <c r="C8" s="34" t="s">
        <v>83</v>
      </c>
      <c r="D8" s="34" t="s">
        <v>84</v>
      </c>
      <c r="E8" s="34" t="s">
        <v>43</v>
      </c>
      <c r="F8" s="34" t="s">
        <v>84</v>
      </c>
      <c r="G8" s="34" t="s">
        <v>85</v>
      </c>
      <c r="H8" s="34" t="s">
        <v>86</v>
      </c>
      <c r="I8" s="34" t="s">
        <v>85</v>
      </c>
      <c r="J8" s="34" t="s">
        <v>84</v>
      </c>
      <c r="K8" s="34" t="s">
        <v>43</v>
      </c>
      <c r="L8" s="34" t="s">
        <v>84</v>
      </c>
      <c r="M8" s="34" t="s">
        <v>83</v>
      </c>
      <c r="N8" s="1"/>
      <c r="O8" s="1"/>
      <c r="P8" s="1"/>
      <c r="Q8" s="1"/>
      <c r="R8" s="1"/>
      <c r="S8" s="1"/>
      <c r="T8" s="1"/>
      <c r="U8" s="1"/>
      <c r="V8" s="1"/>
      <c r="W8" s="1"/>
      <c r="X8" s="1"/>
      <c r="Y8" s="1"/>
      <c r="Z8" s="1"/>
    </row>
    <row r="9" ht="15.75" customHeight="1">
      <c r="A9" s="1"/>
      <c r="B9" s="24" t="s">
        <v>87</v>
      </c>
      <c r="C9" s="35" t="s">
        <v>88</v>
      </c>
      <c r="D9" s="35" t="s">
        <v>88</v>
      </c>
      <c r="E9" s="35" t="s">
        <v>88</v>
      </c>
      <c r="F9" s="35" t="s">
        <v>88</v>
      </c>
      <c r="G9" s="35" t="s">
        <v>88</v>
      </c>
      <c r="H9" s="35" t="s">
        <v>89</v>
      </c>
      <c r="I9" s="35" t="s">
        <v>88</v>
      </c>
      <c r="J9" s="35" t="s">
        <v>88</v>
      </c>
      <c r="K9" s="35" t="s">
        <v>88</v>
      </c>
      <c r="L9" s="35" t="s">
        <v>88</v>
      </c>
      <c r="M9" s="35" t="s">
        <v>88</v>
      </c>
      <c r="N9" s="1"/>
      <c r="O9" s="1"/>
      <c r="P9" s="1"/>
      <c r="Q9" s="1"/>
      <c r="R9" s="1"/>
      <c r="S9" s="1"/>
      <c r="T9" s="1"/>
      <c r="U9" s="1"/>
      <c r="V9" s="1"/>
      <c r="W9" s="1"/>
      <c r="X9" s="1"/>
      <c r="Y9" s="1"/>
      <c r="Z9" s="1"/>
    </row>
    <row r="10" ht="15.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5.75" customHeight="1">
      <c r="A11" s="1"/>
      <c r="B11" s="4" t="s">
        <v>91</v>
      </c>
      <c r="C11" s="37"/>
      <c r="D11" s="1"/>
      <c r="E11" s="1"/>
      <c r="F11" s="1"/>
      <c r="G11" s="1"/>
      <c r="H11" s="1"/>
      <c r="I11" s="1"/>
      <c r="J11" s="1"/>
      <c r="K11" s="1"/>
      <c r="L11" s="1"/>
      <c r="M11" s="1"/>
      <c r="N11" s="1"/>
      <c r="O11" s="1"/>
      <c r="P11" s="1"/>
      <c r="Q11" s="1"/>
      <c r="R11" s="1"/>
      <c r="S11" s="1"/>
      <c r="T11" s="1"/>
      <c r="U11" s="1"/>
      <c r="V11" s="1"/>
      <c r="W11" s="1"/>
      <c r="X11" s="1"/>
      <c r="Y11" s="1"/>
      <c r="Z11" s="1"/>
    </row>
    <row r="12" ht="15.75" customHeight="1">
      <c r="A12" s="1"/>
      <c r="B12" s="113" t="str">
        <f>TEXT(LTM,"mm/dd/yyyy")&amp;" EV / Revenue:"</f>
        <v>LTM EV / Revenue:</v>
      </c>
      <c r="C12" s="123">
        <f t="array" ref="C12:G12">TRANSPOSE('Public Comps'!G43:G47)</f>
        <v>67.50753159</v>
      </c>
      <c r="D12" s="123">
        <v>6.095305249086765</v>
      </c>
      <c r="E12" s="123">
        <v>4.574303894691977</v>
      </c>
      <c r="F12" s="123">
        <v>3.472768278449216</v>
      </c>
      <c r="G12" s="123">
        <v>2.198517890043416</v>
      </c>
      <c r="H12" s="124">
        <f t="array" ref="H12:H17">TRANSPOSE('Public Comps'!G26:L26)</f>
        <v>6489</v>
      </c>
      <c r="I12" s="57">
        <f t="shared" ref="I12:M12" si="1">+I42</f>
        <v>22.54887495</v>
      </c>
      <c r="J12" s="57">
        <f t="shared" si="1"/>
        <v>33.27340254</v>
      </c>
      <c r="K12" s="57">
        <f t="shared" si="1"/>
        <v>42.54430347</v>
      </c>
      <c r="L12" s="57">
        <f t="shared" si="1"/>
        <v>55.34557167</v>
      </c>
      <c r="M12" s="57">
        <f t="shared" si="1"/>
        <v>572.2118969</v>
      </c>
      <c r="N12" s="1"/>
      <c r="O12" s="1"/>
      <c r="P12" s="1"/>
      <c r="Q12" s="1"/>
      <c r="R12" s="1"/>
      <c r="S12" s="1"/>
      <c r="T12" s="1"/>
      <c r="U12" s="1"/>
      <c r="V12" s="1"/>
      <c r="W12" s="1"/>
      <c r="X12" s="1"/>
      <c r="Y12" s="1"/>
      <c r="Z12" s="1"/>
    </row>
    <row r="13" ht="15.75" customHeight="1">
      <c r="A13" s="1"/>
      <c r="B13" s="113" t="str">
        <f>TEXT(Forward_Year_1,"aaaa-mm-dd")&amp;" E EV / Revenue:"</f>
        <v>Thursday-12-31 E EV / Revenue:</v>
      </c>
      <c r="C13" s="123">
        <f t="array" ref="C13:G13">TRANSPOSE('Public Comps'!H43:H47)</f>
        <v>9.475980475</v>
      </c>
      <c r="D13" s="123">
        <v>5.712530061893504</v>
      </c>
      <c r="E13" s="123">
        <v>3.7644414356308418</v>
      </c>
      <c r="F13" s="123">
        <v>3.1059277190509746</v>
      </c>
      <c r="G13" s="123">
        <v>2.1788852362673663</v>
      </c>
      <c r="H13" s="125">
        <v>6800.0</v>
      </c>
      <c r="I13" s="65">
        <f t="shared" ref="I13:M13" si="2">+I45</f>
        <v>23.26254164</v>
      </c>
      <c r="J13" s="65">
        <f t="shared" si="2"/>
        <v>31.43879182</v>
      </c>
      <c r="K13" s="65">
        <f t="shared" si="2"/>
        <v>37.24669489</v>
      </c>
      <c r="L13" s="65">
        <f t="shared" si="2"/>
        <v>54.4282807</v>
      </c>
      <c r="M13" s="65">
        <f t="shared" si="2"/>
        <v>87.62083947</v>
      </c>
      <c r="N13" s="1"/>
      <c r="O13" s="1"/>
      <c r="P13" s="1"/>
      <c r="Q13" s="1"/>
      <c r="R13" s="1"/>
      <c r="S13" s="1"/>
      <c r="T13" s="1"/>
      <c r="U13" s="1"/>
      <c r="V13" s="1"/>
      <c r="W13" s="1"/>
      <c r="X13" s="1"/>
      <c r="Y13" s="1"/>
      <c r="Z13" s="1"/>
    </row>
    <row r="14" ht="15.75" customHeight="1">
      <c r="A14" s="1"/>
      <c r="B14" s="113" t="str">
        <f>TEXT(Forward_Year_2,"aaaa-mm-dd")&amp;" E EV / Revenue:"</f>
        <v>Friday-12-31 E EV / Revenue:</v>
      </c>
      <c r="C14" s="123">
        <f t="array" ref="C14:G14">TRANSPOSE('Public Comps'!I43:I47)</f>
        <v>13.31749991</v>
      </c>
      <c r="D14" s="123">
        <v>4.421184516127626</v>
      </c>
      <c r="E14" s="123">
        <v>3.622887931034483</v>
      </c>
      <c r="F14" s="123">
        <v>2.9372876903338665</v>
      </c>
      <c r="G14" s="123">
        <v>1.8699841752176523</v>
      </c>
      <c r="H14" s="125">
        <v>7420.0</v>
      </c>
      <c r="I14" s="65">
        <f t="shared" ref="I14:M14" si="3">+I48</f>
        <v>22.04187105</v>
      </c>
      <c r="J14" s="65">
        <f t="shared" si="3"/>
        <v>32.31345611</v>
      </c>
      <c r="K14" s="65">
        <f t="shared" si="3"/>
        <v>38.91158035</v>
      </c>
      <c r="L14" s="65">
        <f t="shared" si="3"/>
        <v>46.594279</v>
      </c>
      <c r="M14" s="65">
        <f t="shared" si="3"/>
        <v>132.2112184</v>
      </c>
      <c r="N14" s="1"/>
      <c r="O14" s="1"/>
      <c r="P14" s="1"/>
      <c r="Q14" s="1"/>
      <c r="R14" s="1"/>
      <c r="S14" s="1"/>
      <c r="T14" s="1"/>
      <c r="U14" s="1"/>
      <c r="V14" s="1"/>
      <c r="W14" s="1"/>
      <c r="X14" s="1"/>
      <c r="Y14" s="1"/>
      <c r="Z14" s="1"/>
    </row>
    <row r="15" ht="15.75" customHeight="1">
      <c r="A15" s="1"/>
      <c r="B15" s="113" t="str">
        <f>TEXT(LTM,"mm/dd/yyyy")&amp;" EV / EBITDA:"</f>
        <v>LTM EV / EBITDA:</v>
      </c>
      <c r="C15" s="123">
        <f t="array" ref="C15:G15">TRANSPOSE('Public Comps'!J43:J47)</f>
        <v>55.68579085</v>
      </c>
      <c r="D15" s="123">
        <v>21.111410931676684</v>
      </c>
      <c r="E15" s="123">
        <v>17.246210575906872</v>
      </c>
      <c r="F15" s="123">
        <v>14.763646303546754</v>
      </c>
      <c r="G15" s="123">
        <v>13.031162790697675</v>
      </c>
      <c r="H15" s="125">
        <v>1935.0</v>
      </c>
      <c r="I15" s="65">
        <f t="shared" ref="I15:M15" si="4">+I51</f>
        <v>36.75006485</v>
      </c>
      <c r="J15" s="65">
        <f t="shared" si="4"/>
        <v>41.09812659</v>
      </c>
      <c r="K15" s="65">
        <f t="shared" si="4"/>
        <v>47.32868672</v>
      </c>
      <c r="L15" s="65">
        <f t="shared" si="4"/>
        <v>57.02928684</v>
      </c>
      <c r="M15" s="65">
        <f t="shared" si="4"/>
        <v>143.8015633</v>
      </c>
      <c r="N15" s="1"/>
      <c r="O15" s="1"/>
      <c r="P15" s="1"/>
      <c r="Q15" s="1"/>
      <c r="R15" s="1"/>
      <c r="S15" s="1"/>
      <c r="T15" s="1"/>
      <c r="U15" s="1"/>
      <c r="V15" s="1"/>
      <c r="W15" s="1"/>
      <c r="X15" s="1"/>
      <c r="Y15" s="1"/>
      <c r="Z15" s="1"/>
    </row>
    <row r="16" ht="15.75" customHeight="1">
      <c r="A16" s="1"/>
      <c r="B16" s="113" t="str">
        <f>TEXT(Forward_Year_1,"aaaa-mm-dd")&amp;" E EV / EBITDA:"</f>
        <v>Thursday-12-31 E EV / EBITDA:</v>
      </c>
      <c r="C16" s="123">
        <f t="array" ref="C16:G16">TRANSPOSE('Public Comps'!K43:K47)</f>
        <v>15.93835245</v>
      </c>
      <c r="D16" s="123">
        <v>14.842860193335458</v>
      </c>
      <c r="E16" s="123">
        <v>14.514746426337373</v>
      </c>
      <c r="F16" s="123">
        <v>13.788258728732433</v>
      </c>
      <c r="G16" s="123">
        <v>12.002728496362478</v>
      </c>
      <c r="H16" s="125">
        <v>2027.7392510402217</v>
      </c>
      <c r="I16" s="65">
        <f t="shared" ref="I16:M16" si="5">+I54</f>
        <v>35.61271555</v>
      </c>
      <c r="J16" s="65">
        <f t="shared" si="5"/>
        <v>40.30868149</v>
      </c>
      <c r="K16" s="65">
        <f t="shared" si="5"/>
        <v>42.21935285</v>
      </c>
      <c r="L16" s="65">
        <f t="shared" si="5"/>
        <v>43.08229599</v>
      </c>
      <c r="M16" s="65">
        <f t="shared" si="5"/>
        <v>45.96345378</v>
      </c>
      <c r="N16" s="1"/>
      <c r="O16" s="1"/>
      <c r="P16" s="1"/>
      <c r="Q16" s="1"/>
      <c r="R16" s="1"/>
      <c r="S16" s="1"/>
      <c r="T16" s="1"/>
      <c r="U16" s="1"/>
      <c r="V16" s="1"/>
      <c r="W16" s="1"/>
      <c r="X16" s="1"/>
      <c r="Y16" s="1"/>
      <c r="Z16" s="1"/>
    </row>
    <row r="17" ht="15.75" customHeight="1">
      <c r="A17" s="1"/>
      <c r="B17" s="113" t="str">
        <f>TEXT(Forward_Year_2,"aaaa-mm-dd")&amp;" E EV / EBITDA:"</f>
        <v>Friday-12-31 E EV / EBITDA:</v>
      </c>
      <c r="C17" s="123">
        <f t="array" ref="C17:G17">TRANSPOSE('Public Comps'!L43:L47)</f>
        <v>18.39431303</v>
      </c>
      <c r="D17" s="123">
        <v>15.095359485395768</v>
      </c>
      <c r="E17" s="123">
        <v>13.130593339341479</v>
      </c>
      <c r="F17" s="123">
        <v>11.84992915455694</v>
      </c>
      <c r="G17" s="123">
        <v>7.257150706436421</v>
      </c>
      <c r="H17" s="125">
        <v>2212.6213592233007</v>
      </c>
      <c r="I17" s="65">
        <f t="shared" ref="I17:M17" si="6">+I57</f>
        <v>24.87201901</v>
      </c>
      <c r="J17" s="65">
        <f t="shared" si="6"/>
        <v>38.05240772</v>
      </c>
      <c r="K17" s="65">
        <f t="shared" si="6"/>
        <v>41.72766703</v>
      </c>
      <c r="L17" s="65">
        <f t="shared" si="6"/>
        <v>47.36616709</v>
      </c>
      <c r="M17" s="65">
        <f t="shared" si="6"/>
        <v>56.83352775</v>
      </c>
      <c r="N17" s="1"/>
      <c r="O17" s="1"/>
      <c r="P17" s="1"/>
      <c r="Q17" s="1"/>
      <c r="R17" s="1"/>
      <c r="S17" s="1"/>
      <c r="T17" s="1"/>
      <c r="U17" s="1"/>
      <c r="V17" s="1"/>
      <c r="W17" s="1"/>
      <c r="X17" s="1"/>
      <c r="Y17" s="1"/>
      <c r="Z17" s="1"/>
    </row>
    <row r="18" ht="15.75" customHeight="1">
      <c r="A18" s="1"/>
      <c r="B18" s="113" t="str">
        <f>TEXT(LTM,"mm/dd/yyyy")&amp;" Reported P / E:"</f>
        <v>LTM Reported P / E:</v>
      </c>
      <c r="C18" s="123">
        <f t="array" ref="C18:G18">TRANSPOSE('Public Comps'!M43:M47)</f>
        <v>39.73195164</v>
      </c>
      <c r="D18" s="123">
        <v>37.155071265299526</v>
      </c>
      <c r="E18" s="123">
        <v>33.49759885475153</v>
      </c>
      <c r="F18" s="123">
        <v>24.18040983957212</v>
      </c>
      <c r="G18" s="123">
        <v>21.58457791078015</v>
      </c>
      <c r="H18" s="125">
        <f t="array" ref="H18:H20">TRANSPOSE('Public Comps'!M26:O26)</f>
        <v>1503</v>
      </c>
      <c r="I18" s="65">
        <f t="shared" ref="I18:M18" si="7">+I60</f>
        <v>42.07732892</v>
      </c>
      <c r="J18" s="65">
        <f t="shared" si="7"/>
        <v>47.13768611</v>
      </c>
      <c r="K18" s="65">
        <f t="shared" si="7"/>
        <v>65.30076664</v>
      </c>
      <c r="L18" s="65">
        <f t="shared" si="7"/>
        <v>72.43070313</v>
      </c>
      <c r="M18" s="65">
        <f t="shared" si="7"/>
        <v>77.45411584</v>
      </c>
      <c r="N18" s="1"/>
      <c r="O18" s="1"/>
      <c r="P18" s="1"/>
      <c r="Q18" s="1"/>
      <c r="R18" s="1"/>
      <c r="S18" s="1"/>
      <c r="T18" s="1"/>
      <c r="U18" s="1"/>
      <c r="V18" s="1"/>
      <c r="W18" s="1"/>
      <c r="X18" s="1"/>
      <c r="Y18" s="1"/>
      <c r="Z18" s="1"/>
    </row>
    <row r="19" ht="15.75" customHeight="1">
      <c r="A19" s="1"/>
      <c r="B19" s="113" t="str">
        <f>TEXT(Forward_Year_1,"aaaa-mm-dd")&amp;" E Reported P / E:"</f>
        <v>Thursday-12-31 E Reported P / E:</v>
      </c>
      <c r="C19" s="123">
        <f t="array" ref="C19:G19">TRANSPOSE('Public Comps'!N43:N47)</f>
        <v>29.31977743</v>
      </c>
      <c r="D19" s="123">
        <v>24.53342614837159</v>
      </c>
      <c r="E19" s="123">
        <v>23.06917573029513</v>
      </c>
      <c r="F19" s="123">
        <v>21.622398856040874</v>
      </c>
      <c r="G19" s="123">
        <v>15.49577212353312</v>
      </c>
      <c r="H19" s="125">
        <v>1575.0346740638004</v>
      </c>
      <c r="I19" s="65">
        <f t="shared" ref="I19:M19" si="8">+I63</f>
        <v>31.6554843</v>
      </c>
      <c r="J19" s="65">
        <f t="shared" si="8"/>
        <v>44.17124246</v>
      </c>
      <c r="K19" s="65">
        <f t="shared" si="8"/>
        <v>47.12678557</v>
      </c>
      <c r="L19" s="65">
        <f t="shared" si="8"/>
        <v>50.11802446</v>
      </c>
      <c r="M19" s="65">
        <f t="shared" si="8"/>
        <v>59.89580557</v>
      </c>
      <c r="N19" s="1"/>
      <c r="O19" s="1"/>
      <c r="P19" s="1"/>
      <c r="Q19" s="1"/>
      <c r="R19" s="1"/>
      <c r="S19" s="1"/>
      <c r="T19" s="1"/>
      <c r="U19" s="1"/>
      <c r="V19" s="1"/>
      <c r="W19" s="1"/>
      <c r="X19" s="1"/>
      <c r="Y19" s="1"/>
      <c r="Z19" s="1"/>
    </row>
    <row r="20" ht="15.75" customHeight="1">
      <c r="A20" s="1"/>
      <c r="B20" s="113" t="str">
        <f>TEXT(Forward_Year_2,"aaaa-mm-dd")&amp;" E Reported P / E:"</f>
        <v>Friday-12-31 E Reported P / E:</v>
      </c>
      <c r="C20" s="123">
        <f t="array" ref="C20:G20">TRANSPOSE('Public Comps'!O43:O47)</f>
        <v>26.27215537</v>
      </c>
      <c r="D20" s="123">
        <v>23.155985272850753</v>
      </c>
      <c r="E20" s="123">
        <v>21.580367640359746</v>
      </c>
      <c r="F20" s="123">
        <v>19.69461187912656</v>
      </c>
      <c r="G20" s="123">
        <v>17.139957536988533</v>
      </c>
      <c r="H20" s="125">
        <v>1718.6407766990292</v>
      </c>
      <c r="I20" s="65">
        <f t="shared" ref="I20:M20" si="9">+I66</f>
        <v>38.20678331</v>
      </c>
      <c r="J20" s="65">
        <f t="shared" si="9"/>
        <v>43.9013788</v>
      </c>
      <c r="K20" s="65">
        <f t="shared" si="9"/>
        <v>48.10492841</v>
      </c>
      <c r="L20" s="65">
        <f t="shared" si="9"/>
        <v>51.61714723</v>
      </c>
      <c r="M20" s="65">
        <f t="shared" si="9"/>
        <v>58.56342089</v>
      </c>
      <c r="N20" s="1"/>
      <c r="O20" s="1"/>
      <c r="P20" s="1"/>
      <c r="Q20" s="1"/>
      <c r="R20" s="1"/>
      <c r="S20" s="1"/>
      <c r="T20" s="1"/>
      <c r="U20" s="1"/>
      <c r="V20" s="1"/>
      <c r="W20" s="1"/>
      <c r="X20" s="1"/>
      <c r="Y20" s="1"/>
      <c r="Z20" s="1"/>
    </row>
    <row r="21" ht="15.75" customHeight="1">
      <c r="A21" s="1"/>
      <c r="B21" s="1"/>
      <c r="C21" s="8"/>
      <c r="D21" s="1"/>
      <c r="E21" s="8"/>
      <c r="F21" s="1"/>
      <c r="G21" s="1"/>
      <c r="H21" s="1"/>
      <c r="I21" s="1"/>
      <c r="J21" s="1"/>
      <c r="K21" s="1"/>
      <c r="L21" s="1"/>
      <c r="M21" s="1"/>
      <c r="N21" s="1"/>
      <c r="O21" s="1"/>
      <c r="P21" s="1"/>
      <c r="Q21" s="1"/>
      <c r="R21" s="1"/>
      <c r="S21" s="1"/>
      <c r="T21" s="1"/>
      <c r="U21" s="1"/>
      <c r="V21" s="1"/>
      <c r="W21" s="1"/>
      <c r="X21" s="1"/>
      <c r="Y21" s="1"/>
      <c r="Z21" s="1"/>
    </row>
    <row r="22" ht="15.75" customHeight="1">
      <c r="A22" s="1"/>
      <c r="B22" s="4" t="s">
        <v>93</v>
      </c>
      <c r="C22" s="8"/>
      <c r="D22" s="1"/>
      <c r="E22" s="8"/>
      <c r="F22" s="1"/>
      <c r="G22" s="1"/>
      <c r="H22" s="1"/>
      <c r="I22" s="1"/>
      <c r="J22" s="1"/>
      <c r="K22" s="1"/>
      <c r="L22" s="1"/>
      <c r="M22" s="1"/>
      <c r="N22" s="1"/>
      <c r="O22" s="1"/>
      <c r="P22" s="1"/>
      <c r="Q22" s="1"/>
      <c r="R22" s="1"/>
      <c r="S22" s="1"/>
      <c r="T22" s="1"/>
      <c r="U22" s="1"/>
      <c r="V22" s="1"/>
      <c r="W22" s="1"/>
      <c r="X22" s="1"/>
      <c r="Y22" s="1"/>
      <c r="Z22" s="1"/>
    </row>
    <row r="23" ht="15.75" customHeight="1">
      <c r="A23" s="1"/>
      <c r="B23" s="113" t="str">
        <f>TEXT('ATVI-DCF'!D241,"0.00%")&amp;" - "&amp;TEXT('ATVI-DCF'!D249,"0.00%")&amp;" WACC, "&amp;TEXT('ATVI-DCF'!E240,"0.00%")&amp;" - "&amp;TEXT('ATVI-DCF'!M240,"0.00%")&amp;" Terminal FCF Growth Rate:"</f>
        <v>5.00% - 6.60% WACC, 0.50% - 2.50% Terminal FCF Growth Rate:</v>
      </c>
      <c r="C23" s="93"/>
      <c r="D23" s="93"/>
      <c r="E23" s="93"/>
      <c r="F23" s="93"/>
      <c r="G23" s="93"/>
      <c r="H23" s="57"/>
      <c r="I23" s="56">
        <f>+'ATVI-DCF'!F247</f>
        <v>47.48509078</v>
      </c>
      <c r="J23" s="56">
        <f>+'ATVI-DCF'!F245</f>
        <v>50.67534483</v>
      </c>
      <c r="K23" s="56">
        <f>+'ATVI-DCF'!G242</f>
        <v>58.4968104</v>
      </c>
      <c r="L23" s="56">
        <f>+'ATVI-DCF'!J244</f>
        <v>60.08818883</v>
      </c>
      <c r="M23" s="56">
        <f>+'ATVI-DCF'!K242</f>
        <v>69.45421914</v>
      </c>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51" t="s">
        <v>94</v>
      </c>
      <c r="C25" s="126"/>
      <c r="D25" s="126"/>
      <c r="E25" s="126"/>
      <c r="F25" s="1"/>
      <c r="G25" s="127"/>
      <c r="H25" s="128" t="s">
        <v>95</v>
      </c>
      <c r="I25" s="129"/>
      <c r="J25" s="129"/>
      <c r="K25" s="129"/>
      <c r="L25" s="129"/>
      <c r="M25" s="130"/>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4" t="s">
        <v>96</v>
      </c>
      <c r="C27" s="1"/>
      <c r="D27" s="1"/>
      <c r="E27" s="131">
        <f>+I27</f>
        <v>14266.18259</v>
      </c>
      <c r="F27" s="1"/>
      <c r="G27" s="1" t="s">
        <v>98</v>
      </c>
      <c r="H27" s="1"/>
      <c r="I27" s="37">
        <f t="shared" ref="I27:I35" si="10">+G12*$H12</f>
        <v>14266.18259</v>
      </c>
      <c r="J27" s="37">
        <f t="shared" ref="J27:J35" si="11">+F12*$H12</f>
        <v>22534.79336</v>
      </c>
      <c r="K27" s="37">
        <f t="shared" ref="K27:K35" si="12">+E12*$H12</f>
        <v>29682.65797</v>
      </c>
      <c r="L27" s="37">
        <f t="shared" ref="L27:L35" si="13">+D12*$H12</f>
        <v>39552.43576</v>
      </c>
      <c r="M27" s="37">
        <f t="shared" ref="M27:M35" si="14">+C12*$H12</f>
        <v>438056.3725</v>
      </c>
      <c r="N27" s="1"/>
      <c r="O27" s="1"/>
      <c r="P27" s="1"/>
      <c r="Q27" s="1"/>
      <c r="R27" s="1"/>
      <c r="S27" s="1"/>
      <c r="T27" s="1"/>
      <c r="U27" s="1"/>
      <c r="V27" s="1"/>
      <c r="W27" s="1"/>
      <c r="X27" s="1"/>
      <c r="Y27" s="1"/>
      <c r="Z27" s="1"/>
    </row>
    <row r="28" ht="15.75" customHeight="1">
      <c r="A28" s="1"/>
      <c r="B28" s="113" t="s">
        <v>100</v>
      </c>
      <c r="C28" s="1"/>
      <c r="D28" s="1"/>
      <c r="E28" s="125">
        <f>-'Public-Comps-Data'!BE17</f>
        <v>5794</v>
      </c>
      <c r="F28" s="1"/>
      <c r="G28" s="1" t="s">
        <v>98</v>
      </c>
      <c r="H28" s="1"/>
      <c r="I28" s="8">
        <f t="shared" si="10"/>
        <v>14816.41961</v>
      </c>
      <c r="J28" s="8">
        <f t="shared" si="11"/>
        <v>21120.30849</v>
      </c>
      <c r="K28" s="8">
        <f t="shared" si="12"/>
        <v>25598.20176</v>
      </c>
      <c r="L28" s="8">
        <f t="shared" si="13"/>
        <v>38845.20442</v>
      </c>
      <c r="M28" s="8">
        <f t="shared" si="14"/>
        <v>64436.66723</v>
      </c>
      <c r="N28" s="1"/>
      <c r="O28" s="1"/>
      <c r="P28" s="1"/>
      <c r="Q28" s="1"/>
      <c r="R28" s="1"/>
      <c r="S28" s="1"/>
      <c r="T28" s="1"/>
      <c r="U28" s="1"/>
      <c r="V28" s="1"/>
      <c r="W28" s="1"/>
      <c r="X28" s="1"/>
      <c r="Y28" s="1"/>
      <c r="Z28" s="1"/>
    </row>
    <row r="29" ht="15.75" customHeight="1">
      <c r="A29" s="1"/>
      <c r="B29" s="113" t="s">
        <v>101</v>
      </c>
      <c r="C29" s="1"/>
      <c r="D29" s="1"/>
      <c r="E29" s="125">
        <f>-'Public-Comps-Data'!BE18</f>
        <v>0</v>
      </c>
      <c r="F29" s="1"/>
      <c r="G29" s="1" t="s">
        <v>98</v>
      </c>
      <c r="H29" s="1"/>
      <c r="I29" s="8">
        <f t="shared" si="10"/>
        <v>13875.28258</v>
      </c>
      <c r="J29" s="8">
        <f t="shared" si="11"/>
        <v>21794.67466</v>
      </c>
      <c r="K29" s="8">
        <f t="shared" si="12"/>
        <v>26881.82845</v>
      </c>
      <c r="L29" s="8">
        <f t="shared" si="13"/>
        <v>32805.18911</v>
      </c>
      <c r="M29" s="8">
        <f t="shared" si="14"/>
        <v>98815.84937</v>
      </c>
      <c r="N29" s="1"/>
      <c r="O29" s="1"/>
      <c r="P29" s="1"/>
      <c r="Q29" s="1"/>
      <c r="R29" s="1"/>
      <c r="S29" s="1"/>
      <c r="T29" s="1"/>
      <c r="U29" s="1"/>
      <c r="V29" s="1"/>
      <c r="W29" s="1"/>
      <c r="X29" s="1"/>
      <c r="Y29" s="1"/>
      <c r="Z29" s="1"/>
    </row>
    <row r="30" ht="15.75" customHeight="1">
      <c r="A30" s="1"/>
      <c r="B30" s="113" t="s">
        <v>102</v>
      </c>
      <c r="C30" s="1"/>
      <c r="D30" s="1"/>
      <c r="E30" s="125">
        <f>-'Public-Comps-Data'!BE19</f>
        <v>0</v>
      </c>
      <c r="F30" s="1"/>
      <c r="G30" s="1" t="s">
        <v>98</v>
      </c>
      <c r="H30" s="1"/>
      <c r="I30" s="8">
        <f t="shared" si="10"/>
        <v>25215.3</v>
      </c>
      <c r="J30" s="8">
        <f t="shared" si="11"/>
        <v>28567.6556</v>
      </c>
      <c r="K30" s="8">
        <f t="shared" si="12"/>
        <v>33371.41746</v>
      </c>
      <c r="L30" s="8">
        <f t="shared" si="13"/>
        <v>40850.58015</v>
      </c>
      <c r="M30" s="8">
        <f t="shared" si="14"/>
        <v>107752.0053</v>
      </c>
      <c r="N30" s="1"/>
      <c r="O30" s="1"/>
      <c r="P30" s="1"/>
      <c r="Q30" s="1"/>
      <c r="R30" s="1"/>
      <c r="S30" s="1"/>
      <c r="T30" s="1"/>
      <c r="U30" s="1"/>
      <c r="V30" s="1"/>
      <c r="W30" s="1"/>
      <c r="X30" s="1"/>
      <c r="Y30" s="1"/>
      <c r="Z30" s="1"/>
    </row>
    <row r="31" ht="15.75" customHeight="1">
      <c r="A31" s="1"/>
      <c r="B31" s="113" t="s">
        <v>105</v>
      </c>
      <c r="C31" s="1"/>
      <c r="D31" s="1"/>
      <c r="E31" s="125">
        <f>-'Public-Comps-Data'!BE20</f>
        <v>0</v>
      </c>
      <c r="F31" s="1"/>
      <c r="G31" s="1" t="s">
        <v>98</v>
      </c>
      <c r="H31" s="1"/>
      <c r="I31" s="8">
        <f t="shared" si="10"/>
        <v>24338.40369</v>
      </c>
      <c r="J31" s="8">
        <f t="shared" si="11"/>
        <v>27958.99343</v>
      </c>
      <c r="K31" s="8">
        <f t="shared" si="12"/>
        <v>29432.12105</v>
      </c>
      <c r="L31" s="8">
        <f t="shared" si="13"/>
        <v>30097.45021</v>
      </c>
      <c r="M31" s="8">
        <f t="shared" si="14"/>
        <v>32318.82286</v>
      </c>
      <c r="N31" s="1"/>
      <c r="O31" s="1"/>
      <c r="P31" s="1"/>
      <c r="Q31" s="1"/>
      <c r="R31" s="1"/>
      <c r="S31" s="1"/>
      <c r="T31" s="1"/>
      <c r="U31" s="1"/>
      <c r="V31" s="1"/>
      <c r="W31" s="1"/>
      <c r="X31" s="1"/>
      <c r="Y31" s="1"/>
      <c r="Z31" s="1"/>
    </row>
    <row r="32" ht="15.75" customHeight="1">
      <c r="A32" s="1"/>
      <c r="B32" s="113" t="s">
        <v>109</v>
      </c>
      <c r="C32" s="1"/>
      <c r="D32" s="1"/>
      <c r="E32" s="8">
        <f>-'Public-Comps-Data'!BE21</f>
        <v>-2675</v>
      </c>
      <c r="F32" s="1"/>
      <c r="G32" s="1" t="s">
        <v>98</v>
      </c>
      <c r="H32" s="1"/>
      <c r="I32" s="8">
        <f t="shared" si="10"/>
        <v>16057.32666</v>
      </c>
      <c r="J32" s="8">
        <f t="shared" si="11"/>
        <v>26219.40635</v>
      </c>
      <c r="K32" s="8">
        <f t="shared" si="12"/>
        <v>29053.03128</v>
      </c>
      <c r="L32" s="8">
        <f t="shared" si="13"/>
        <v>33400.31482</v>
      </c>
      <c r="M32" s="8">
        <f t="shared" si="14"/>
        <v>40699.64989</v>
      </c>
      <c r="N32" s="1"/>
      <c r="O32" s="1"/>
      <c r="P32" s="1"/>
      <c r="Q32" s="1"/>
      <c r="R32" s="1"/>
      <c r="S32" s="1"/>
      <c r="T32" s="1"/>
      <c r="U32" s="1"/>
      <c r="V32" s="1"/>
      <c r="W32" s="1"/>
      <c r="X32" s="1"/>
      <c r="Y32" s="1"/>
      <c r="Z32" s="1"/>
    </row>
    <row r="33" ht="15.75" customHeight="1">
      <c r="A33" s="1"/>
      <c r="B33" s="113" t="s">
        <v>115</v>
      </c>
      <c r="C33" s="1"/>
      <c r="D33" s="1"/>
      <c r="E33" s="125">
        <f>-'Public-Comps-Data'!BE22</f>
        <v>0</v>
      </c>
      <c r="F33" s="1"/>
      <c r="G33" s="1" t="s">
        <v>116</v>
      </c>
      <c r="H33" s="1"/>
      <c r="I33" s="8">
        <f t="shared" si="10"/>
        <v>32441.6206</v>
      </c>
      <c r="J33" s="8">
        <f t="shared" si="11"/>
        <v>36343.15599</v>
      </c>
      <c r="K33" s="8">
        <f t="shared" si="12"/>
        <v>50346.89108</v>
      </c>
      <c r="L33" s="8">
        <f t="shared" si="13"/>
        <v>55844.07211</v>
      </c>
      <c r="M33" s="8">
        <f t="shared" si="14"/>
        <v>59717.12332</v>
      </c>
      <c r="N33" s="1"/>
      <c r="O33" s="1"/>
      <c r="P33" s="1"/>
      <c r="Q33" s="1"/>
      <c r="R33" s="1"/>
      <c r="S33" s="1"/>
      <c r="T33" s="1"/>
      <c r="U33" s="1"/>
      <c r="V33" s="1"/>
      <c r="W33" s="1"/>
      <c r="X33" s="1"/>
      <c r="Y33" s="1"/>
      <c r="Z33" s="1"/>
    </row>
    <row r="34" ht="15.75" customHeight="1">
      <c r="A34" s="1"/>
      <c r="B34" s="113" t="s">
        <v>118</v>
      </c>
      <c r="C34" s="1"/>
      <c r="D34" s="1"/>
      <c r="E34" s="125">
        <f>-'Public-Comps-Data'!BE23</f>
        <v>0</v>
      </c>
      <c r="F34" s="1"/>
      <c r="G34" s="1" t="s">
        <v>116</v>
      </c>
      <c r="H34" s="1"/>
      <c r="I34" s="8">
        <f t="shared" si="10"/>
        <v>24406.3784</v>
      </c>
      <c r="J34" s="8">
        <f t="shared" si="11"/>
        <v>34056.02793</v>
      </c>
      <c r="K34" s="8">
        <f t="shared" si="12"/>
        <v>36334.75168</v>
      </c>
      <c r="L34" s="8">
        <f t="shared" si="13"/>
        <v>38640.99686</v>
      </c>
      <c r="M34" s="8">
        <f t="shared" si="14"/>
        <v>46179.6661</v>
      </c>
      <c r="N34" s="1"/>
      <c r="O34" s="1"/>
      <c r="P34" s="1"/>
      <c r="Q34" s="1"/>
      <c r="R34" s="1"/>
      <c r="S34" s="1"/>
      <c r="T34" s="1"/>
      <c r="U34" s="1"/>
      <c r="V34" s="1"/>
      <c r="W34" s="1"/>
      <c r="X34" s="1"/>
      <c r="Y34" s="1"/>
      <c r="Z34" s="1"/>
    </row>
    <row r="35" ht="15.75" customHeight="1">
      <c r="A35" s="1"/>
      <c r="B35" s="113" t="s">
        <v>119</v>
      </c>
      <c r="C35" s="1"/>
      <c r="D35" s="1"/>
      <c r="E35" s="125">
        <f>-'Public-Comps-Data'!BE24</f>
        <v>0</v>
      </c>
      <c r="F35" s="1"/>
      <c r="G35" s="1" t="s">
        <v>116</v>
      </c>
      <c r="H35" s="1"/>
      <c r="I35" s="8">
        <f t="shared" si="10"/>
        <v>29457.42993</v>
      </c>
      <c r="J35" s="8">
        <f t="shared" si="11"/>
        <v>33847.96306</v>
      </c>
      <c r="K35" s="8">
        <f t="shared" si="12"/>
        <v>37088.8998</v>
      </c>
      <c r="L35" s="8">
        <f t="shared" si="13"/>
        <v>39796.82051</v>
      </c>
      <c r="M35" s="8">
        <f t="shared" si="14"/>
        <v>45152.39751</v>
      </c>
      <c r="N35" s="1"/>
      <c r="O35" s="1"/>
      <c r="P35" s="1"/>
      <c r="Q35" s="1"/>
      <c r="R35" s="1"/>
      <c r="S35" s="1"/>
      <c r="T35" s="1"/>
      <c r="U35" s="1"/>
      <c r="V35" s="1"/>
      <c r="W35" s="1"/>
      <c r="X35" s="1"/>
      <c r="Y35" s="1"/>
      <c r="Z35" s="1"/>
    </row>
    <row r="36" ht="15.75" customHeight="1">
      <c r="A36" s="1"/>
      <c r="B36" s="113" t="s">
        <v>121</v>
      </c>
      <c r="C36" s="1"/>
      <c r="D36" s="1"/>
      <c r="E36" s="125">
        <f>-'Public-Comps-Data'!BE25</f>
        <v>0</v>
      </c>
      <c r="F36" s="1"/>
      <c r="G36" s="1"/>
      <c r="H36" s="1"/>
      <c r="I36" s="1"/>
      <c r="J36" s="1"/>
      <c r="K36" s="1"/>
      <c r="L36" s="1"/>
      <c r="M36" s="1"/>
      <c r="N36" s="1"/>
      <c r="O36" s="1"/>
      <c r="P36" s="1"/>
      <c r="Q36" s="1"/>
      <c r="R36" s="1"/>
      <c r="S36" s="1"/>
      <c r="T36" s="1"/>
      <c r="U36" s="1"/>
      <c r="V36" s="1"/>
      <c r="W36" s="1"/>
      <c r="X36" s="1"/>
      <c r="Y36" s="1"/>
      <c r="Z36" s="1"/>
    </row>
    <row r="37" ht="15.75" customHeight="1">
      <c r="A37" s="1"/>
      <c r="B37" s="139" t="s">
        <v>122</v>
      </c>
      <c r="C37" s="82"/>
      <c r="D37" s="82"/>
      <c r="E37" s="142">
        <f>SUM(E27:E36)</f>
        <v>17385.18259</v>
      </c>
      <c r="F37" s="1"/>
      <c r="G37" s="1" t="s">
        <v>98</v>
      </c>
      <c r="H37" s="1"/>
      <c r="I37" s="8" t="str">
        <f t="shared" ref="I37:M37" si="15">+#REF!*#REF!</f>
        <v>#REF!</v>
      </c>
      <c r="J37" s="8" t="str">
        <f t="shared" si="15"/>
        <v>#REF!</v>
      </c>
      <c r="K37" s="8" t="str">
        <f t="shared" si="15"/>
        <v>#REF!</v>
      </c>
      <c r="L37" s="8" t="str">
        <f t="shared" si="15"/>
        <v>#REF!</v>
      </c>
      <c r="M37" s="8" t="str">
        <f t="shared" si="15"/>
        <v>#REF!</v>
      </c>
      <c r="N37" s="1"/>
      <c r="O37" s="1"/>
      <c r="P37" s="1"/>
      <c r="Q37" s="1"/>
      <c r="R37" s="1"/>
      <c r="S37" s="1"/>
      <c r="T37" s="1"/>
      <c r="U37" s="1"/>
      <c r="V37" s="1"/>
      <c r="W37" s="1"/>
      <c r="X37" s="1"/>
      <c r="Y37" s="1"/>
      <c r="Z37" s="1"/>
    </row>
    <row r="38" ht="15.75" customHeight="1">
      <c r="A38" s="1"/>
      <c r="B38" s="1"/>
      <c r="C38" s="1"/>
      <c r="D38" s="1"/>
      <c r="E38" s="1"/>
      <c r="F38" s="1"/>
      <c r="G38" s="1" t="s">
        <v>98</v>
      </c>
      <c r="H38" s="1"/>
      <c r="I38" s="8" t="str">
        <f t="shared" ref="I38:M38" si="16">+#REF!*#REF!</f>
        <v>#REF!</v>
      </c>
      <c r="J38" s="8" t="str">
        <f t="shared" si="16"/>
        <v>#REF!</v>
      </c>
      <c r="K38" s="8" t="str">
        <f t="shared" si="16"/>
        <v>#REF!</v>
      </c>
      <c r="L38" s="8" t="str">
        <f t="shared" si="16"/>
        <v>#REF!</v>
      </c>
      <c r="M38" s="8" t="str">
        <f t="shared" si="16"/>
        <v>#REF!</v>
      </c>
      <c r="N38" s="1"/>
      <c r="O38" s="1"/>
      <c r="P38" s="1"/>
      <c r="Q38" s="1"/>
      <c r="R38" s="1"/>
      <c r="S38" s="1"/>
      <c r="T38" s="1"/>
      <c r="U38" s="1"/>
      <c r="V38" s="1"/>
      <c r="W38" s="1"/>
      <c r="X38" s="1"/>
      <c r="Y38" s="1"/>
      <c r="Z38" s="1"/>
    </row>
    <row r="39" ht="15.75" customHeight="1">
      <c r="A39" s="1"/>
      <c r="B39" s="1" t="s">
        <v>125</v>
      </c>
      <c r="C39" s="1"/>
      <c r="D39" s="1"/>
      <c r="E39" s="144">
        <v>771.0</v>
      </c>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47" t="s">
        <v>127</v>
      </c>
      <c r="C41" s="148"/>
      <c r="D41" s="148"/>
      <c r="E41" s="149">
        <f>+E37/E39</f>
        <v>22.54887495</v>
      </c>
      <c r="F41" s="1"/>
      <c r="G41" s="1" t="s">
        <v>98</v>
      </c>
      <c r="H41" s="1"/>
      <c r="I41" s="20">
        <f t="shared" ref="I41:M41" si="17">+I27</f>
        <v>14266.18259</v>
      </c>
      <c r="J41" s="20">
        <f t="shared" si="17"/>
        <v>22534.79336</v>
      </c>
      <c r="K41" s="20">
        <f t="shared" si="17"/>
        <v>29682.65797</v>
      </c>
      <c r="L41" s="20">
        <f t="shared" si="17"/>
        <v>39552.43576</v>
      </c>
      <c r="M41" s="20">
        <f t="shared" si="17"/>
        <v>438056.3725</v>
      </c>
      <c r="N41" s="1"/>
      <c r="O41" s="1"/>
      <c r="P41" s="1"/>
      <c r="Q41" s="1"/>
      <c r="R41" s="1"/>
      <c r="S41" s="1"/>
      <c r="T41" s="1"/>
      <c r="U41" s="1"/>
      <c r="V41" s="1"/>
      <c r="W41" s="1"/>
      <c r="X41" s="1"/>
      <c r="Y41" s="1"/>
      <c r="Z41" s="1"/>
    </row>
    <row r="42" ht="15.75" customHeight="1">
      <c r="A42" s="1"/>
      <c r="B42" s="150" t="s">
        <v>130</v>
      </c>
      <c r="C42" s="151"/>
      <c r="D42" s="151"/>
      <c r="E42" s="152">
        <f>+E41/Share_Price-1</f>
        <v>-0.6290083094</v>
      </c>
      <c r="F42" s="1"/>
      <c r="G42" s="1"/>
      <c r="H42" s="57">
        <f>+$E$41</f>
        <v>22.54887495</v>
      </c>
      <c r="I42" s="153">
        <v>22.548874952648156</v>
      </c>
      <c r="J42" s="154">
        <v>33.27340254067051</v>
      </c>
      <c r="K42" s="154">
        <v>42.5443034664802</v>
      </c>
      <c r="L42" s="154">
        <v>55.34557167486903</v>
      </c>
      <c r="M42" s="154">
        <v>572.2118968769531</v>
      </c>
      <c r="N42" s="1"/>
      <c r="O42" s="1"/>
      <c r="P42" s="1"/>
      <c r="Q42" s="1"/>
      <c r="R42" s="1"/>
      <c r="S42" s="1"/>
      <c r="T42" s="1"/>
      <c r="U42" s="1"/>
      <c r="V42" s="1"/>
      <c r="W42" s="1"/>
      <c r="X42" s="1"/>
      <c r="Y42" s="1"/>
      <c r="Z42" s="1"/>
    </row>
    <row r="43" ht="15.75" customHeight="1">
      <c r="A43" s="1"/>
      <c r="B43" s="2"/>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55"/>
      <c r="C44" s="155"/>
      <c r="D44" s="156" t="s">
        <v>132</v>
      </c>
      <c r="E44" s="155"/>
      <c r="F44" s="1"/>
      <c r="G44" s="1" t="s">
        <v>98</v>
      </c>
      <c r="H44" s="1"/>
      <c r="I44" s="157">
        <f t="shared" ref="I44:M44" si="18">+I28</f>
        <v>14816.41961</v>
      </c>
      <c r="J44" s="157">
        <f t="shared" si="18"/>
        <v>21120.30849</v>
      </c>
      <c r="K44" s="157">
        <f t="shared" si="18"/>
        <v>25598.20176</v>
      </c>
      <c r="L44" s="157">
        <f t="shared" si="18"/>
        <v>38845.20442</v>
      </c>
      <c r="M44" s="157">
        <f t="shared" si="18"/>
        <v>64436.66723</v>
      </c>
      <c r="N44" s="1"/>
      <c r="O44" s="1"/>
      <c r="P44" s="1"/>
      <c r="Q44" s="1"/>
      <c r="R44" s="1"/>
      <c r="S44" s="1"/>
      <c r="T44" s="1"/>
      <c r="U44" s="1"/>
      <c r="V44" s="1"/>
      <c r="W44" s="1"/>
      <c r="X44" s="1"/>
      <c r="Y44" s="1"/>
      <c r="Z44" s="1"/>
    </row>
    <row r="45" ht="15.75" customHeight="1">
      <c r="A45" s="1"/>
      <c r="B45" s="51" t="s">
        <v>134</v>
      </c>
      <c r="C45" s="127" t="s">
        <v>135</v>
      </c>
      <c r="D45" s="127" t="s">
        <v>136</v>
      </c>
      <c r="E45" s="127"/>
      <c r="F45" s="1"/>
      <c r="G45" s="1"/>
      <c r="H45" s="57">
        <f>+$E$41</f>
        <v>22.54887495</v>
      </c>
      <c r="I45" s="153">
        <v>23.262541642825017</v>
      </c>
      <c r="J45" s="154">
        <v>31.438791815235575</v>
      </c>
      <c r="K45" s="154">
        <v>37.24669489272338</v>
      </c>
      <c r="L45" s="154">
        <v>54.42828070152506</v>
      </c>
      <c r="M45" s="154">
        <v>87.62083946567138</v>
      </c>
      <c r="N45" s="1"/>
      <c r="O45" s="1"/>
      <c r="P45" s="1"/>
      <c r="Q45" s="1"/>
      <c r="R45" s="1"/>
      <c r="S45" s="1"/>
      <c r="T45" s="1"/>
      <c r="U45" s="1"/>
      <c r="V45" s="1"/>
      <c r="W45" s="1"/>
      <c r="X45" s="1"/>
      <c r="Y45" s="1"/>
      <c r="Z45" s="1"/>
    </row>
    <row r="46" ht="15.75" customHeight="1">
      <c r="A46" s="1"/>
      <c r="B46" s="113" t="s">
        <v>137</v>
      </c>
      <c r="C46" s="158" t="str">
        <f>+'Public-Comps-Data'!BC38</f>
        <v/>
      </c>
      <c r="D46" s="159" t="str">
        <f>+'Public-Comps-Data'!BD38</f>
        <v/>
      </c>
      <c r="E46" s="160">
        <f>IF(D46&lt;$E$41,C46-((C46*D46)/$E$41),0)</f>
        <v>0</v>
      </c>
      <c r="F46" s="1"/>
      <c r="G46" s="1"/>
      <c r="H46" s="1"/>
      <c r="I46" s="1"/>
      <c r="J46" s="1"/>
      <c r="K46" s="1"/>
      <c r="L46" s="1"/>
      <c r="M46" s="1"/>
      <c r="N46" s="1"/>
      <c r="O46" s="1"/>
      <c r="P46" s="1"/>
      <c r="Q46" s="1"/>
      <c r="R46" s="1"/>
      <c r="S46" s="1"/>
      <c r="T46" s="1"/>
      <c r="U46" s="1"/>
      <c r="V46" s="1"/>
      <c r="W46" s="1"/>
      <c r="X46" s="1"/>
      <c r="Y46" s="1"/>
      <c r="Z46" s="1"/>
    </row>
    <row r="47" ht="15.75" customHeight="1">
      <c r="A47" s="1"/>
      <c r="B47" s="113" t="s">
        <v>139</v>
      </c>
      <c r="C47" s="124" t="str">
        <f>+'Public-Comps-Data'!BB49</f>
        <v/>
      </c>
      <c r="D47" s="161" t="str">
        <f>+'Public-Comps-Data'!BD49</f>
        <v/>
      </c>
      <c r="E47" s="162">
        <f>IFERROR(IF(D47&gt;E41,0,(1000/D47)*C47/1000),0)</f>
        <v>0</v>
      </c>
      <c r="F47" s="1"/>
      <c r="G47" s="1" t="s">
        <v>98</v>
      </c>
      <c r="H47" s="1"/>
      <c r="I47" s="157">
        <f t="shared" ref="I47:M47" si="19">+I29</f>
        <v>13875.28258</v>
      </c>
      <c r="J47" s="157">
        <f t="shared" si="19"/>
        <v>21794.67466</v>
      </c>
      <c r="K47" s="157">
        <f t="shared" si="19"/>
        <v>26881.82845</v>
      </c>
      <c r="L47" s="157">
        <f t="shared" si="19"/>
        <v>32805.18911</v>
      </c>
      <c r="M47" s="157">
        <f t="shared" si="19"/>
        <v>98815.84937</v>
      </c>
      <c r="N47" s="1"/>
      <c r="O47" s="1"/>
      <c r="P47" s="1"/>
      <c r="Q47" s="1"/>
      <c r="R47" s="1"/>
      <c r="S47" s="1"/>
      <c r="T47" s="1"/>
      <c r="U47" s="1"/>
      <c r="V47" s="1"/>
      <c r="W47" s="1"/>
      <c r="X47" s="1"/>
      <c r="Y47" s="1"/>
      <c r="Z47" s="1"/>
    </row>
    <row r="48" ht="15.75" customHeight="1">
      <c r="A48" s="1"/>
      <c r="B48" s="113" t="s">
        <v>141</v>
      </c>
      <c r="C48" s="163" t="str">
        <f>+'Public-Comps-Data'!BD53</f>
        <v/>
      </c>
      <c r="D48" s="2"/>
      <c r="E48" s="162" t="str">
        <f>+C48</f>
        <v/>
      </c>
      <c r="F48" s="1"/>
      <c r="G48" s="1"/>
      <c r="H48" s="57">
        <f>+$E$41</f>
        <v>22.54887495</v>
      </c>
      <c r="I48" s="153">
        <v>22.04187105073279</v>
      </c>
      <c r="J48" s="154">
        <v>32.3134561119031</v>
      </c>
      <c r="K48" s="154">
        <v>38.91158034795831</v>
      </c>
      <c r="L48" s="154">
        <v>46.59427900086509</v>
      </c>
      <c r="M48" s="154">
        <v>132.21121837307047</v>
      </c>
      <c r="N48" s="1"/>
      <c r="O48" s="1"/>
      <c r="P48" s="1"/>
      <c r="Q48" s="1"/>
      <c r="R48" s="1"/>
      <c r="S48" s="1"/>
      <c r="T48" s="1"/>
      <c r="U48" s="1"/>
      <c r="V48" s="1"/>
      <c r="W48" s="1"/>
      <c r="X48" s="1"/>
      <c r="Y48" s="1"/>
      <c r="Z48" s="1"/>
    </row>
    <row r="49" ht="15.75" customHeight="1">
      <c r="A49" s="1"/>
      <c r="B49" s="164" t="s">
        <v>143</v>
      </c>
      <c r="C49" s="165"/>
      <c r="D49" s="166"/>
      <c r="E49" s="165">
        <f>SUM(E46:E48)</f>
        <v>0</v>
      </c>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t="s">
        <v>98</v>
      </c>
      <c r="H50" s="1"/>
      <c r="I50" s="157">
        <f t="shared" ref="I50:M50" si="20">+I30</f>
        <v>25215.3</v>
      </c>
      <c r="J50" s="157">
        <f t="shared" si="20"/>
        <v>28567.6556</v>
      </c>
      <c r="K50" s="157">
        <f t="shared" si="20"/>
        <v>33371.41746</v>
      </c>
      <c r="L50" s="157">
        <f t="shared" si="20"/>
        <v>40850.58015</v>
      </c>
      <c r="M50" s="157">
        <f t="shared" si="20"/>
        <v>107752.0053</v>
      </c>
      <c r="N50" s="1"/>
      <c r="O50" s="1"/>
      <c r="P50" s="1"/>
      <c r="Q50" s="1"/>
      <c r="R50" s="1"/>
      <c r="S50" s="1"/>
      <c r="T50" s="1"/>
      <c r="U50" s="1"/>
      <c r="V50" s="1"/>
      <c r="W50" s="1"/>
      <c r="X50" s="1"/>
      <c r="Y50" s="1"/>
      <c r="Z50" s="1"/>
    </row>
    <row r="51" ht="15.75" customHeight="1">
      <c r="A51" s="1"/>
      <c r="B51" s="1"/>
      <c r="C51" s="1"/>
      <c r="D51" s="1"/>
      <c r="E51" s="1"/>
      <c r="F51" s="1"/>
      <c r="G51" s="1"/>
      <c r="H51" s="57">
        <f>+$E$41</f>
        <v>22.54887495</v>
      </c>
      <c r="I51" s="153">
        <v>36.75006485084306</v>
      </c>
      <c r="J51" s="154">
        <v>41.09812658542538</v>
      </c>
      <c r="K51" s="154">
        <v>47.328686724228014</v>
      </c>
      <c r="L51" s="154">
        <v>57.029286838903225</v>
      </c>
      <c r="M51" s="154">
        <v>143.8015632772407</v>
      </c>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t="s">
        <v>98</v>
      </c>
      <c r="H53" s="1"/>
      <c r="I53" s="157">
        <f t="shared" ref="I53:M53" si="21">+I31</f>
        <v>24338.40369</v>
      </c>
      <c r="J53" s="157">
        <f t="shared" si="21"/>
        <v>27958.99343</v>
      </c>
      <c r="K53" s="157">
        <f t="shared" si="21"/>
        <v>29432.12105</v>
      </c>
      <c r="L53" s="157">
        <f t="shared" si="21"/>
        <v>30097.45021</v>
      </c>
      <c r="M53" s="157">
        <f t="shared" si="21"/>
        <v>32318.82286</v>
      </c>
      <c r="N53" s="1"/>
      <c r="O53" s="1"/>
      <c r="P53" s="1"/>
      <c r="Q53" s="1"/>
      <c r="R53" s="1"/>
      <c r="S53" s="1"/>
      <c r="T53" s="1"/>
      <c r="U53" s="1"/>
      <c r="V53" s="1"/>
      <c r="W53" s="1"/>
      <c r="X53" s="1"/>
      <c r="Y53" s="1"/>
      <c r="Z53" s="1"/>
    </row>
    <row r="54" ht="15.75" customHeight="1">
      <c r="A54" s="1"/>
      <c r="B54" s="1"/>
      <c r="C54" s="1"/>
      <c r="D54" s="1"/>
      <c r="E54" s="1"/>
      <c r="F54" s="1"/>
      <c r="G54" s="1"/>
      <c r="H54" s="57">
        <f>+$E$41</f>
        <v>22.54887495</v>
      </c>
      <c r="I54" s="153">
        <v>35.61271555337636</v>
      </c>
      <c r="J54" s="154">
        <v>40.30868148864942</v>
      </c>
      <c r="K54" s="154">
        <v>42.219352850298414</v>
      </c>
      <c r="L54" s="154">
        <v>43.08229599446013</v>
      </c>
      <c r="M54" s="154">
        <v>45.963453778572436</v>
      </c>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t="s">
        <v>98</v>
      </c>
      <c r="H56" s="1"/>
      <c r="I56" s="157">
        <f t="shared" ref="I56:M56" si="22">+I32</f>
        <v>16057.32666</v>
      </c>
      <c r="J56" s="157">
        <f t="shared" si="22"/>
        <v>26219.40635</v>
      </c>
      <c r="K56" s="157">
        <f t="shared" si="22"/>
        <v>29053.03128</v>
      </c>
      <c r="L56" s="157">
        <f t="shared" si="22"/>
        <v>33400.31482</v>
      </c>
      <c r="M56" s="157">
        <f t="shared" si="22"/>
        <v>40699.64989</v>
      </c>
      <c r="N56" s="1"/>
      <c r="O56" s="1"/>
      <c r="P56" s="1"/>
      <c r="Q56" s="1"/>
      <c r="R56" s="1"/>
      <c r="S56" s="1"/>
      <c r="T56" s="1"/>
      <c r="U56" s="1"/>
      <c r="V56" s="1"/>
      <c r="W56" s="1"/>
      <c r="X56" s="1"/>
      <c r="Y56" s="1"/>
      <c r="Z56" s="1"/>
    </row>
    <row r="57" ht="15.75" customHeight="1">
      <c r="A57" s="1"/>
      <c r="B57" s="1"/>
      <c r="C57" s="1"/>
      <c r="D57" s="1"/>
      <c r="E57" s="1"/>
      <c r="F57" s="1"/>
      <c r="G57" s="1"/>
      <c r="H57" s="57">
        <f>+$E$41</f>
        <v>22.54887495</v>
      </c>
      <c r="I57" s="153">
        <v>24.872019014479495</v>
      </c>
      <c r="J57" s="154">
        <v>38.052407720694674</v>
      </c>
      <c r="K57" s="154">
        <v>41.72766703229853</v>
      </c>
      <c r="L57" s="154">
        <v>47.366167085007426</v>
      </c>
      <c r="M57" s="154">
        <v>56.83352774926881</v>
      </c>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t="s">
        <v>116</v>
      </c>
      <c r="H59" s="1"/>
      <c r="I59" s="157">
        <f t="shared" ref="I59:M59" si="23">+I33</f>
        <v>32441.6206</v>
      </c>
      <c r="J59" s="157">
        <f t="shared" si="23"/>
        <v>36343.15599</v>
      </c>
      <c r="K59" s="157">
        <f t="shared" si="23"/>
        <v>50346.89108</v>
      </c>
      <c r="L59" s="157">
        <f t="shared" si="23"/>
        <v>55844.07211</v>
      </c>
      <c r="M59" s="157">
        <f t="shared" si="23"/>
        <v>59717.12332</v>
      </c>
      <c r="N59" s="1"/>
      <c r="O59" s="1"/>
      <c r="P59" s="1"/>
      <c r="Q59" s="1"/>
      <c r="R59" s="1"/>
      <c r="S59" s="1"/>
      <c r="T59" s="1"/>
      <c r="U59" s="1"/>
      <c r="V59" s="1"/>
      <c r="W59" s="1"/>
      <c r="X59" s="1"/>
      <c r="Y59" s="1"/>
      <c r="Z59" s="1"/>
    </row>
    <row r="60" ht="15.75" customHeight="1">
      <c r="A60" s="1"/>
      <c r="B60" s="1"/>
      <c r="C60" s="1"/>
      <c r="D60" s="1"/>
      <c r="E60" s="1"/>
      <c r="F60" s="1"/>
      <c r="G60" s="1"/>
      <c r="H60" s="57">
        <f>+$E$41</f>
        <v>22.54887495</v>
      </c>
      <c r="I60" s="153">
        <v>42.07732892334963</v>
      </c>
      <c r="J60" s="154">
        <v>47.13768610749273</v>
      </c>
      <c r="K60" s="154">
        <v>65.30076663902925</v>
      </c>
      <c r="L60" s="154">
        <v>72.43070312807417</v>
      </c>
      <c r="M60" s="154">
        <v>77.45411584443862</v>
      </c>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t="s">
        <v>116</v>
      </c>
      <c r="H62" s="1"/>
      <c r="I62" s="157">
        <f t="shared" ref="I62:M62" si="24">+I34</f>
        <v>24406.3784</v>
      </c>
      <c r="J62" s="157">
        <f t="shared" si="24"/>
        <v>34056.02793</v>
      </c>
      <c r="K62" s="157">
        <f t="shared" si="24"/>
        <v>36334.75168</v>
      </c>
      <c r="L62" s="157">
        <f t="shared" si="24"/>
        <v>38640.99686</v>
      </c>
      <c r="M62" s="157">
        <f t="shared" si="24"/>
        <v>46179.6661</v>
      </c>
      <c r="N62" s="1"/>
      <c r="O62" s="1"/>
      <c r="P62" s="1"/>
      <c r="Q62" s="1"/>
      <c r="R62" s="1"/>
      <c r="S62" s="1"/>
      <c r="T62" s="1"/>
      <c r="U62" s="1"/>
      <c r="V62" s="1"/>
      <c r="W62" s="1"/>
      <c r="X62" s="1"/>
      <c r="Y62" s="1"/>
      <c r="Z62" s="1"/>
    </row>
    <row r="63" ht="15.75" customHeight="1">
      <c r="A63" s="1"/>
      <c r="B63" s="1"/>
      <c r="C63" s="1"/>
      <c r="D63" s="1"/>
      <c r="E63" s="1"/>
      <c r="F63" s="1"/>
      <c r="G63" s="1"/>
      <c r="H63" s="57">
        <f>+$E$41</f>
        <v>22.54887495</v>
      </c>
      <c r="I63" s="153">
        <v>31.655484300850727</v>
      </c>
      <c r="J63" s="154">
        <v>44.17124245746022</v>
      </c>
      <c r="K63" s="154">
        <v>47.1267855736523</v>
      </c>
      <c r="L63" s="154">
        <v>50.11802445819554</v>
      </c>
      <c r="M63" s="154">
        <v>59.89580557126127</v>
      </c>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t="s">
        <v>116</v>
      </c>
      <c r="H65" s="1"/>
      <c r="I65" s="157">
        <f t="shared" ref="I65:M65" si="25">+I35</f>
        <v>29457.42993</v>
      </c>
      <c r="J65" s="157">
        <f t="shared" si="25"/>
        <v>33847.96306</v>
      </c>
      <c r="K65" s="157">
        <f t="shared" si="25"/>
        <v>37088.8998</v>
      </c>
      <c r="L65" s="157">
        <f t="shared" si="25"/>
        <v>39796.82051</v>
      </c>
      <c r="M65" s="157">
        <f t="shared" si="25"/>
        <v>45152.39751</v>
      </c>
      <c r="N65" s="1"/>
      <c r="O65" s="1"/>
      <c r="P65" s="1"/>
      <c r="Q65" s="1"/>
      <c r="R65" s="1"/>
      <c r="S65" s="1"/>
      <c r="T65" s="1"/>
      <c r="U65" s="1"/>
      <c r="V65" s="1"/>
      <c r="W65" s="1"/>
      <c r="X65" s="1"/>
      <c r="Y65" s="1"/>
      <c r="Z65" s="1"/>
    </row>
    <row r="66" ht="15.75" customHeight="1">
      <c r="A66" s="1"/>
      <c r="B66" s="1"/>
      <c r="C66" s="1"/>
      <c r="D66" s="1"/>
      <c r="E66" s="1"/>
      <c r="F66" s="1"/>
      <c r="G66" s="1"/>
      <c r="H66" s="57">
        <f>+$E$41</f>
        <v>22.54887495</v>
      </c>
      <c r="I66" s="153">
        <v>38.206783312527044</v>
      </c>
      <c r="J66" s="154">
        <v>43.901378802500645</v>
      </c>
      <c r="K66" s="154">
        <v>48.104928408402685</v>
      </c>
      <c r="L66" s="154">
        <v>51.617147230302855</v>
      </c>
      <c r="M66" s="154">
        <v>58.56342089175622</v>
      </c>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t="s">
        <v>98</v>
      </c>
      <c r="H68" s="1"/>
      <c r="I68" s="157" t="str">
        <f t="shared" ref="I68:M68" si="26">+I37</f>
        <v>#REF!</v>
      </c>
      <c r="J68" s="157" t="str">
        <f t="shared" si="26"/>
        <v>#REF!</v>
      </c>
      <c r="K68" s="157" t="str">
        <f t="shared" si="26"/>
        <v>#REF!</v>
      </c>
      <c r="L68" s="157" t="str">
        <f t="shared" si="26"/>
        <v>#REF!</v>
      </c>
      <c r="M68" s="157" t="str">
        <f t="shared" si="26"/>
        <v>#REF!</v>
      </c>
      <c r="N68" s="1"/>
      <c r="O68" s="1"/>
      <c r="P68" s="1"/>
      <c r="Q68" s="1"/>
      <c r="R68" s="1"/>
      <c r="S68" s="1"/>
      <c r="T68" s="1"/>
      <c r="U68" s="1"/>
      <c r="V68" s="1"/>
      <c r="W68" s="1"/>
      <c r="X68" s="1"/>
      <c r="Y68" s="1"/>
      <c r="Z68" s="1"/>
    </row>
    <row r="69" ht="15.75" customHeight="1">
      <c r="A69" s="1"/>
      <c r="B69" s="1"/>
      <c r="C69" s="1"/>
      <c r="D69" s="1"/>
      <c r="E69" s="1"/>
      <c r="F69" s="1"/>
      <c r="G69" s="1"/>
      <c r="H69" s="57">
        <f>+$E$41</f>
        <v>22.54887495</v>
      </c>
      <c r="I69" s="153"/>
      <c r="J69" s="154" t="e">
        <v>#REF!</v>
      </c>
      <c r="K69" s="154" t="e">
        <v>#REF!</v>
      </c>
      <c r="L69" s="154" t="e">
        <v>#REF!</v>
      </c>
      <c r="M69" s="154" t="e">
        <v>#REF!</v>
      </c>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t="s">
        <v>98</v>
      </c>
      <c r="H71" s="1"/>
      <c r="I71" s="37" t="str">
        <f t="shared" ref="I71:M71" si="27">+I38</f>
        <v>#REF!</v>
      </c>
      <c r="J71" s="37" t="str">
        <f t="shared" si="27"/>
        <v>#REF!</v>
      </c>
      <c r="K71" s="37" t="str">
        <f t="shared" si="27"/>
        <v>#REF!</v>
      </c>
      <c r="L71" s="37" t="str">
        <f t="shared" si="27"/>
        <v>#REF!</v>
      </c>
      <c r="M71" s="37" t="str">
        <f t="shared" si="27"/>
        <v>#REF!</v>
      </c>
      <c r="N71" s="1"/>
      <c r="O71" s="1"/>
      <c r="P71" s="1"/>
      <c r="Q71" s="1"/>
      <c r="R71" s="1"/>
      <c r="S71" s="1"/>
      <c r="T71" s="1"/>
      <c r="U71" s="1"/>
      <c r="V71" s="1"/>
      <c r="W71" s="1"/>
      <c r="X71" s="1"/>
      <c r="Y71" s="1"/>
      <c r="Z71" s="1"/>
    </row>
    <row r="72" ht="15.75" customHeight="1">
      <c r="A72" s="1"/>
      <c r="B72" s="1"/>
      <c r="C72" s="1"/>
      <c r="D72" s="1"/>
      <c r="E72" s="1"/>
      <c r="F72" s="1"/>
      <c r="G72" s="1"/>
      <c r="H72" s="57">
        <f>+$E$41</f>
        <v>22.54887495</v>
      </c>
      <c r="I72" s="153"/>
      <c r="J72" s="154" t="e">
        <v>#REF!</v>
      </c>
      <c r="K72" s="154" t="e">
        <v>#REF!</v>
      </c>
      <c r="L72" s="154" t="e">
        <v>#REF!</v>
      </c>
      <c r="M72" s="154" t="e">
        <v>#REF!</v>
      </c>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C5:H5"/>
    <mergeCell ref="I5:M5"/>
    <mergeCell ref="H25:M25"/>
  </mergeCells>
  <printOptions/>
  <pageMargins bottom="0.75" footer="0.0" header="0.0" left="0.7" right="0.7" top="0.75"/>
  <pageSetup scale="44" orientation="portrait"/>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outlineLevelCol="1" outlineLevelRow="1"/>
  <cols>
    <col customWidth="1" min="1" max="1" width="1.71"/>
    <col customWidth="1" min="2" max="2" width="40.71"/>
    <col customWidth="1" min="3" max="3" width="10.14" outlineLevel="1"/>
    <col customWidth="1" min="4" max="4" width="14.0" outlineLevel="1"/>
    <col customWidth="1" min="5" max="6" width="15.71"/>
    <col customWidth="1" min="7" max="9" width="14.57"/>
    <col customWidth="1" min="10" max="20" width="12.71"/>
    <col customWidth="1" min="21" max="26" width="9.14"/>
  </cols>
  <sheetData>
    <row r="1" ht="15.75" customHeight="1">
      <c r="A1" s="1"/>
      <c r="B1" s="1"/>
      <c r="C1" s="1"/>
      <c r="D1" s="1"/>
      <c r="E1" s="1"/>
      <c r="F1" s="1"/>
      <c r="G1" s="1"/>
      <c r="H1" s="1"/>
      <c r="I1" s="1"/>
      <c r="J1" s="1"/>
      <c r="K1" s="1"/>
      <c r="L1" s="1"/>
      <c r="M1" s="1"/>
      <c r="N1" s="1"/>
      <c r="O1" s="1"/>
      <c r="P1" s="1"/>
      <c r="Q1" s="1"/>
      <c r="R1" s="1"/>
      <c r="S1" s="1"/>
      <c r="T1" s="1"/>
      <c r="U1" s="1"/>
      <c r="V1" s="1"/>
      <c r="W1" s="1"/>
      <c r="X1" s="1"/>
      <c r="Y1" s="1"/>
      <c r="Z1" s="1"/>
    </row>
    <row r="2" ht="15.75" customHeight="1">
      <c r="A2" s="1"/>
      <c r="B2" s="3" t="s">
        <v>97</v>
      </c>
      <c r="C2" s="4"/>
      <c r="D2" s="4"/>
      <c r="E2" s="1"/>
      <c r="F2" s="1"/>
      <c r="G2" s="1"/>
      <c r="H2" s="1"/>
      <c r="I2" s="1"/>
      <c r="J2" s="1"/>
      <c r="K2" s="1"/>
      <c r="L2" s="1"/>
      <c r="M2" s="1"/>
      <c r="N2" s="1"/>
      <c r="O2" s="1"/>
      <c r="P2" s="1"/>
      <c r="Q2" s="1"/>
      <c r="R2" s="1"/>
      <c r="S2" s="1"/>
      <c r="T2" s="1"/>
      <c r="U2" s="1"/>
      <c r="V2" s="1"/>
      <c r="W2" s="1"/>
      <c r="X2" s="1"/>
      <c r="Y2" s="1"/>
      <c r="Z2" s="1"/>
    </row>
    <row r="3" ht="15.75" customHeight="1">
      <c r="A3" s="1"/>
      <c r="B3" s="1" t="str">
        <f>+'ATVI-DCF'!$B$3</f>
        <v>($ in Millions Except Per Share and Per Unit Data)</v>
      </c>
      <c r="C3" s="1"/>
      <c r="D3" s="4"/>
      <c r="E3" s="1"/>
      <c r="F3" s="1"/>
      <c r="G3" s="1"/>
      <c r="H3" s="1"/>
      <c r="I3" s="1"/>
      <c r="J3" s="1"/>
      <c r="K3" s="1"/>
      <c r="L3" s="1"/>
      <c r="M3" s="1"/>
      <c r="N3" s="1"/>
      <c r="O3" s="1"/>
      <c r="P3" s="1"/>
      <c r="Q3" s="1"/>
      <c r="R3" s="1"/>
      <c r="S3" s="1"/>
      <c r="T3" s="1"/>
      <c r="U3" s="1"/>
      <c r="V3" s="1"/>
      <c r="W3" s="1"/>
      <c r="X3" s="1"/>
      <c r="Y3" s="1"/>
      <c r="Z3" s="1"/>
    </row>
    <row r="4" ht="15.75" customHeight="1">
      <c r="A4" s="1"/>
      <c r="B4" s="1"/>
      <c r="C4" s="1"/>
      <c r="D4" s="4"/>
      <c r="E4" s="1"/>
      <c r="F4" s="1"/>
      <c r="G4" s="1"/>
      <c r="H4" s="1"/>
      <c r="I4" s="1"/>
      <c r="J4" s="1"/>
      <c r="K4" s="1"/>
      <c r="L4" s="1"/>
      <c r="M4" s="1"/>
      <c r="N4" s="1"/>
      <c r="O4" s="1"/>
      <c r="P4" s="1"/>
      <c r="Q4" s="1"/>
      <c r="R4" s="1"/>
      <c r="S4" s="1"/>
      <c r="T4" s="1"/>
      <c r="U4" s="1"/>
      <c r="V4" s="1"/>
      <c r="W4" s="1"/>
      <c r="X4" s="1"/>
      <c r="Y4" s="1"/>
      <c r="Z4" s="1"/>
    </row>
    <row r="5" ht="15.75" hidden="1" customHeight="1" outlineLevel="1">
      <c r="A5" s="1"/>
      <c r="B5" s="31">
        <f>Inputs!$F$13</f>
        <v>2</v>
      </c>
      <c r="C5" s="32"/>
      <c r="D5" s="31">
        <f>Inputs!$F$14</f>
        <v>34</v>
      </c>
      <c r="E5" s="31">
        <f>Inputs!$F$15</f>
        <v>59</v>
      </c>
      <c r="F5" s="31">
        <f>Inputs!$F$16</f>
        <v>60</v>
      </c>
      <c r="G5" s="31">
        <f>Inputs!$F$17</f>
        <v>6</v>
      </c>
      <c r="H5" s="31">
        <f>Inputs!$F$18</f>
        <v>71</v>
      </c>
      <c r="I5" s="31">
        <f>Inputs!$F$19</f>
        <v>75</v>
      </c>
      <c r="J5" s="31">
        <f>Inputs!$F$20</f>
        <v>12</v>
      </c>
      <c r="K5" s="31">
        <f>Inputs!$F$21</f>
        <v>72</v>
      </c>
      <c r="L5" s="31">
        <f>Inputs!$F$22</f>
        <v>76</v>
      </c>
      <c r="M5" s="31">
        <f>Inputs!$F$23</f>
        <v>7</v>
      </c>
      <c r="N5" s="31">
        <f>Inputs!$F$24</f>
        <v>73</v>
      </c>
      <c r="O5" s="31">
        <f>Inputs!$F$25</f>
        <v>77</v>
      </c>
      <c r="P5" s="1"/>
      <c r="Q5" s="1"/>
      <c r="R5" s="1"/>
      <c r="S5" s="1"/>
      <c r="T5" s="1"/>
      <c r="U5" s="1"/>
      <c r="V5" s="1"/>
      <c r="W5" s="1"/>
      <c r="X5" s="1"/>
      <c r="Y5" s="1"/>
      <c r="Z5" s="1"/>
    </row>
    <row r="6" ht="15.75" customHeight="1" collapsed="1">
      <c r="A6" s="1"/>
      <c r="B6" s="134" t="s">
        <v>103</v>
      </c>
      <c r="C6" s="33"/>
      <c r="D6" s="33"/>
      <c r="E6" s="115" t="s">
        <v>104</v>
      </c>
      <c r="F6" s="117"/>
      <c r="G6" s="118"/>
      <c r="H6" s="118"/>
      <c r="I6" s="118"/>
      <c r="J6" s="118"/>
      <c r="K6" s="118"/>
      <c r="L6" s="118"/>
      <c r="M6" s="118"/>
      <c r="N6" s="118"/>
      <c r="O6" s="118"/>
      <c r="P6" s="34" t="s">
        <v>106</v>
      </c>
      <c r="Q6" s="34" t="s">
        <v>106</v>
      </c>
      <c r="R6" s="119"/>
      <c r="S6" s="135"/>
      <c r="T6" s="135"/>
      <c r="U6" s="1"/>
      <c r="V6" s="1"/>
      <c r="W6" s="1"/>
      <c r="X6" s="1"/>
      <c r="Y6" s="1"/>
      <c r="Z6" s="1"/>
    </row>
    <row r="7" ht="15.75" customHeight="1">
      <c r="A7" s="1"/>
      <c r="B7" s="118"/>
      <c r="C7" s="118"/>
      <c r="D7" s="34" t="s">
        <v>107</v>
      </c>
      <c r="E7" s="34" t="s">
        <v>23</v>
      </c>
      <c r="F7" s="34" t="s">
        <v>108</v>
      </c>
      <c r="G7" s="115" t="s">
        <v>79</v>
      </c>
      <c r="H7" s="116"/>
      <c r="I7" s="117"/>
      <c r="J7" s="115" t="s">
        <v>110</v>
      </c>
      <c r="K7" s="116"/>
      <c r="L7" s="117"/>
      <c r="M7" s="115" t="s">
        <v>111</v>
      </c>
      <c r="N7" s="116"/>
      <c r="O7" s="117"/>
      <c r="P7" s="34" t="s">
        <v>79</v>
      </c>
      <c r="Q7" s="34" t="s">
        <v>110</v>
      </c>
      <c r="R7" s="115" t="s">
        <v>112</v>
      </c>
      <c r="S7" s="116"/>
      <c r="T7" s="117"/>
      <c r="U7" s="1"/>
      <c r="V7" s="1"/>
      <c r="W7" s="1"/>
      <c r="X7" s="1"/>
      <c r="Y7" s="1"/>
      <c r="Z7" s="1"/>
    </row>
    <row r="8" ht="15.75" customHeight="1">
      <c r="A8" s="1"/>
      <c r="B8" s="24" t="s">
        <v>113</v>
      </c>
      <c r="C8" s="24" t="s">
        <v>26</v>
      </c>
      <c r="D8" s="35" t="s">
        <v>114</v>
      </c>
      <c r="E8" s="35" t="s">
        <v>32</v>
      </c>
      <c r="F8" s="35" t="s">
        <v>32</v>
      </c>
      <c r="G8" s="137" t="str">
        <f>LTM</f>
        <v>LTM</v>
      </c>
      <c r="H8" s="138">
        <f>Forward_Year_1</f>
        <v>44196</v>
      </c>
      <c r="I8" s="138">
        <f>Forward_Year_2</f>
        <v>44561</v>
      </c>
      <c r="J8" s="137" t="str">
        <f>LTM</f>
        <v>LTM</v>
      </c>
      <c r="K8" s="138">
        <f>Forward_Year_1</f>
        <v>44196</v>
      </c>
      <c r="L8" s="138">
        <f>Forward_Year_2</f>
        <v>44561</v>
      </c>
      <c r="M8" s="137" t="str">
        <f>LTM</f>
        <v>LTM</v>
      </c>
      <c r="N8" s="138">
        <f>Forward_Year_1</f>
        <v>44196</v>
      </c>
      <c r="O8" s="138">
        <f>Forward_Year_2</f>
        <v>44561</v>
      </c>
      <c r="P8" s="35" t="s">
        <v>120</v>
      </c>
      <c r="Q8" s="35" t="s">
        <v>120</v>
      </c>
      <c r="R8" s="137" t="str">
        <f>LTM</f>
        <v>LTM</v>
      </c>
      <c r="S8" s="138">
        <f>Forward_Year_1</f>
        <v>44196</v>
      </c>
      <c r="T8" s="138">
        <f>Forward_Year_2</f>
        <v>44561</v>
      </c>
      <c r="U8" s="1"/>
      <c r="V8" s="1"/>
      <c r="W8" s="1"/>
      <c r="X8" s="1"/>
      <c r="Y8" s="1"/>
      <c r="Z8" s="1"/>
    </row>
    <row r="9" ht="15.75" customHeight="1">
      <c r="A9" s="1"/>
      <c r="B9" s="1" t="str">
        <f>HLOOKUP($C9,Comps_Range,'Public Comps'!B$5,FALSE)</f>
        <v>Ubisoft</v>
      </c>
      <c r="C9" s="1" t="s">
        <v>35</v>
      </c>
      <c r="D9" s="57">
        <f>HLOOKUP($C9,Comps_Range,'Public Comps'!D$5,FALSE)</f>
        <v>81.31</v>
      </c>
      <c r="E9" s="37">
        <f>HLOOKUP($C9,Comps_Range,'Public Comps'!E$5,FALSE)</f>
        <v>9638.16</v>
      </c>
      <c r="F9" s="37">
        <f>HLOOKUP($C9,Comps_Range,'Public Comps'!F$5,FALSE)</f>
        <v>10077.7149</v>
      </c>
      <c r="G9" s="37">
        <f>HLOOKUP($C9,Comps_Range,'Public Comps'!G$5,FALSE)</f>
        <v>1935.84</v>
      </c>
      <c r="H9" s="37">
        <f>HLOOKUP($C9,Comps_Range,'Public Comps'!H$5,FALSE)</f>
        <v>1590.31</v>
      </c>
      <c r="I9" s="37">
        <f>HLOOKUP($C9,Comps_Range,'Public Comps'!I$5,FALSE)</f>
        <v>2781.68</v>
      </c>
      <c r="J9" s="37">
        <f>HLOOKUP($C9,Comps_Range,'Public Comps'!J$5,FALSE)</f>
        <v>773.355</v>
      </c>
      <c r="K9" s="37">
        <f>HLOOKUP($C9,Comps_Range,'Public Comps'!K$5,FALSE)</f>
        <v>733.5264</v>
      </c>
      <c r="L9" s="37">
        <f>HLOOKUP($C9,Comps_Range,'Public Comps'!L$5,FALSE)</f>
        <v>1388.66</v>
      </c>
      <c r="M9" s="37">
        <f>HLOOKUP($C9,Comps_Range,'Public Comps'!M$5,FALSE)</f>
        <v>-43.382</v>
      </c>
      <c r="N9" s="37">
        <f>HLOOKUP($C9,Comps_Range,'Public Comps'!N$5,FALSE)</f>
        <v>29.1248</v>
      </c>
      <c r="O9" s="37">
        <f>HLOOKUP($C9,Comps_Range,'Public Comps'!O$5,FALSE)</f>
        <v>463.0538</v>
      </c>
      <c r="P9" s="145">
        <f t="shared" ref="P9:P18" si="2">IFERROR(+I9/H9-1,"N/A")</f>
        <v>0.7491432488</v>
      </c>
      <c r="Q9" s="145">
        <f t="shared" ref="Q9:Q18" si="3">IFERROR(+L9/K9-1,"N/A")</f>
        <v>0.8931288635</v>
      </c>
      <c r="R9" s="145">
        <f t="shared" ref="R9:T9" si="1">IFERROR(+J9/G9,"N/A")</f>
        <v>0.3994932432</v>
      </c>
      <c r="S9" s="145">
        <f t="shared" si="1"/>
        <v>0.4612474297</v>
      </c>
      <c r="T9" s="145">
        <f t="shared" si="1"/>
        <v>0.4992163009</v>
      </c>
      <c r="U9" s="1"/>
      <c r="V9" s="1"/>
      <c r="W9" s="1"/>
      <c r="X9" s="1"/>
      <c r="Y9" s="1"/>
      <c r="Z9" s="1"/>
    </row>
    <row r="10" ht="15.75" customHeight="1">
      <c r="A10" s="1"/>
      <c r="B10" s="1" t="str">
        <f>HLOOKUP($C10,Comps_Range,'Public Comps'!B$5,FALSE)</f>
        <v>Electronic Arts</v>
      </c>
      <c r="C10" s="1" t="s">
        <v>38</v>
      </c>
      <c r="D10" s="65">
        <f>HLOOKUP($C10,Comps_Range,'Public Comps'!D$5,FALSE)</f>
        <v>109.65</v>
      </c>
      <c r="E10" s="8">
        <f>HLOOKUP($C10,Comps_Range,'Public Comps'!E$5,FALSE)</f>
        <v>31762.3155</v>
      </c>
      <c r="F10" s="8">
        <f>HLOOKUP($C10,Comps_Range,'Public Comps'!F$5,FALSE)</f>
        <v>26397.1155</v>
      </c>
      <c r="G10" s="8">
        <f>HLOOKUP($C10,Comps_Range,'Public Comps'!G$5,FALSE)</f>
        <v>4950</v>
      </c>
      <c r="H10" s="8">
        <f>HLOOKUP($C10,Comps_Range,'Public Comps'!H$5,FALSE)</f>
        <v>5188</v>
      </c>
      <c r="I10" s="8">
        <f>HLOOKUP($C10,Comps_Range,'Public Comps'!I$5,FALSE)</f>
        <v>5376</v>
      </c>
      <c r="J10" s="8">
        <f>HLOOKUP($C10,Comps_Range,'Public Comps'!J$5,FALSE)</f>
        <v>1989</v>
      </c>
      <c r="K10" s="8">
        <f>HLOOKUP($C10,Comps_Range,'Public Comps'!K$5,FALSE)</f>
        <v>1781</v>
      </c>
      <c r="L10" s="8">
        <f>HLOOKUP($C10,Comps_Range,'Public Comps'!L$5,FALSE)</f>
        <v>1839</v>
      </c>
      <c r="M10" s="8">
        <f>HLOOKUP($C10,Comps_Range,'Public Comps'!M$5,FALSE)</f>
        <v>1019</v>
      </c>
      <c r="N10" s="8">
        <f>HLOOKUP($C10,Comps_Range,'Public Comps'!N$5,FALSE)</f>
        <v>1381.994</v>
      </c>
      <c r="O10" s="8">
        <f>HLOOKUP($C10,Comps_Range,'Public Comps'!O$5,FALSE)</f>
        <v>1445.91</v>
      </c>
      <c r="P10" s="145">
        <f t="shared" si="2"/>
        <v>0.03623747109</v>
      </c>
      <c r="Q10" s="145">
        <f t="shared" si="3"/>
        <v>0.03256597417</v>
      </c>
      <c r="R10" s="145">
        <f t="shared" ref="R10:T10" si="4">IFERROR(+J10/G10,"N/A")</f>
        <v>0.4018181818</v>
      </c>
      <c r="S10" s="145">
        <f t="shared" si="4"/>
        <v>0.3432922128</v>
      </c>
      <c r="T10" s="145">
        <f t="shared" si="4"/>
        <v>0.3420758929</v>
      </c>
      <c r="U10" s="1"/>
      <c r="V10" s="1"/>
      <c r="W10" s="1"/>
      <c r="X10" s="1"/>
      <c r="Y10" s="1"/>
      <c r="Z10" s="1"/>
    </row>
    <row r="11" ht="15.75" customHeight="1">
      <c r="A11" s="1"/>
      <c r="B11" s="1" t="str">
        <f>HLOOKUP($C11,Comps_Range,'Public Comps'!B$5,FALSE)</f>
        <v>Take Two Initiative</v>
      </c>
      <c r="C11" s="1" t="s">
        <v>40</v>
      </c>
      <c r="D11" s="65">
        <f>HLOOKUP($C11,Comps_Range,'Public Comps'!D$5,FALSE)</f>
        <v>110.72</v>
      </c>
      <c r="E11" s="8">
        <f>HLOOKUP($C11,Comps_Range,'Public Comps'!E$5,FALSE)</f>
        <v>12557.8624</v>
      </c>
      <c r="F11" s="8">
        <f>HLOOKUP($C11,Comps_Range,'Public Comps'!F$5,FALSE)</f>
        <v>10573.6624</v>
      </c>
      <c r="G11" s="8">
        <f>HLOOKUP($C11,Comps_Range,'Public Comps'!G$5,FALSE)</f>
        <v>2867.4</v>
      </c>
      <c r="H11" s="8">
        <f>HLOOKUP($C11,Comps_Range,'Public Comps'!H$5,FALSE)</f>
        <v>2838</v>
      </c>
      <c r="I11" s="8">
        <f>HLOOKUP($C11,Comps_Range,'Public Comps'!I$5,FALSE)</f>
        <v>2689</v>
      </c>
      <c r="J11" s="8">
        <f>HLOOKUP($C11,Comps_Range,'Public Comps'!J$5,FALSE)</f>
        <v>588.3</v>
      </c>
      <c r="K11" s="8">
        <f>HLOOKUP($C11,Comps_Range,'Public Comps'!K$5,FALSE)</f>
        <v>663.41</v>
      </c>
      <c r="L11" s="8">
        <f>HLOOKUP($C11,Comps_Range,'Public Comps'!L$5,FALSE)</f>
        <v>667.67</v>
      </c>
      <c r="M11" s="8">
        <f>HLOOKUP($C11,Comps_Range,'Public Comps'!M$5,FALSE)</f>
        <v>334</v>
      </c>
      <c r="N11" s="8">
        <f>HLOOKUP($C11,Comps_Range,'Public Comps'!N$5,FALSE)</f>
        <v>542.33</v>
      </c>
      <c r="O11" s="8">
        <f>HLOOKUP($C11,Comps_Range,'Public Comps'!O$5,FALSE)</f>
        <v>515.83</v>
      </c>
      <c r="P11" s="145">
        <f t="shared" si="2"/>
        <v>-0.0525017618</v>
      </c>
      <c r="Q11" s="145">
        <f t="shared" si="3"/>
        <v>0.006421368385</v>
      </c>
      <c r="R11" s="145">
        <f t="shared" ref="R11:T11" si="5">IFERROR(+J11/G11,"N/A")</f>
        <v>0.2051684453</v>
      </c>
      <c r="S11" s="145">
        <f t="shared" si="5"/>
        <v>0.2337596899</v>
      </c>
      <c r="T11" s="145">
        <f t="shared" si="5"/>
        <v>0.2482967646</v>
      </c>
      <c r="U11" s="1"/>
      <c r="V11" s="1"/>
      <c r="W11" s="1"/>
      <c r="X11" s="1"/>
      <c r="Y11" s="1"/>
      <c r="Z11" s="1"/>
    </row>
    <row r="12" ht="15.75" customHeight="1">
      <c r="A12" s="1"/>
      <c r="B12" s="1" t="str">
        <f>HLOOKUP($C12,Comps_Range,'Public Comps'!B$5,FALSE)</f>
        <v>Netmarble Games (BILL KRW)</v>
      </c>
      <c r="C12" s="1">
        <v>251270.0</v>
      </c>
      <c r="D12" s="65">
        <f>HLOOKUP($C12,Comps_Range,'Public Comps'!D$5,FALSE)</f>
        <v>94100</v>
      </c>
      <c r="E12" s="8">
        <f>HLOOKUP($C12,Comps_Range,'Public Comps'!E$5,FALSE)</f>
        <v>8051.68</v>
      </c>
      <c r="F12" s="8">
        <f>HLOOKUP($C12,Comps_Range,'Public Comps'!F$5,FALSE)</f>
        <v>6265</v>
      </c>
      <c r="G12" s="8">
        <f>HLOOKUP($C12,Comps_Range,'Public Comps'!G$5,FALSE)</f>
        <v>2215</v>
      </c>
      <c r="H12" s="8">
        <f>HLOOKUP($C12,Comps_Range,'Public Comps'!H$5,FALSE)</f>
        <v>2520</v>
      </c>
      <c r="I12" s="8">
        <f>HLOOKUP($C12,Comps_Range,'Public Comps'!I$5,FALSE)</f>
        <v>2670</v>
      </c>
      <c r="J12" s="8">
        <f>HLOOKUP($C12,Comps_Range,'Public Comps'!J$5,FALSE)</f>
        <v>324.575</v>
      </c>
      <c r="K12" s="8">
        <f>HLOOKUP($C12,Comps_Range,'Public Comps'!K$5,FALSE)</f>
        <v>431.63</v>
      </c>
      <c r="L12" s="8">
        <f>HLOOKUP($C12,Comps_Range,'Public Comps'!L$5,FALSE)</f>
        <v>477.13</v>
      </c>
      <c r="M12" s="8">
        <f>HLOOKUP($C12,Comps_Range,'Public Comps'!M$5,FALSE)</f>
        <v>202.65</v>
      </c>
      <c r="N12" s="8">
        <f>HLOOKUP($C12,Comps_Range,'Public Comps'!N$5,FALSE)</f>
        <v>274.616</v>
      </c>
      <c r="O12" s="8">
        <f>HLOOKUP($C12,Comps_Range,'Public Comps'!O$5,FALSE)</f>
        <v>306.472</v>
      </c>
      <c r="P12" s="145">
        <f t="shared" si="2"/>
        <v>0.05952380952</v>
      </c>
      <c r="Q12" s="145">
        <f t="shared" si="3"/>
        <v>0.1054143595</v>
      </c>
      <c r="R12" s="145">
        <f t="shared" ref="R12:T12" si="6">IFERROR(+J12/G12,"N/A")</f>
        <v>0.1465349887</v>
      </c>
      <c r="S12" s="145">
        <f t="shared" si="6"/>
        <v>0.171281746</v>
      </c>
      <c r="T12" s="145">
        <f t="shared" si="6"/>
        <v>0.1787003745</v>
      </c>
      <c r="U12" s="1"/>
      <c r="V12" s="1"/>
      <c r="W12" s="1"/>
      <c r="X12" s="1"/>
      <c r="Y12" s="1"/>
      <c r="Z12" s="1"/>
    </row>
    <row r="13" ht="15.75" customHeight="1">
      <c r="A13" s="1"/>
      <c r="B13" s="1" t="str">
        <f>HLOOKUP($C13,Comps_Range,'Public Comps'!B$5,FALSE)</f>
        <v>Square Enix Co. (MILL JPY)</v>
      </c>
      <c r="C13" s="1">
        <v>9684.0</v>
      </c>
      <c r="D13" s="65">
        <f>HLOOKUP($C13,Comps_Range,'Public Comps'!D$5,FALSE)</f>
        <v>5200</v>
      </c>
      <c r="E13" s="8">
        <f>HLOOKUP($C13,Comps_Range,'Public Comps'!E$5,FALSE)</f>
        <v>620297.6</v>
      </c>
      <c r="F13" s="8">
        <f>HLOOKUP($C13,Comps_Range,'Public Comps'!F$5,FALSE)</f>
        <v>619307.1</v>
      </c>
      <c r="G13" s="8">
        <f>HLOOKUP($C13,Comps_Range,'Public Comps'!G$5,FALSE)</f>
        <v>281693</v>
      </c>
      <c r="H13" s="8">
        <f>HLOOKUP($C13,Comps_Range,'Public Comps'!H$5,FALSE)</f>
        <v>284231.17</v>
      </c>
      <c r="I13" s="8">
        <f>HLOOKUP($C13,Comps_Range,'Public Comps'!I$5,FALSE)</f>
        <v>331183.07</v>
      </c>
      <c r="J13" s="8">
        <f>HLOOKUP($C13,Comps_Range,'Public Comps'!J$5,FALSE)</f>
        <v>40581</v>
      </c>
      <c r="K13" s="8">
        <f>HLOOKUP($C13,Comps_Range,'Public Comps'!K$5,FALSE)</f>
        <v>44754.75</v>
      </c>
      <c r="L13" s="8">
        <f>HLOOKUP($C13,Comps_Range,'Public Comps'!L$5,FALSE)</f>
        <v>54460.89</v>
      </c>
      <c r="M13" s="8">
        <f>HLOOKUP($C13,Comps_Range,'Public Comps'!M$5,FALSE)</f>
        <v>28738</v>
      </c>
      <c r="N13" s="8">
        <f>HLOOKUP($C13,Comps_Range,'Public Comps'!N$5,FALSE)</f>
        <v>24819.08</v>
      </c>
      <c r="O13" s="8">
        <f>HLOOKUP($C13,Comps_Range,'Public Comps'!O$5,FALSE)</f>
        <v>33394.43</v>
      </c>
      <c r="P13" s="145">
        <f t="shared" si="2"/>
        <v>0.1651891311</v>
      </c>
      <c r="Q13" s="145">
        <f t="shared" si="3"/>
        <v>0.2168739631</v>
      </c>
      <c r="R13" s="145">
        <f t="shared" ref="R13:T13" si="7">IFERROR(+J13/G13,"N/A")</f>
        <v>0.1440610878</v>
      </c>
      <c r="S13" s="145">
        <f t="shared" si="7"/>
        <v>0.1574589796</v>
      </c>
      <c r="T13" s="145">
        <f t="shared" si="7"/>
        <v>0.1644434602</v>
      </c>
      <c r="U13" s="1"/>
      <c r="V13" s="1"/>
      <c r="W13" s="1"/>
      <c r="X13" s="1"/>
      <c r="Y13" s="1"/>
      <c r="Z13" s="1"/>
    </row>
    <row r="14" ht="15.75" customHeight="1">
      <c r="A14" s="1"/>
      <c r="B14" s="1" t="str">
        <f>HLOOKUP($C14,Comps_Range,'Public Comps'!B$5,FALSE)</f>
        <v>Nintendo (MILL JPY)</v>
      </c>
      <c r="C14" s="1">
        <v>7974.0</v>
      </c>
      <c r="D14" s="65">
        <f>HLOOKUP($C14,Comps_Range,'Public Comps'!D$5,FALSE)</f>
        <v>40650</v>
      </c>
      <c r="E14" s="8">
        <f>HLOOKUP($C14,Comps_Range,'Public Comps'!E$5,FALSE)</f>
        <v>4842380.803</v>
      </c>
      <c r="F14" s="8">
        <f>HLOOKUP($C14,Comps_Range,'Public Comps'!F$5,FALSE)</f>
        <v>4833542.803</v>
      </c>
      <c r="G14" s="8">
        <f>HLOOKUP($C14,Comps_Range,'Public Comps'!G$5,FALSE)</f>
        <v>1225933</v>
      </c>
      <c r="H14" s="8">
        <f>HLOOKUP($C14,Comps_Range,'Public Comps'!H$5,FALSE)</f>
        <v>1284000</v>
      </c>
      <c r="I14" s="8">
        <f>HLOOKUP($C14,Comps_Range,'Public Comps'!I$5,FALSE)</f>
        <v>1370000</v>
      </c>
      <c r="J14" s="8">
        <f>HLOOKUP($C14,Comps_Range,'Public Comps'!J$5,FALSE)</f>
        <v>292602</v>
      </c>
      <c r="K14" s="8">
        <f>HLOOKUP($C14,Comps_Range,'Public Comps'!K$5,FALSE)</f>
        <v>325180</v>
      </c>
      <c r="L14" s="8">
        <f>HLOOKUP($C14,Comps_Range,'Public Comps'!L$5,FALSE)</f>
        <v>392070</v>
      </c>
      <c r="M14" s="8">
        <f>HLOOKUP($C14,Comps_Range,'Public Comps'!M$5,FALSE)</f>
        <v>221614</v>
      </c>
      <c r="N14" s="8">
        <f>HLOOKUP($C14,Comps_Range,'Public Comps'!N$5,FALSE)</f>
        <v>228750</v>
      </c>
      <c r="O14" s="8">
        <f>HLOOKUP($C14,Comps_Range,'Public Comps'!O$5,FALSE)</f>
        <v>282520</v>
      </c>
      <c r="P14" s="145">
        <f t="shared" si="2"/>
        <v>0.06697819315</v>
      </c>
      <c r="Q14" s="145">
        <f t="shared" si="3"/>
        <v>0.2057014577</v>
      </c>
      <c r="R14" s="145">
        <f t="shared" ref="R14:T14" si="8">IFERROR(+J14/G14,"N/A")</f>
        <v>0.2386769913</v>
      </c>
      <c r="S14" s="145">
        <f t="shared" si="8"/>
        <v>0.2532554517</v>
      </c>
      <c r="T14" s="145">
        <f t="shared" si="8"/>
        <v>0.2861824818</v>
      </c>
      <c r="U14" s="1"/>
      <c r="V14" s="1"/>
      <c r="W14" s="1"/>
      <c r="X14" s="1"/>
      <c r="Y14" s="1"/>
      <c r="Z14" s="1"/>
    </row>
    <row r="15" ht="15.75" customHeight="1">
      <c r="A15" s="1"/>
      <c r="B15" s="1" t="str">
        <f>HLOOKUP($C15,Comps_Range,'Public Comps'!B$5,FALSE)</f>
        <v>CD Projekt (MILL PLN)</v>
      </c>
      <c r="C15" s="1" t="s">
        <v>53</v>
      </c>
      <c r="D15" s="65">
        <f>HLOOKUP($C15,Comps_Range,'Public Comps'!D$5,FALSE)</f>
        <v>310.5</v>
      </c>
      <c r="E15" s="8">
        <f>HLOOKUP($C15,Comps_Range,'Public Comps'!E$5,FALSE)</f>
        <v>29845.26</v>
      </c>
      <c r="F15" s="8">
        <f>HLOOKUP($C15,Comps_Range,'Public Comps'!F$5,FALSE)</f>
        <v>29596.652</v>
      </c>
      <c r="G15" s="8">
        <f>HLOOKUP($C15,Comps_Range,'Public Comps'!G$5,FALSE)</f>
        <v>438.42</v>
      </c>
      <c r="H15" s="8">
        <f>HLOOKUP($C15,Comps_Range,'Public Comps'!H$5,FALSE)</f>
        <v>3123.334</v>
      </c>
      <c r="I15" s="8">
        <f>HLOOKUP($C15,Comps_Range,'Public Comps'!I$5,FALSE)</f>
        <v>2222.388</v>
      </c>
      <c r="J15" s="8">
        <f>HLOOKUP($C15,Comps_Range,'Public Comps'!J$5,FALSE)</f>
        <v>140.43</v>
      </c>
      <c r="K15" s="8">
        <f>HLOOKUP($C15,Comps_Range,'Public Comps'!K$5,FALSE)</f>
        <v>2465.827</v>
      </c>
      <c r="L15" s="8">
        <f>HLOOKUP($C15,Comps_Range,'Public Comps'!L$5,FALSE)</f>
        <v>1609.011</v>
      </c>
      <c r="M15" s="8">
        <f>HLOOKUP($C15,Comps_Range,'Public Comps'!M$5,FALSE)</f>
        <v>107.19</v>
      </c>
      <c r="N15" s="8">
        <f>HLOOKUP($C15,Comps_Range,'Public Comps'!N$5,FALSE)</f>
        <v>1926.026</v>
      </c>
      <c r="O15" s="8">
        <f>HLOOKUP($C15,Comps_Range,'Public Comps'!O$5,FALSE)</f>
        <v>1382.982</v>
      </c>
      <c r="P15" s="145">
        <f t="shared" si="2"/>
        <v>-0.2884565019</v>
      </c>
      <c r="Q15" s="145">
        <f t="shared" si="3"/>
        <v>-0.3474761206</v>
      </c>
      <c r="R15" s="145">
        <f t="shared" ref="R15:T15" si="9">IFERROR(+J15/G15,"N/A")</f>
        <v>0.3203092925</v>
      </c>
      <c r="S15" s="145">
        <f t="shared" si="9"/>
        <v>0.7894855305</v>
      </c>
      <c r="T15" s="145">
        <f t="shared" si="9"/>
        <v>0.7240009395</v>
      </c>
      <c r="U15" s="1"/>
      <c r="V15" s="1"/>
      <c r="W15" s="1"/>
      <c r="X15" s="1"/>
      <c r="Y15" s="1"/>
      <c r="Z15" s="1"/>
    </row>
    <row r="16" ht="15.75" customHeight="1">
      <c r="A16" s="1"/>
      <c r="B16" s="1" t="str">
        <f>HLOOKUP($C16,Comps_Range,'Public Comps'!B$5,FALSE)</f>
        <v>Bandai Namco (BILL JPY)</v>
      </c>
      <c r="C16" s="1" t="s">
        <v>54</v>
      </c>
      <c r="D16" s="65">
        <f>HLOOKUP($C16,Comps_Range,'Public Comps'!D$5,FALSE)</f>
        <v>6023</v>
      </c>
      <c r="E16" s="8">
        <f>HLOOKUP($C16,Comps_Range,'Public Comps'!E$5,FALSE)</f>
        <v>1323132.64</v>
      </c>
      <c r="F16" s="8">
        <f>HLOOKUP($C16,Comps_Range,'Public Comps'!F$5,FALSE)</f>
        <v>1323610.489</v>
      </c>
      <c r="G16" s="8">
        <f>HLOOKUP($C16,Comps_Range,'Public Comps'!G$5,FALSE)</f>
        <v>6035.8</v>
      </c>
      <c r="H16" s="8">
        <f>HLOOKUP($C16,Comps_Range,'Public Comps'!H$5,FALSE)</f>
        <v>747.7</v>
      </c>
      <c r="I16" s="8">
        <f>HLOOKUP($C16,Comps_Range,'Public Comps'!I$5,FALSE)</f>
        <v>794.05</v>
      </c>
      <c r="J16" s="8">
        <f>HLOOKUP($C16,Comps_Range,'Public Comps'!J$5,FALSE)</f>
        <v>895.5</v>
      </c>
      <c r="K16" s="8">
        <f>HLOOKUP($C16,Comps_Range,'Public Comps'!K$5,FALSE)</f>
        <v>115.12</v>
      </c>
      <c r="L16" s="8">
        <f>HLOOKUP($C16,Comps_Range,'Public Comps'!L$5,FALSE)</f>
        <v>125.6</v>
      </c>
      <c r="M16" s="8">
        <f>HLOOKUP($C16,Comps_Range,'Public Comps'!M$5,FALSE)</f>
        <v>514.8</v>
      </c>
      <c r="N16" s="8">
        <f>HLOOKUP($C16,Comps_Range,'Public Comps'!N$5,FALSE)</f>
        <v>66.64</v>
      </c>
      <c r="O16" s="8">
        <f>HLOOKUP($C16,Comps_Range,'Public Comps'!O$5,FALSE)</f>
        <v>74.6</v>
      </c>
      <c r="P16" s="145">
        <f t="shared" si="2"/>
        <v>0.06199010298</v>
      </c>
      <c r="Q16" s="145">
        <f t="shared" si="3"/>
        <v>0.09103544128</v>
      </c>
      <c r="R16" s="145">
        <f t="shared" ref="R16:T16" si="10">IFERROR(+J16/G16,"N/A")</f>
        <v>0.148364757</v>
      </c>
      <c r="S16" s="145">
        <f t="shared" si="10"/>
        <v>0.1539654942</v>
      </c>
      <c r="T16" s="145">
        <f t="shared" si="10"/>
        <v>0.1581764373</v>
      </c>
      <c r="U16" s="1"/>
      <c r="V16" s="1"/>
      <c r="W16" s="1"/>
      <c r="X16" s="1"/>
      <c r="Y16" s="1"/>
      <c r="Z16" s="1"/>
    </row>
    <row r="17" ht="15.75" customHeight="1">
      <c r="A17" s="1"/>
      <c r="B17" s="1" t="str">
        <f>HLOOKUP($C17,Comps_Range,'Public Comps'!B$5,FALSE)</f>
        <v>Nexon (BILL JPY)</v>
      </c>
      <c r="C17" s="1" t="s">
        <v>55</v>
      </c>
      <c r="D17" s="65">
        <f>HLOOKUP($C17,Comps_Range,'Public Comps'!D$5,FALSE)</f>
        <v>1630</v>
      </c>
      <c r="E17" s="8">
        <f>HLOOKUP($C17,Comps_Range,'Public Comps'!E$5,FALSE)</f>
        <v>1435312.8</v>
      </c>
      <c r="F17" s="8">
        <f>HLOOKUP($C17,Comps_Range,'Public Comps'!F$5,FALSE)</f>
        <v>1532436.824</v>
      </c>
      <c r="G17" s="8">
        <f>HLOOKUP($C17,Comps_Range,'Public Comps'!G$5,FALSE)</f>
        <v>246.283</v>
      </c>
      <c r="H17" s="8">
        <f>HLOOKUP($C17,Comps_Range,'Public Comps'!H$5,FALSE)</f>
        <v>262.01</v>
      </c>
      <c r="I17" s="8">
        <f>HLOOKUP($C17,Comps_Range,'Public Comps'!I$5,FALSE)</f>
        <v>282.99</v>
      </c>
      <c r="J17" s="8">
        <f>HLOOKUP($C17,Comps_Range,'Public Comps'!J$5,FALSE)</f>
        <v>27519.351</v>
      </c>
      <c r="K17" s="8">
        <f>HLOOKUP($C17,Comps_Range,'Public Comps'!K$5,FALSE)</f>
        <v>110.86</v>
      </c>
      <c r="L17" s="8">
        <f>HLOOKUP($C17,Comps_Range,'Public Comps'!L$5,FALSE)</f>
        <v>123.7</v>
      </c>
      <c r="M17" s="8">
        <f>HLOOKUP($C17,Comps_Range,'Public Comps'!M$5,FALSE)</f>
        <v>109.037</v>
      </c>
      <c r="N17" s="8">
        <f>HLOOKUP($C17,Comps_Range,'Public Comps'!N$5,FALSE)</f>
        <v>88</v>
      </c>
      <c r="O17" s="8">
        <f>HLOOKUP($C17,Comps_Range,'Public Comps'!O$5,FALSE)</f>
        <v>94.5</v>
      </c>
      <c r="P17" s="145">
        <f t="shared" si="2"/>
        <v>0.08007327965</v>
      </c>
      <c r="Q17" s="145">
        <f t="shared" si="3"/>
        <v>0.1158217572</v>
      </c>
      <c r="R17" s="145">
        <f t="shared" ref="R17:T17" si="11">IFERROR(+J17/G17,"N/A")</f>
        <v>111.7387355</v>
      </c>
      <c r="S17" s="145">
        <f t="shared" si="11"/>
        <v>0.4231136216</v>
      </c>
      <c r="T17" s="145">
        <f t="shared" si="11"/>
        <v>0.4371179194</v>
      </c>
      <c r="U17" s="1"/>
      <c r="V17" s="1"/>
      <c r="W17" s="1"/>
      <c r="X17" s="1"/>
      <c r="Y17" s="1"/>
      <c r="Z17" s="1"/>
    </row>
    <row r="18" ht="15.75" customHeight="1">
      <c r="A18" s="1"/>
      <c r="B18" s="1" t="str">
        <f>HLOOKUP($C18,Comps_Range,'Public Comps'!B$5,FALSE)</f>
        <v>NCsoft Corp. (KRW)</v>
      </c>
      <c r="C18" s="1">
        <v>36570.0</v>
      </c>
      <c r="D18" s="65">
        <f>HLOOKUP($C18,Comps_Range,'Public Comps'!D$5,FALSE)</f>
        <v>648000</v>
      </c>
      <c r="E18" s="8">
        <f>HLOOKUP($C18,Comps_Range,'Public Comps'!E$5,FALSE)</f>
        <v>13355280</v>
      </c>
      <c r="F18" s="8">
        <f>HLOOKUP($C18,Comps_Range,'Public Comps'!F$5,FALSE)</f>
        <v>13136163</v>
      </c>
      <c r="G18" s="8">
        <f>HLOOKUP($C18,Comps_Range,'Public Comps'!G$5,FALSE)</f>
        <v>1567006</v>
      </c>
      <c r="H18" s="8">
        <f>HLOOKUP($C18,Comps_Range,'Public Comps'!H$5,FALSE)</f>
        <v>2490</v>
      </c>
      <c r="I18" s="8">
        <f>HLOOKUP($C18,Comps_Range,'Public Comps'!I$5,FALSE)</f>
        <v>2897</v>
      </c>
      <c r="J18" s="8">
        <f>HLOOKUP($C18,Comps_Range,'Public Comps'!J$5,FALSE)</f>
        <v>494973</v>
      </c>
      <c r="K18" s="8">
        <f>HLOOKUP($C18,Comps_Range,'Public Comps'!K$5,FALSE)</f>
        <v>1045</v>
      </c>
      <c r="L18" s="8">
        <f>HLOOKUP($C18,Comps_Range,'Public Comps'!L$5,FALSE)</f>
        <v>1269</v>
      </c>
      <c r="M18" s="8">
        <f>HLOOKUP($C18,Comps_Range,'Public Comps'!M$5,FALSE)</f>
        <v>372791</v>
      </c>
      <c r="N18" s="8">
        <f>HLOOKUP($C18,Comps_Range,'Public Comps'!N$5,FALSE)</f>
        <v>789</v>
      </c>
      <c r="O18" s="8">
        <f>HLOOKUP($C18,Comps_Range,'Public Comps'!O$5,FALSE)</f>
        <v>972</v>
      </c>
      <c r="P18" s="145">
        <f t="shared" si="2"/>
        <v>0.1634538153</v>
      </c>
      <c r="Q18" s="145">
        <f t="shared" si="3"/>
        <v>0.214354067</v>
      </c>
      <c r="R18" s="145">
        <f t="shared" ref="R18:T18" si="12">IFERROR(+J18/G18,"N/A")</f>
        <v>0.3158717963</v>
      </c>
      <c r="S18" s="145">
        <f t="shared" si="12"/>
        <v>0.4196787149</v>
      </c>
      <c r="T18" s="145">
        <f t="shared" si="12"/>
        <v>0.4380393511</v>
      </c>
      <c r="U18" s="1"/>
      <c r="V18" s="1"/>
      <c r="W18" s="1"/>
      <c r="X18" s="1"/>
      <c r="Y18" s="1"/>
      <c r="Z18" s="1"/>
    </row>
    <row r="19"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5.75" customHeight="1">
      <c r="A20" s="1"/>
      <c r="B20" s="171" t="s">
        <v>83</v>
      </c>
      <c r="C20" s="82"/>
      <c r="D20" s="172">
        <f t="shared" ref="D20:T20" si="13">MAX(D9:D18)</f>
        <v>648000</v>
      </c>
      <c r="E20" s="88">
        <f t="shared" si="13"/>
        <v>13355280</v>
      </c>
      <c r="F20" s="88">
        <f t="shared" si="13"/>
        <v>13136163</v>
      </c>
      <c r="G20" s="88">
        <f t="shared" si="13"/>
        <v>1567006</v>
      </c>
      <c r="H20" s="88">
        <f t="shared" si="13"/>
        <v>1284000</v>
      </c>
      <c r="I20" s="88">
        <f t="shared" si="13"/>
        <v>1370000</v>
      </c>
      <c r="J20" s="88">
        <f t="shared" si="13"/>
        <v>494973</v>
      </c>
      <c r="K20" s="88">
        <f t="shared" si="13"/>
        <v>325180</v>
      </c>
      <c r="L20" s="88">
        <f t="shared" si="13"/>
        <v>392070</v>
      </c>
      <c r="M20" s="88">
        <f t="shared" si="13"/>
        <v>372791</v>
      </c>
      <c r="N20" s="88">
        <f t="shared" si="13"/>
        <v>228750</v>
      </c>
      <c r="O20" s="88">
        <f t="shared" si="13"/>
        <v>282520</v>
      </c>
      <c r="P20" s="173">
        <f t="shared" si="13"/>
        <v>0.7491432488</v>
      </c>
      <c r="Q20" s="173">
        <f t="shared" si="13"/>
        <v>0.8931288635</v>
      </c>
      <c r="R20" s="173">
        <f t="shared" si="13"/>
        <v>111.7387355</v>
      </c>
      <c r="S20" s="173">
        <f t="shared" si="13"/>
        <v>0.7894855305</v>
      </c>
      <c r="T20" s="174">
        <f t="shared" si="13"/>
        <v>0.7240009395</v>
      </c>
      <c r="U20" s="1"/>
      <c r="V20" s="1"/>
      <c r="W20" s="1"/>
      <c r="X20" s="1"/>
      <c r="Y20" s="1"/>
      <c r="Z20" s="1"/>
    </row>
    <row r="21" ht="15.75" customHeight="1">
      <c r="A21" s="1"/>
      <c r="B21" s="175" t="s">
        <v>155</v>
      </c>
      <c r="C21" s="1"/>
      <c r="D21" s="65">
        <f t="shared" ref="D21:T21" si="14">QUARTILE(D9:D18,3)</f>
        <v>31993.25</v>
      </c>
      <c r="E21" s="8">
        <f t="shared" si="14"/>
        <v>1407267.76</v>
      </c>
      <c r="F21" s="8">
        <f t="shared" si="14"/>
        <v>1480230.24</v>
      </c>
      <c r="G21" s="8">
        <f t="shared" si="14"/>
        <v>212778.7</v>
      </c>
      <c r="H21" s="8">
        <f t="shared" si="14"/>
        <v>4671.8335</v>
      </c>
      <c r="I21" s="8">
        <f t="shared" si="14"/>
        <v>4756.25</v>
      </c>
      <c r="J21" s="8">
        <f t="shared" si="14"/>
        <v>37315.58775</v>
      </c>
      <c r="K21" s="8">
        <f t="shared" si="14"/>
        <v>2294.62025</v>
      </c>
      <c r="L21" s="8">
        <f t="shared" si="14"/>
        <v>1781.50275</v>
      </c>
      <c r="M21" s="8">
        <f t="shared" si="14"/>
        <v>21808.25</v>
      </c>
      <c r="N21" s="8">
        <f t="shared" si="14"/>
        <v>1790.018</v>
      </c>
      <c r="O21" s="8">
        <f t="shared" si="14"/>
        <v>1430.178</v>
      </c>
      <c r="P21" s="145">
        <f t="shared" si="14"/>
        <v>0.1426086814</v>
      </c>
      <c r="Q21" s="145">
        <f t="shared" si="14"/>
        <v>0.2121909147</v>
      </c>
      <c r="R21" s="145">
        <f t="shared" si="14"/>
        <v>0.3796972555</v>
      </c>
      <c r="S21" s="145">
        <f t="shared" si="14"/>
        <v>0.4222548949</v>
      </c>
      <c r="T21" s="176">
        <f t="shared" si="14"/>
        <v>0.4378089931</v>
      </c>
      <c r="U21" s="1"/>
      <c r="V21" s="1"/>
      <c r="W21" s="1"/>
      <c r="X21" s="1"/>
      <c r="Y21" s="1"/>
      <c r="Z21" s="1"/>
    </row>
    <row r="22" ht="15.75" customHeight="1">
      <c r="A22" s="1"/>
      <c r="B22" s="177" t="s">
        <v>43</v>
      </c>
      <c r="C22" s="69"/>
      <c r="D22" s="178">
        <f t="shared" ref="D22:T22" si="15">MEDIAN(D9:D18)</f>
        <v>3415</v>
      </c>
      <c r="E22" s="71">
        <f t="shared" si="15"/>
        <v>326029.9578</v>
      </c>
      <c r="F22" s="71">
        <f t="shared" si="15"/>
        <v>324451.876</v>
      </c>
      <c r="G22" s="71">
        <f t="shared" si="15"/>
        <v>3908.7</v>
      </c>
      <c r="H22" s="71">
        <f t="shared" si="15"/>
        <v>2679</v>
      </c>
      <c r="I22" s="71">
        <f t="shared" si="15"/>
        <v>2735.34</v>
      </c>
      <c r="J22" s="71">
        <f t="shared" si="15"/>
        <v>1442.25</v>
      </c>
      <c r="K22" s="71">
        <f t="shared" si="15"/>
        <v>889.2632</v>
      </c>
      <c r="L22" s="71">
        <f t="shared" si="15"/>
        <v>1328.83</v>
      </c>
      <c r="M22" s="71">
        <f t="shared" si="15"/>
        <v>424.4</v>
      </c>
      <c r="N22" s="71">
        <f t="shared" si="15"/>
        <v>665.665</v>
      </c>
      <c r="O22" s="71">
        <f t="shared" si="15"/>
        <v>743.915</v>
      </c>
      <c r="P22" s="180">
        <f t="shared" si="15"/>
        <v>0.06448414806</v>
      </c>
      <c r="Q22" s="180">
        <f t="shared" si="15"/>
        <v>0.1106180583</v>
      </c>
      <c r="R22" s="180">
        <f t="shared" si="15"/>
        <v>0.2772743938</v>
      </c>
      <c r="S22" s="180">
        <f t="shared" si="15"/>
        <v>0.2982738323</v>
      </c>
      <c r="T22" s="181">
        <f t="shared" si="15"/>
        <v>0.3141291873</v>
      </c>
      <c r="U22" s="1"/>
      <c r="V22" s="1"/>
      <c r="W22" s="1"/>
      <c r="X22" s="1"/>
      <c r="Y22" s="1"/>
      <c r="Z22" s="1"/>
    </row>
    <row r="23" ht="15.75" customHeight="1">
      <c r="A23" s="1"/>
      <c r="B23" s="175" t="s">
        <v>158</v>
      </c>
      <c r="C23" s="4"/>
      <c r="D23" s="65">
        <f t="shared" ref="D23:T23" si="16">QUARTILE(D9:D18,1)</f>
        <v>160.665</v>
      </c>
      <c r="E23" s="8">
        <f t="shared" si="16"/>
        <v>16879.7118</v>
      </c>
      <c r="F23" s="8">
        <f t="shared" si="16"/>
        <v>14529.52568</v>
      </c>
      <c r="G23" s="8">
        <f t="shared" si="16"/>
        <v>2005.63</v>
      </c>
      <c r="H23" s="8">
        <f t="shared" si="16"/>
        <v>1815.2325</v>
      </c>
      <c r="I23" s="8">
        <f t="shared" si="16"/>
        <v>2334.291</v>
      </c>
      <c r="J23" s="8">
        <f t="shared" si="16"/>
        <v>634.56375</v>
      </c>
      <c r="K23" s="8">
        <f t="shared" si="16"/>
        <v>489.575</v>
      </c>
      <c r="L23" s="8">
        <f t="shared" si="16"/>
        <v>524.765</v>
      </c>
      <c r="M23" s="8">
        <f t="shared" si="16"/>
        <v>132.44025</v>
      </c>
      <c r="N23" s="8">
        <f t="shared" si="16"/>
        <v>134.654</v>
      </c>
      <c r="O23" s="8">
        <f t="shared" si="16"/>
        <v>345.61745</v>
      </c>
      <c r="P23" s="145">
        <f t="shared" si="16"/>
        <v>0.0420590557</v>
      </c>
      <c r="Q23" s="145">
        <f t="shared" si="16"/>
        <v>0.04718334095</v>
      </c>
      <c r="R23" s="145">
        <f t="shared" si="16"/>
        <v>0.162565679</v>
      </c>
      <c r="S23" s="145">
        <f t="shared" si="16"/>
        <v>0.186901232</v>
      </c>
      <c r="T23" s="176">
        <f t="shared" si="16"/>
        <v>0.196099472</v>
      </c>
      <c r="U23" s="1"/>
      <c r="V23" s="1"/>
      <c r="W23" s="1"/>
      <c r="X23" s="1"/>
      <c r="Y23" s="1"/>
      <c r="Z23" s="1"/>
    </row>
    <row r="24" ht="15.75" customHeight="1">
      <c r="A24" s="1"/>
      <c r="B24" s="183" t="s">
        <v>85</v>
      </c>
      <c r="C24" s="184"/>
      <c r="D24" s="187">
        <f t="shared" ref="D24:T24" si="17">MIN(D9:D18)</f>
        <v>81.31</v>
      </c>
      <c r="E24" s="188">
        <f t="shared" si="17"/>
        <v>8051.68</v>
      </c>
      <c r="F24" s="188">
        <f t="shared" si="17"/>
        <v>6265</v>
      </c>
      <c r="G24" s="188">
        <f t="shared" si="17"/>
        <v>246.283</v>
      </c>
      <c r="H24" s="188">
        <f t="shared" si="17"/>
        <v>262.01</v>
      </c>
      <c r="I24" s="188">
        <f t="shared" si="17"/>
        <v>282.99</v>
      </c>
      <c r="J24" s="188">
        <f t="shared" si="17"/>
        <v>140.43</v>
      </c>
      <c r="K24" s="188">
        <f t="shared" si="17"/>
        <v>110.86</v>
      </c>
      <c r="L24" s="188">
        <f t="shared" si="17"/>
        <v>123.7</v>
      </c>
      <c r="M24" s="188">
        <f t="shared" si="17"/>
        <v>-43.382</v>
      </c>
      <c r="N24" s="188">
        <f t="shared" si="17"/>
        <v>29.1248</v>
      </c>
      <c r="O24" s="188">
        <f t="shared" si="17"/>
        <v>74.6</v>
      </c>
      <c r="P24" s="189">
        <f t="shared" si="17"/>
        <v>-0.2884565019</v>
      </c>
      <c r="Q24" s="189">
        <f t="shared" si="17"/>
        <v>-0.3474761206</v>
      </c>
      <c r="R24" s="189">
        <f t="shared" si="17"/>
        <v>0.1440610878</v>
      </c>
      <c r="S24" s="189">
        <f t="shared" si="17"/>
        <v>0.1539654942</v>
      </c>
      <c r="T24" s="190">
        <f t="shared" si="17"/>
        <v>0.1581764373</v>
      </c>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75" t="str">
        <f>HLOOKUP($C26,Comps_Range,'Public Comps'!B$5,FALSE)</f>
        <v>Activision Blizzard</v>
      </c>
      <c r="C26" s="76" t="str">
        <f>Ticker</f>
        <v>ATVI</v>
      </c>
      <c r="D26" s="192">
        <f>HLOOKUP($C26,Comps_Range,'Public Comps'!D$5,FALSE)</f>
        <v>60.78</v>
      </c>
      <c r="E26" s="193">
        <f>HLOOKUP($C26,Comps_Range,'Public Comps'!E$5,FALSE)</f>
        <v>47350</v>
      </c>
      <c r="F26" s="193">
        <f>HLOOKUP($C26,Comps_Range,'Public Comps'!F$5,FALSE)</f>
        <v>44810</v>
      </c>
      <c r="G26" s="193">
        <f>HLOOKUP($C26,Comps_Range,'Public Comps'!G$5,FALSE)</f>
        <v>6489</v>
      </c>
      <c r="H26" s="193">
        <f>HLOOKUP($C26,Comps_Range,'Public Comps'!H$5,FALSE)</f>
        <v>6800</v>
      </c>
      <c r="I26" s="193">
        <f>HLOOKUP($C26,Comps_Range,'Public Comps'!I$5,FALSE)</f>
        <v>7420</v>
      </c>
      <c r="J26" s="193">
        <f>HLOOKUP($C26,Comps_Range,'Public Comps'!J$5,FALSE)</f>
        <v>1935</v>
      </c>
      <c r="K26" s="193">
        <f>HLOOKUP($C26,Comps_Range,'Public Comps'!K$5,FALSE)</f>
        <v>2027.739251</v>
      </c>
      <c r="L26" s="193">
        <f>HLOOKUP($C26,Comps_Range,'Public Comps'!L$5,FALSE)</f>
        <v>2212.621359</v>
      </c>
      <c r="M26" s="193">
        <f>HLOOKUP($C26,Comps_Range,'Public Comps'!M$5,FALSE)</f>
        <v>1503</v>
      </c>
      <c r="N26" s="193">
        <f>HLOOKUP($C26,Comps_Range,'Public Comps'!N$5,FALSE)</f>
        <v>1575.034674</v>
      </c>
      <c r="O26" s="193">
        <f>HLOOKUP($C26,Comps_Range,'Public Comps'!O$5,FALSE)</f>
        <v>1718.640777</v>
      </c>
      <c r="P26" s="199">
        <f>IFERROR(+I26/H26-1,"N/A")</f>
        <v>0.09117647059</v>
      </c>
      <c r="Q26" s="199">
        <f>IFERROR(+L26/K26-1,"N/A")</f>
        <v>0.09117647059</v>
      </c>
      <c r="R26" s="199">
        <f t="shared" ref="R26:T26" si="18">IFERROR(+J26/G26,"N/A")</f>
        <v>0.2981969487</v>
      </c>
      <c r="S26" s="199">
        <f t="shared" si="18"/>
        <v>0.2981969487</v>
      </c>
      <c r="T26" s="200">
        <f t="shared" si="18"/>
        <v>0.2981969487</v>
      </c>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hidden="1" customHeight="1" outlineLevel="1">
      <c r="A28" s="1"/>
      <c r="B28" s="31">
        <f>Inputs!$F$13</f>
        <v>2</v>
      </c>
      <c r="C28" s="32"/>
      <c r="D28" s="31">
        <f>Inputs!$F$14</f>
        <v>34</v>
      </c>
      <c r="E28" s="31">
        <f>Inputs!$F$15</f>
        <v>59</v>
      </c>
      <c r="F28" s="31">
        <f>Inputs!$F$16</f>
        <v>60</v>
      </c>
      <c r="G28" s="31">
        <f>Inputs!$F$26</f>
        <v>83</v>
      </c>
      <c r="H28" s="31">
        <f>Inputs!$F$27</f>
        <v>87</v>
      </c>
      <c r="I28" s="31">
        <f>Inputs!$F$28</f>
        <v>91</v>
      </c>
      <c r="J28" s="31">
        <f>Inputs!$F$29</f>
        <v>84</v>
      </c>
      <c r="K28" s="31">
        <f>Inputs!$F$30</f>
        <v>88</v>
      </c>
      <c r="L28" s="31">
        <f>Inputs!$F$31</f>
        <v>92</v>
      </c>
      <c r="M28" s="31">
        <f>Inputs!$F$32</f>
        <v>85</v>
      </c>
      <c r="N28" s="32">
        <f>Inputs!$F$33</f>
        <v>89</v>
      </c>
      <c r="O28" s="32">
        <f>Inputs!$F$34</f>
        <v>93</v>
      </c>
      <c r="P28" s="1"/>
      <c r="Q28" s="1"/>
      <c r="R28" s="1"/>
      <c r="S28" s="1"/>
      <c r="T28" s="1"/>
      <c r="U28" s="1"/>
      <c r="V28" s="1"/>
      <c r="W28" s="1"/>
      <c r="X28" s="1"/>
      <c r="Y28" s="1"/>
      <c r="Z28" s="1"/>
    </row>
    <row r="29" ht="15.75" customHeight="1" collapsed="1">
      <c r="A29" s="1"/>
      <c r="B29" s="33" t="s">
        <v>167</v>
      </c>
      <c r="C29" s="33"/>
      <c r="D29" s="33"/>
      <c r="E29" s="115" t="s">
        <v>104</v>
      </c>
      <c r="F29" s="117"/>
      <c r="G29" s="115" t="s">
        <v>168</v>
      </c>
      <c r="H29" s="116"/>
      <c r="I29" s="117"/>
      <c r="J29" s="115" t="s">
        <v>168</v>
      </c>
      <c r="K29" s="116"/>
      <c r="L29" s="117"/>
      <c r="M29" s="118"/>
      <c r="N29" s="118"/>
      <c r="O29" s="118"/>
      <c r="P29" s="1"/>
      <c r="Q29" s="1"/>
      <c r="R29" s="1"/>
      <c r="S29" s="1"/>
      <c r="T29" s="1"/>
      <c r="U29" s="1"/>
      <c r="V29" s="1"/>
      <c r="W29" s="1"/>
      <c r="X29" s="1"/>
      <c r="Y29" s="1"/>
      <c r="Z29" s="1"/>
    </row>
    <row r="30" ht="15.75" customHeight="1">
      <c r="A30" s="1"/>
      <c r="B30" s="118"/>
      <c r="C30" s="118"/>
      <c r="D30" s="34" t="s">
        <v>107</v>
      </c>
      <c r="E30" s="34" t="s">
        <v>23</v>
      </c>
      <c r="F30" s="34" t="s">
        <v>108</v>
      </c>
      <c r="G30" s="115" t="s">
        <v>79</v>
      </c>
      <c r="H30" s="116"/>
      <c r="I30" s="117"/>
      <c r="J30" s="115" t="s">
        <v>110</v>
      </c>
      <c r="K30" s="116"/>
      <c r="L30" s="117"/>
      <c r="M30" s="115" t="s">
        <v>170</v>
      </c>
      <c r="N30" s="116"/>
      <c r="O30" s="117"/>
      <c r="P30" s="55"/>
      <c r="Q30" s="55"/>
      <c r="R30" s="55"/>
      <c r="S30" s="55"/>
      <c r="T30" s="55"/>
      <c r="U30" s="1"/>
      <c r="V30" s="1"/>
      <c r="W30" s="1"/>
      <c r="X30" s="1"/>
      <c r="Y30" s="1"/>
      <c r="Z30" s="1"/>
    </row>
    <row r="31" ht="15.75" customHeight="1">
      <c r="A31" s="1"/>
      <c r="B31" s="24" t="s">
        <v>113</v>
      </c>
      <c r="C31" s="24"/>
      <c r="D31" s="35" t="s">
        <v>114</v>
      </c>
      <c r="E31" s="35" t="s">
        <v>32</v>
      </c>
      <c r="F31" s="35" t="s">
        <v>32</v>
      </c>
      <c r="G31" s="137" t="str">
        <f>LTM</f>
        <v>LTM</v>
      </c>
      <c r="H31" s="138">
        <f>Forward_Year_1</f>
        <v>44196</v>
      </c>
      <c r="I31" s="138">
        <f>Forward_Year_2</f>
        <v>44561</v>
      </c>
      <c r="J31" s="137" t="str">
        <f>LTM</f>
        <v>LTM</v>
      </c>
      <c r="K31" s="138">
        <f>Forward_Year_1</f>
        <v>44196</v>
      </c>
      <c r="L31" s="138">
        <f>Forward_Year_2</f>
        <v>44561</v>
      </c>
      <c r="M31" s="137" t="str">
        <f>LTM</f>
        <v>LTM</v>
      </c>
      <c r="N31" s="138">
        <f>Forward_Year_1</f>
        <v>44196</v>
      </c>
      <c r="O31" s="138">
        <f>Forward_Year_2</f>
        <v>44561</v>
      </c>
      <c r="P31" s="203"/>
      <c r="Q31" s="203"/>
      <c r="R31" s="203"/>
      <c r="S31" s="203"/>
      <c r="T31" s="203"/>
      <c r="U31" s="1"/>
      <c r="V31" s="1"/>
      <c r="W31" s="1"/>
      <c r="X31" s="1"/>
      <c r="Y31" s="1"/>
      <c r="Z31" s="1"/>
    </row>
    <row r="32" ht="15.75" customHeight="1">
      <c r="A32" s="1"/>
      <c r="B32" s="1" t="str">
        <f>HLOOKUP($C32,Comps_Range,B$28,FALSE)</f>
        <v>Ubisoft</v>
      </c>
      <c r="C32" s="1" t="str">
        <f t="shared" ref="C32:C41" si="19">+C9</f>
        <v>UBI</v>
      </c>
      <c r="D32" s="57">
        <f>HLOOKUP($C32,Comps_Range,D$28,FALSE)</f>
        <v>81.31</v>
      </c>
      <c r="E32" s="37">
        <f>HLOOKUP($C32,Comps_Range,E$28,FALSE)</f>
        <v>9638.16</v>
      </c>
      <c r="F32" s="37">
        <f>HLOOKUP($C32,Comps_Range,F$28,FALSE)</f>
        <v>10077.7149</v>
      </c>
      <c r="G32" s="12">
        <f>HLOOKUP($C32,Comps_Range,G$28,FALSE)</f>
        <v>5.205861486</v>
      </c>
      <c r="H32" s="12">
        <f>HLOOKUP($C32,Comps_Range,H$28,FALSE)</f>
        <v>6.336949966</v>
      </c>
      <c r="I32" s="12">
        <f>HLOOKUP($C32,Comps_Range,I$28,FALSE)</f>
        <v>3.622887931</v>
      </c>
      <c r="J32" s="12">
        <f>HLOOKUP($C32,Comps_Range,J$28,FALSE)</f>
        <v>13.03116279</v>
      </c>
      <c r="K32" s="12">
        <f>HLOOKUP($C32,Comps_Range,K$28,FALSE)</f>
        <v>13.73872147</v>
      </c>
      <c r="L32" s="12">
        <f>HLOOKUP($C32,Comps_Range,L$28,FALSE)</f>
        <v>7.257150706</v>
      </c>
      <c r="M32" s="12" t="str">
        <f>HLOOKUP($C32,Comps_Range,M$28,FALSE)</f>
        <v>NM</v>
      </c>
      <c r="N32" s="12" t="str">
        <f>HLOOKUP($C32,Comps_Range,N$28,FALSE)</f>
        <v>NM</v>
      </c>
      <c r="O32" s="12">
        <f>HLOOKUP($C32,Comps_Range,O$28,FALSE)</f>
        <v>20.81434166</v>
      </c>
      <c r="P32" s="1"/>
      <c r="Q32" s="1"/>
      <c r="R32" s="1"/>
      <c r="S32" s="1"/>
      <c r="T32" s="1"/>
      <c r="U32" s="1"/>
      <c r="V32" s="1"/>
      <c r="W32" s="1"/>
      <c r="X32" s="1"/>
      <c r="Y32" s="1"/>
      <c r="Z32" s="1"/>
    </row>
    <row r="33" ht="15.75" customHeight="1">
      <c r="A33" s="1"/>
      <c r="B33" s="1" t="str">
        <f>HLOOKUP($C33,Comps_Range,B$28,FALSE)</f>
        <v>Electronic Arts</v>
      </c>
      <c r="C33" s="1" t="str">
        <f t="shared" si="19"/>
        <v>EA</v>
      </c>
      <c r="D33" s="65">
        <f>HLOOKUP($C33,Comps_Range,D$28,FALSE)</f>
        <v>109.65</v>
      </c>
      <c r="E33" s="8">
        <f>HLOOKUP($C33,Comps_Range,E$28,FALSE)</f>
        <v>31762.3155</v>
      </c>
      <c r="F33" s="8">
        <f>HLOOKUP($C33,Comps_Range,F$28,FALSE)</f>
        <v>26397.1155</v>
      </c>
      <c r="G33" s="12">
        <f>HLOOKUP($C33,Comps_Range,G$28,FALSE)</f>
        <v>5.332750606</v>
      </c>
      <c r="H33" s="12">
        <f>HLOOKUP($C33,Comps_Range,H$28,FALSE)</f>
        <v>5.088110158</v>
      </c>
      <c r="I33" s="12">
        <f>HLOOKUP($C33,Comps_Range,I$28,FALSE)</f>
        <v>4.910177734</v>
      </c>
      <c r="J33" s="12">
        <f>HLOOKUP($C33,Comps_Range,J$28,FALSE)</f>
        <v>13.27155128</v>
      </c>
      <c r="K33" s="12">
        <f>HLOOKUP($C33,Comps_Range,K$28,FALSE)</f>
        <v>14.82151348</v>
      </c>
      <c r="L33" s="12">
        <f>HLOOKUP($C33,Comps_Range,L$28,FALSE)</f>
        <v>14.35405954</v>
      </c>
      <c r="M33" s="12">
        <f>HLOOKUP($C33,Comps_Range,M$28,FALSE)</f>
        <v>31.17008391</v>
      </c>
      <c r="N33" s="12">
        <f>HLOOKUP($C33,Comps_Range,N$28,FALSE)</f>
        <v>22.98296194</v>
      </c>
      <c r="O33" s="12">
        <f>HLOOKUP($C33,Comps_Range,O$28,FALSE)</f>
        <v>21.96700728</v>
      </c>
      <c r="P33" s="1"/>
      <c r="Q33" s="1"/>
      <c r="R33" s="1"/>
      <c r="S33" s="1"/>
      <c r="T33" s="1"/>
      <c r="U33" s="1"/>
      <c r="V33" s="1"/>
      <c r="W33" s="1"/>
      <c r="X33" s="1"/>
      <c r="Y33" s="1"/>
      <c r="Z33" s="1"/>
    </row>
    <row r="34" ht="15.75" customHeight="1">
      <c r="A34" s="1"/>
      <c r="B34" s="1" t="str">
        <f>HLOOKUP($C34,Comps_Range,B$28,FALSE)</f>
        <v>Take Two Initiative</v>
      </c>
      <c r="C34" s="1" t="str">
        <f t="shared" si="19"/>
        <v>TTWO</v>
      </c>
      <c r="D34" s="65">
        <f>HLOOKUP($C34,Comps_Range,D$28,FALSE)</f>
        <v>110.72</v>
      </c>
      <c r="E34" s="8">
        <f>HLOOKUP($C34,Comps_Range,E$28,FALSE)</f>
        <v>12557.8624</v>
      </c>
      <c r="F34" s="8">
        <f>HLOOKUP($C34,Comps_Range,F$28,FALSE)</f>
        <v>10573.6624</v>
      </c>
      <c r="G34" s="12">
        <f>HLOOKUP($C34,Comps_Range,G$28,FALSE)</f>
        <v>3.687543559</v>
      </c>
      <c r="H34" s="12">
        <f>HLOOKUP($C34,Comps_Range,H$28,FALSE)</f>
        <v>3.725744327</v>
      </c>
      <c r="I34" s="12">
        <f>HLOOKUP($C34,Comps_Range,I$28,FALSE)</f>
        <v>3.932191298</v>
      </c>
      <c r="J34" s="12">
        <f>HLOOKUP($C34,Comps_Range,J$28,FALSE)</f>
        <v>17.97324902</v>
      </c>
      <c r="K34" s="12">
        <f>HLOOKUP($C34,Comps_Range,K$28,FALSE)</f>
        <v>15.93835245</v>
      </c>
      <c r="L34" s="12">
        <f>HLOOKUP($C34,Comps_Range,L$28,FALSE)</f>
        <v>15.83665943</v>
      </c>
      <c r="M34" s="12">
        <f>HLOOKUP($C34,Comps_Range,M$28,FALSE)</f>
        <v>37.59839042</v>
      </c>
      <c r="N34" s="12">
        <f>HLOOKUP($C34,Comps_Range,N$28,FALSE)</f>
        <v>23.15538952</v>
      </c>
      <c r="O34" s="12">
        <f>HLOOKUP($C34,Comps_Range,O$28,FALSE)</f>
        <v>24.34496326</v>
      </c>
      <c r="P34" s="1"/>
      <c r="Q34" s="1"/>
      <c r="R34" s="1"/>
      <c r="S34" s="1"/>
      <c r="T34" s="1"/>
      <c r="U34" s="1"/>
      <c r="V34" s="1"/>
      <c r="W34" s="1"/>
      <c r="X34" s="1"/>
      <c r="Y34" s="1"/>
      <c r="Z34" s="1"/>
    </row>
    <row r="35" ht="15.75" customHeight="1">
      <c r="A35" s="1"/>
      <c r="B35" s="1" t="str">
        <f>HLOOKUP($C35,Comps_Range,B$28,FALSE)</f>
        <v>Netmarble Games (BILL KRW)</v>
      </c>
      <c r="C35" s="1">
        <f t="shared" si="19"/>
        <v>251270</v>
      </c>
      <c r="D35" s="65">
        <f>HLOOKUP($C35,Comps_Range,D$28,FALSE)</f>
        <v>94100</v>
      </c>
      <c r="E35" s="8">
        <f>HLOOKUP($C35,Comps_Range,E$28,FALSE)</f>
        <v>8051.68</v>
      </c>
      <c r="F35" s="8">
        <f>HLOOKUP($C35,Comps_Range,F$28,FALSE)</f>
        <v>6265</v>
      </c>
      <c r="G35" s="12">
        <f>HLOOKUP($C35,Comps_Range,G$28,FALSE)</f>
        <v>2.828442438</v>
      </c>
      <c r="H35" s="12">
        <f>HLOOKUP($C35,Comps_Range,H$28,FALSE)</f>
        <v>2.486111111</v>
      </c>
      <c r="I35" s="12">
        <f>HLOOKUP($C35,Comps_Range,I$28,FALSE)</f>
        <v>2.346441948</v>
      </c>
      <c r="J35" s="12">
        <f>HLOOKUP($C35,Comps_Range,J$28,FALSE)</f>
        <v>19.30216437</v>
      </c>
      <c r="K35" s="12">
        <f>HLOOKUP($C35,Comps_Range,K$28,FALSE)</f>
        <v>14.51474643</v>
      </c>
      <c r="L35" s="12">
        <f>HLOOKUP($C35,Comps_Range,L$28,FALSE)</f>
        <v>13.13059334</v>
      </c>
      <c r="M35" s="12">
        <f>HLOOKUP($C35,Comps_Range,M$28,FALSE)</f>
        <v>39.73195164</v>
      </c>
      <c r="N35" s="12">
        <f>HLOOKUP($C35,Comps_Range,N$28,FALSE)</f>
        <v>29.31977743</v>
      </c>
      <c r="O35" s="12">
        <f>HLOOKUP($C35,Comps_Range,O$28,FALSE)</f>
        <v>26.27215537</v>
      </c>
      <c r="P35" s="1"/>
      <c r="Q35" s="1"/>
      <c r="R35" s="1"/>
      <c r="S35" s="1"/>
      <c r="T35" s="1"/>
      <c r="U35" s="1"/>
      <c r="V35" s="1"/>
      <c r="W35" s="1"/>
      <c r="X35" s="1"/>
      <c r="Y35" s="1"/>
      <c r="Z35" s="1"/>
    </row>
    <row r="36" ht="15.75" customHeight="1">
      <c r="A36" s="1"/>
      <c r="B36" s="1" t="str">
        <f>HLOOKUP($C36,Comps_Range,B$28,FALSE)</f>
        <v>Square Enix Co. (MILL JPY)</v>
      </c>
      <c r="C36" s="1">
        <f t="shared" si="19"/>
        <v>9684</v>
      </c>
      <c r="D36" s="65">
        <f>HLOOKUP($C36,Comps_Range,D$28,FALSE)</f>
        <v>5200</v>
      </c>
      <c r="E36" s="8">
        <f>HLOOKUP($C36,Comps_Range,E$28,FALSE)</f>
        <v>620297.6</v>
      </c>
      <c r="F36" s="8">
        <f>HLOOKUP($C36,Comps_Range,F$28,FALSE)</f>
        <v>619307.1</v>
      </c>
      <c r="G36" s="12">
        <f>HLOOKUP($C36,Comps_Range,G$28,FALSE)</f>
        <v>2.19851789</v>
      </c>
      <c r="H36" s="12">
        <f>HLOOKUP($C36,Comps_Range,H$28,FALSE)</f>
        <v>2.178885236</v>
      </c>
      <c r="I36" s="12">
        <f>HLOOKUP($C36,Comps_Range,I$28,FALSE)</f>
        <v>1.869984175</v>
      </c>
      <c r="J36" s="12">
        <f>HLOOKUP($C36,Comps_Range,J$28,FALSE)</f>
        <v>15.26101131</v>
      </c>
      <c r="K36" s="12">
        <f>HLOOKUP($C36,Comps_Range,K$28,FALSE)</f>
        <v>13.83779599</v>
      </c>
      <c r="L36" s="12">
        <f>HLOOKUP($C36,Comps_Range,L$28,FALSE)</f>
        <v>11.37159345</v>
      </c>
      <c r="M36" s="12">
        <f>HLOOKUP($C36,Comps_Range,M$28,FALSE)</f>
        <v>21.58457791</v>
      </c>
      <c r="N36" s="12">
        <f>HLOOKUP($C36,Comps_Range,N$28,FALSE)</f>
        <v>24.99277169</v>
      </c>
      <c r="O36" s="12">
        <f>HLOOKUP($C36,Comps_Range,O$28,FALSE)</f>
        <v>18.5748821</v>
      </c>
      <c r="P36" s="1"/>
      <c r="Q36" s="1"/>
      <c r="R36" s="1"/>
      <c r="S36" s="1"/>
      <c r="T36" s="1"/>
      <c r="U36" s="1"/>
      <c r="V36" s="1"/>
      <c r="W36" s="1"/>
      <c r="X36" s="1"/>
      <c r="Y36" s="1"/>
      <c r="Z36" s="1"/>
    </row>
    <row r="37" ht="15.75" customHeight="1">
      <c r="A37" s="1"/>
      <c r="B37" s="1" t="str">
        <f>HLOOKUP($C37,Comps_Range,B$28,FALSE)</f>
        <v>Nintendo (MILL JPY)</v>
      </c>
      <c r="C37" s="1">
        <f t="shared" si="19"/>
        <v>7974</v>
      </c>
      <c r="D37" s="65">
        <f>HLOOKUP($C37,Comps_Range,D$28,FALSE)</f>
        <v>40650</v>
      </c>
      <c r="E37" s="8">
        <f>HLOOKUP($C37,Comps_Range,E$28,FALSE)</f>
        <v>4842380.803</v>
      </c>
      <c r="F37" s="8">
        <f>HLOOKUP($C37,Comps_Range,F$28,FALSE)</f>
        <v>4833542.803</v>
      </c>
      <c r="G37" s="12">
        <f>HLOOKUP($C37,Comps_Range,G$28,FALSE)</f>
        <v>3.942746303</v>
      </c>
      <c r="H37" s="12">
        <f>HLOOKUP($C37,Comps_Range,H$28,FALSE)</f>
        <v>3.764441436</v>
      </c>
      <c r="I37" s="12">
        <f>HLOOKUP($C37,Comps_Range,I$28,FALSE)</f>
        <v>3.528133433</v>
      </c>
      <c r="J37" s="12">
        <f>HLOOKUP($C37,Comps_Range,J$28,FALSE)</f>
        <v>16.51917213</v>
      </c>
      <c r="K37" s="12">
        <f>HLOOKUP($C37,Comps_Range,K$28,FALSE)</f>
        <v>14.86420691</v>
      </c>
      <c r="L37" s="12">
        <f>HLOOKUP($C37,Comps_Range,L$28,FALSE)</f>
        <v>12.32826486</v>
      </c>
      <c r="M37" s="12">
        <f>HLOOKUP($C37,Comps_Range,M$28,FALSE)</f>
        <v>21.85051848</v>
      </c>
      <c r="N37" s="12">
        <f>HLOOKUP($C37,Comps_Range,N$28,FALSE)</f>
        <v>21.16887783</v>
      </c>
      <c r="O37" s="12">
        <f>HLOOKUP($C37,Comps_Range,O$28,FALSE)</f>
        <v>17.13995754</v>
      </c>
      <c r="P37" s="1"/>
      <c r="Q37" s="1"/>
      <c r="R37" s="1"/>
      <c r="S37" s="1"/>
      <c r="T37" s="1"/>
      <c r="U37" s="1"/>
      <c r="V37" s="1"/>
      <c r="W37" s="1"/>
      <c r="X37" s="1"/>
      <c r="Y37" s="1"/>
      <c r="Z37" s="1"/>
    </row>
    <row r="38" ht="15.75" customHeight="1">
      <c r="A38" s="1"/>
      <c r="B38" s="1" t="str">
        <f>HLOOKUP($C38,Comps_Range,B$28,FALSE)</f>
        <v>CD Projekt (MILL PLN)</v>
      </c>
      <c r="C38" s="1" t="str">
        <f t="shared" si="19"/>
        <v>CDR</v>
      </c>
      <c r="D38" s="65">
        <f>HLOOKUP($C38,Comps_Range,D$28,FALSE)</f>
        <v>310.5</v>
      </c>
      <c r="E38" s="8">
        <f>HLOOKUP($C38,Comps_Range,E$28,FALSE)</f>
        <v>29845.26</v>
      </c>
      <c r="F38" s="8">
        <f>HLOOKUP($C38,Comps_Range,F$28,FALSE)</f>
        <v>29596.652</v>
      </c>
      <c r="G38" s="12">
        <f>HLOOKUP($C38,Comps_Range,G$28,FALSE)</f>
        <v>67.50753159</v>
      </c>
      <c r="H38" s="12">
        <f>HLOOKUP($C38,Comps_Range,H$28,FALSE)</f>
        <v>9.475980475</v>
      </c>
      <c r="I38" s="12">
        <f>HLOOKUP($C38,Comps_Range,I$28,FALSE)</f>
        <v>13.31749991</v>
      </c>
      <c r="J38" s="12" t="str">
        <f>HLOOKUP($C38,Comps_Range,J$28,FALSE)</f>
        <v>NM</v>
      </c>
      <c r="K38" s="12">
        <f>HLOOKUP($C38,Comps_Range,K$28,FALSE)</f>
        <v>12.0027285</v>
      </c>
      <c r="L38" s="12">
        <f>HLOOKUP($C38,Comps_Range,L$28,FALSE)</f>
        <v>18.39431303</v>
      </c>
      <c r="M38" s="12" t="str">
        <f>HLOOKUP($C38,Comps_Range,M$28,FALSE)</f>
        <v>NM</v>
      </c>
      <c r="N38" s="12">
        <f>HLOOKUP($C38,Comps_Range,N$28,FALSE)</f>
        <v>15.49577212</v>
      </c>
      <c r="O38" s="12">
        <f>HLOOKUP($C38,Comps_Range,O$28,FALSE)</f>
        <v>21.58036764</v>
      </c>
      <c r="P38" s="1"/>
      <c r="Q38" s="1"/>
      <c r="R38" s="1"/>
      <c r="S38" s="1"/>
      <c r="T38" s="1"/>
      <c r="U38" s="1"/>
      <c r="V38" s="1"/>
      <c r="W38" s="1"/>
      <c r="X38" s="1"/>
      <c r="Y38" s="1"/>
      <c r="Z38" s="1"/>
    </row>
    <row r="39" ht="15.75" customHeight="1">
      <c r="A39" s="1"/>
      <c r="B39" s="1" t="str">
        <f>HLOOKUP($C39,Comps_Range,B$28,FALSE)</f>
        <v>Bandai Namco (BILL JPY)</v>
      </c>
      <c r="C39" s="1" t="str">
        <f t="shared" si="19"/>
        <v>NCBDF</v>
      </c>
      <c r="D39" s="65">
        <f>HLOOKUP($C39,Comps_Range,D$28,FALSE)</f>
        <v>6023</v>
      </c>
      <c r="E39" s="8">
        <f>HLOOKUP($C39,Comps_Range,E$28,FALSE)</f>
        <v>1323132.64</v>
      </c>
      <c r="F39" s="8">
        <f>HLOOKUP($C39,Comps_Range,F$28,FALSE)</f>
        <v>1323610.489</v>
      </c>
      <c r="G39" s="12" t="str">
        <f>HLOOKUP($C39,Comps_Range,G$28,FALSE)</f>
        <v>NM</v>
      </c>
      <c r="H39" s="12" t="str">
        <f>HLOOKUP($C39,Comps_Range,H$28,FALSE)</f>
        <v>NM</v>
      </c>
      <c r="I39" s="12" t="str">
        <f>HLOOKUP($C39,Comps_Range,I$28,FALSE)</f>
        <v>NM</v>
      </c>
      <c r="J39" s="12" t="str">
        <f>HLOOKUP($C39,Comps_Range,J$28,FALSE)</f>
        <v>NM</v>
      </c>
      <c r="K39" s="12" t="str">
        <f>HLOOKUP($C39,Comps_Range,K$28,FALSE)</f>
        <v>NM</v>
      </c>
      <c r="L39" s="12" t="str">
        <f>HLOOKUP($C39,Comps_Range,L$28,FALSE)</f>
        <v>NM</v>
      </c>
      <c r="M39" s="12" t="str">
        <f>HLOOKUP($C39,Comps_Range,M$28,FALSE)</f>
        <v>NM</v>
      </c>
      <c r="N39" s="12" t="str">
        <f>HLOOKUP($C39,Comps_Range,N$28,FALSE)</f>
        <v>NM</v>
      </c>
      <c r="O39" s="12" t="str">
        <f>HLOOKUP($C39,Comps_Range,O$28,FALSE)</f>
        <v>NM</v>
      </c>
      <c r="P39" s="1"/>
      <c r="Q39" s="1"/>
      <c r="R39" s="1"/>
      <c r="S39" s="1"/>
      <c r="T39" s="1"/>
      <c r="U39" s="1"/>
      <c r="V39" s="1"/>
      <c r="W39" s="1"/>
      <c r="X39" s="1"/>
      <c r="Y39" s="1"/>
      <c r="Z39" s="1"/>
    </row>
    <row r="40" ht="15.75" customHeight="1">
      <c r="A40" s="1"/>
      <c r="B40" s="1" t="str">
        <f>HLOOKUP($C40,Comps_Range,B$28,FALSE)</f>
        <v>Nexon (BILL JPY)</v>
      </c>
      <c r="C40" s="1" t="str">
        <f t="shared" si="19"/>
        <v>3659.T</v>
      </c>
      <c r="D40" s="65">
        <f>HLOOKUP($C40,Comps_Range,D$28,FALSE)</f>
        <v>1630</v>
      </c>
      <c r="E40" s="8">
        <f>HLOOKUP($C40,Comps_Range,E$28,FALSE)</f>
        <v>1435312.8</v>
      </c>
      <c r="F40" s="8">
        <f>HLOOKUP($C40,Comps_Range,F$28,FALSE)</f>
        <v>1532436.824</v>
      </c>
      <c r="G40" s="12" t="str">
        <f>HLOOKUP($C40,Comps_Range,G$28,FALSE)</f>
        <v>NM</v>
      </c>
      <c r="H40" s="12" t="str">
        <f>HLOOKUP($C40,Comps_Range,H$28,FALSE)</f>
        <v>NM</v>
      </c>
      <c r="I40" s="12" t="str">
        <f>HLOOKUP($C40,Comps_Range,I$28,FALSE)</f>
        <v>NM</v>
      </c>
      <c r="J40" s="12">
        <f>HLOOKUP($C40,Comps_Range,J$28,FALSE)</f>
        <v>55.68579085</v>
      </c>
      <c r="K40" s="12" t="str">
        <f>HLOOKUP($C40,Comps_Range,K$28,FALSE)</f>
        <v>NM</v>
      </c>
      <c r="L40" s="12" t="str">
        <f>HLOOKUP($C40,Comps_Range,L$28,FALSE)</f>
        <v>NM</v>
      </c>
      <c r="M40" s="12" t="str">
        <f>HLOOKUP($C40,Comps_Range,M$28,FALSE)</f>
        <v>NM</v>
      </c>
      <c r="N40" s="12" t="str">
        <f>HLOOKUP($C40,Comps_Range,N$28,FALSE)</f>
        <v>NM</v>
      </c>
      <c r="O40" s="12" t="str">
        <f>HLOOKUP($C40,Comps_Range,O$28,FALSE)</f>
        <v>NM</v>
      </c>
      <c r="P40" s="1"/>
      <c r="Q40" s="1"/>
      <c r="R40" s="1"/>
      <c r="S40" s="1"/>
      <c r="T40" s="1"/>
      <c r="U40" s="1"/>
      <c r="V40" s="1"/>
      <c r="W40" s="1"/>
      <c r="X40" s="1"/>
      <c r="Y40" s="1"/>
      <c r="Z40" s="1"/>
    </row>
    <row r="41" ht="15.75" customHeight="1">
      <c r="A41" s="1"/>
      <c r="B41" s="1" t="str">
        <f>HLOOKUP($C41,Comps_Range,B$28,FALSE)</f>
        <v>NCsoft Corp. (KRW)</v>
      </c>
      <c r="C41" s="1">
        <f t="shared" si="19"/>
        <v>36570</v>
      </c>
      <c r="D41" s="65">
        <f>HLOOKUP($C41,Comps_Range,D$28,FALSE)</f>
        <v>648000</v>
      </c>
      <c r="E41" s="8">
        <f>HLOOKUP($C41,Comps_Range,E$28,FALSE)</f>
        <v>13355280</v>
      </c>
      <c r="F41" s="8">
        <f>HLOOKUP($C41,Comps_Range,F$28,FALSE)</f>
        <v>13136163</v>
      </c>
      <c r="G41" s="12">
        <f>HLOOKUP($C41,Comps_Range,G$28,FALSE)</f>
        <v>8.382969178</v>
      </c>
      <c r="H41" s="12" t="str">
        <f>HLOOKUP($C41,Comps_Range,H$28,FALSE)</f>
        <v>NM</v>
      </c>
      <c r="I41" s="12" t="str">
        <f>HLOOKUP($C41,Comps_Range,I$28,FALSE)</f>
        <v>NM</v>
      </c>
      <c r="J41" s="12">
        <f>HLOOKUP($C41,Comps_Range,J$28,FALSE)</f>
        <v>26.53915062</v>
      </c>
      <c r="K41" s="12" t="str">
        <f>HLOOKUP($C41,Comps_Range,K$28,FALSE)</f>
        <v>NM</v>
      </c>
      <c r="L41" s="12" t="str">
        <f>HLOOKUP($C41,Comps_Range,L$28,FALSE)</f>
        <v>NM</v>
      </c>
      <c r="M41" s="12">
        <f>HLOOKUP($C41,Comps_Range,M$28,FALSE)</f>
        <v>35.8251138</v>
      </c>
      <c r="N41" s="12" t="str">
        <f>HLOOKUP($C41,Comps_Range,N$28,FALSE)</f>
        <v>NM</v>
      </c>
      <c r="O41" s="12" t="str">
        <f>HLOOKUP($C41,Comps_Range,O$28,FALSE)</f>
        <v>NM</v>
      </c>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71" t="s">
        <v>83</v>
      </c>
      <c r="C43" s="82"/>
      <c r="D43" s="172">
        <f t="shared" ref="D43:O43" si="20">MAX(D32:D41)</f>
        <v>648000</v>
      </c>
      <c r="E43" s="88">
        <f t="shared" si="20"/>
        <v>13355280</v>
      </c>
      <c r="F43" s="88">
        <f t="shared" si="20"/>
        <v>13136163</v>
      </c>
      <c r="G43" s="212">
        <f t="shared" si="20"/>
        <v>67.50753159</v>
      </c>
      <c r="H43" s="212">
        <f t="shared" si="20"/>
        <v>9.475980475</v>
      </c>
      <c r="I43" s="212">
        <f t="shared" si="20"/>
        <v>13.31749991</v>
      </c>
      <c r="J43" s="212">
        <f t="shared" si="20"/>
        <v>55.68579085</v>
      </c>
      <c r="K43" s="212">
        <f t="shared" si="20"/>
        <v>15.93835245</v>
      </c>
      <c r="L43" s="212">
        <f t="shared" si="20"/>
        <v>18.39431303</v>
      </c>
      <c r="M43" s="212">
        <f t="shared" si="20"/>
        <v>39.73195164</v>
      </c>
      <c r="N43" s="212">
        <f t="shared" si="20"/>
        <v>29.31977743</v>
      </c>
      <c r="O43" s="213">
        <f t="shared" si="20"/>
        <v>26.27215537</v>
      </c>
      <c r="P43" s="1"/>
      <c r="Q43" s="1"/>
      <c r="R43" s="1"/>
      <c r="S43" s="1"/>
      <c r="T43" s="1"/>
      <c r="U43" s="1"/>
      <c r="V43" s="1"/>
      <c r="W43" s="1"/>
      <c r="X43" s="1"/>
      <c r="Y43" s="1"/>
      <c r="Z43" s="1"/>
    </row>
    <row r="44" ht="15.75" customHeight="1">
      <c r="A44" s="1"/>
      <c r="B44" s="175" t="s">
        <v>155</v>
      </c>
      <c r="C44" s="1"/>
      <c r="D44" s="65">
        <f t="shared" ref="D44:O44" si="21">QUARTILE(D32:D41,3)</f>
        <v>31993.25</v>
      </c>
      <c r="E44" s="8">
        <f t="shared" si="21"/>
        <v>1407267.76</v>
      </c>
      <c r="F44" s="8">
        <f t="shared" si="21"/>
        <v>1480230.24</v>
      </c>
      <c r="G44" s="12">
        <f t="shared" si="21"/>
        <v>6.095305249</v>
      </c>
      <c r="H44" s="12">
        <f t="shared" si="21"/>
        <v>5.712530062</v>
      </c>
      <c r="I44" s="12">
        <f t="shared" si="21"/>
        <v>4.421184516</v>
      </c>
      <c r="J44" s="12">
        <f t="shared" si="21"/>
        <v>21.11141093</v>
      </c>
      <c r="K44" s="12">
        <f t="shared" si="21"/>
        <v>14.84286019</v>
      </c>
      <c r="L44" s="12">
        <f t="shared" si="21"/>
        <v>15.09535949</v>
      </c>
      <c r="M44" s="12">
        <f t="shared" si="21"/>
        <v>37.15507127</v>
      </c>
      <c r="N44" s="12">
        <f t="shared" si="21"/>
        <v>24.53342615</v>
      </c>
      <c r="O44" s="214">
        <f t="shared" si="21"/>
        <v>23.15598527</v>
      </c>
      <c r="P44" s="1"/>
      <c r="Q44" s="1"/>
      <c r="R44" s="1"/>
      <c r="S44" s="1"/>
      <c r="T44" s="1"/>
      <c r="U44" s="1"/>
      <c r="V44" s="1"/>
      <c r="W44" s="1"/>
      <c r="X44" s="1"/>
      <c r="Y44" s="1"/>
      <c r="Z44" s="1"/>
    </row>
    <row r="45" ht="15.75" customHeight="1">
      <c r="A45" s="1"/>
      <c r="B45" s="177" t="s">
        <v>43</v>
      </c>
      <c r="C45" s="69"/>
      <c r="D45" s="178">
        <f t="shared" ref="D45:O45" si="22">MEDIAN(D32:D41)</f>
        <v>3415</v>
      </c>
      <c r="E45" s="71">
        <f t="shared" si="22"/>
        <v>326029.9578</v>
      </c>
      <c r="F45" s="71">
        <f t="shared" si="22"/>
        <v>324451.876</v>
      </c>
      <c r="G45" s="215">
        <f t="shared" si="22"/>
        <v>4.574303895</v>
      </c>
      <c r="H45" s="215">
        <f t="shared" si="22"/>
        <v>3.764441436</v>
      </c>
      <c r="I45" s="215">
        <f t="shared" si="22"/>
        <v>3.622887931</v>
      </c>
      <c r="J45" s="215">
        <f t="shared" si="22"/>
        <v>17.24621058</v>
      </c>
      <c r="K45" s="215">
        <f t="shared" si="22"/>
        <v>14.51474643</v>
      </c>
      <c r="L45" s="215">
        <f t="shared" si="22"/>
        <v>13.13059334</v>
      </c>
      <c r="M45" s="215">
        <f t="shared" si="22"/>
        <v>33.49759885</v>
      </c>
      <c r="N45" s="215">
        <f t="shared" si="22"/>
        <v>23.06917573</v>
      </c>
      <c r="O45" s="217">
        <f t="shared" si="22"/>
        <v>21.58036764</v>
      </c>
      <c r="P45" s="1"/>
      <c r="Q45" s="1"/>
      <c r="R45" s="1"/>
      <c r="S45" s="1"/>
      <c r="T45" s="1"/>
      <c r="U45" s="1"/>
      <c r="V45" s="1"/>
      <c r="W45" s="1"/>
      <c r="X45" s="1"/>
      <c r="Y45" s="1"/>
      <c r="Z45" s="1"/>
    </row>
    <row r="46" ht="15.75" customHeight="1">
      <c r="A46" s="1"/>
      <c r="B46" s="175" t="s">
        <v>158</v>
      </c>
      <c r="C46" s="4"/>
      <c r="D46" s="65">
        <f t="shared" ref="D46:O46" si="23">QUARTILE(D32:D41,1)</f>
        <v>160.665</v>
      </c>
      <c r="E46" s="8">
        <f t="shared" si="23"/>
        <v>16879.7118</v>
      </c>
      <c r="F46" s="8">
        <f t="shared" si="23"/>
        <v>14529.52568</v>
      </c>
      <c r="G46" s="12">
        <f t="shared" si="23"/>
        <v>3.472768278</v>
      </c>
      <c r="H46" s="12">
        <f t="shared" si="23"/>
        <v>3.105927719</v>
      </c>
      <c r="I46" s="12">
        <f t="shared" si="23"/>
        <v>2.93728769</v>
      </c>
      <c r="J46" s="12">
        <f t="shared" si="23"/>
        <v>14.7636463</v>
      </c>
      <c r="K46" s="12">
        <f t="shared" si="23"/>
        <v>13.78825873</v>
      </c>
      <c r="L46" s="12">
        <f t="shared" si="23"/>
        <v>11.84992915</v>
      </c>
      <c r="M46" s="12">
        <f t="shared" si="23"/>
        <v>24.18040984</v>
      </c>
      <c r="N46" s="12">
        <f t="shared" si="23"/>
        <v>21.62239886</v>
      </c>
      <c r="O46" s="214">
        <f t="shared" si="23"/>
        <v>19.69461188</v>
      </c>
      <c r="P46" s="1"/>
      <c r="Q46" s="1"/>
      <c r="R46" s="1"/>
      <c r="S46" s="1"/>
      <c r="T46" s="1"/>
      <c r="U46" s="1"/>
      <c r="V46" s="1"/>
      <c r="W46" s="1"/>
      <c r="X46" s="1"/>
      <c r="Y46" s="1"/>
      <c r="Z46" s="1"/>
    </row>
    <row r="47" ht="15.75" customHeight="1">
      <c r="A47" s="1"/>
      <c r="B47" s="183" t="s">
        <v>85</v>
      </c>
      <c r="C47" s="184"/>
      <c r="D47" s="187">
        <f t="shared" ref="D47:O47" si="24">MIN(D32:D41)</f>
        <v>81.31</v>
      </c>
      <c r="E47" s="188">
        <f t="shared" si="24"/>
        <v>8051.68</v>
      </c>
      <c r="F47" s="188">
        <f t="shared" si="24"/>
        <v>6265</v>
      </c>
      <c r="G47" s="219">
        <f t="shared" si="24"/>
        <v>2.19851789</v>
      </c>
      <c r="H47" s="219">
        <f t="shared" si="24"/>
        <v>2.178885236</v>
      </c>
      <c r="I47" s="219">
        <f t="shared" si="24"/>
        <v>1.869984175</v>
      </c>
      <c r="J47" s="219">
        <f t="shared" si="24"/>
        <v>13.03116279</v>
      </c>
      <c r="K47" s="219">
        <f t="shared" si="24"/>
        <v>12.0027285</v>
      </c>
      <c r="L47" s="219">
        <f t="shared" si="24"/>
        <v>7.257150706</v>
      </c>
      <c r="M47" s="219">
        <f t="shared" si="24"/>
        <v>21.58457791</v>
      </c>
      <c r="N47" s="219">
        <f t="shared" si="24"/>
        <v>15.49577212</v>
      </c>
      <c r="O47" s="221">
        <f t="shared" si="24"/>
        <v>17.13995754</v>
      </c>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75" t="str">
        <f>HLOOKUP($C49,Comps_Range,B$28,FALSE)</f>
        <v>Activision Blizzard</v>
      </c>
      <c r="C49" s="76" t="str">
        <f>Ticker</f>
        <v>ATVI</v>
      </c>
      <c r="D49" s="192">
        <f>HLOOKUP($C49,Comps_Range,D$28,FALSE)</f>
        <v>60.78</v>
      </c>
      <c r="E49" s="193">
        <f>HLOOKUP($C49,Comps_Range,E$28,FALSE)</f>
        <v>47350</v>
      </c>
      <c r="F49" s="193">
        <f>HLOOKUP($C49,Comps_Range,F$28,FALSE)</f>
        <v>44810</v>
      </c>
      <c r="G49" s="227">
        <f>HLOOKUP($C49,Comps_Range,G$28,FALSE)</f>
        <v>6.90553244</v>
      </c>
      <c r="H49" s="227">
        <f>HLOOKUP($C49,Comps_Range,H$28,FALSE)</f>
        <v>6.589705882</v>
      </c>
      <c r="I49" s="227">
        <f>HLOOKUP($C49,Comps_Range,I$28,FALSE)</f>
        <v>6.039083558</v>
      </c>
      <c r="J49" s="227">
        <f>HLOOKUP($C49,Comps_Range,J$28,FALSE)</f>
        <v>23.15762274</v>
      </c>
      <c r="K49" s="227">
        <f>HLOOKUP($C49,Comps_Range,K$28,FALSE)</f>
        <v>22.09850205</v>
      </c>
      <c r="L49" s="227">
        <f>HLOOKUP($C49,Comps_Range,L$28,FALSE)</f>
        <v>20.25199649</v>
      </c>
      <c r="M49" s="227">
        <f>HLOOKUP($C49,Comps_Range,M$28,FALSE)</f>
        <v>31.50365935</v>
      </c>
      <c r="N49" s="227">
        <f>HLOOKUP($C49,Comps_Range,N$28,FALSE)</f>
        <v>30.06283022</v>
      </c>
      <c r="O49" s="229">
        <f>HLOOKUP($C49,Comps_Range,O$28,FALSE)</f>
        <v>27.55084171</v>
      </c>
      <c r="P49" s="1"/>
      <c r="Q49" s="1"/>
      <c r="R49" s="1"/>
      <c r="S49" s="1"/>
      <c r="T49" s="1"/>
      <c r="U49" s="1"/>
      <c r="V49" s="1"/>
      <c r="W49" s="1"/>
      <c r="X49" s="1"/>
      <c r="Y49" s="1"/>
      <c r="Z49" s="1"/>
    </row>
    <row r="50" ht="15.75" customHeight="1">
      <c r="A50" s="1"/>
      <c r="B50" s="1"/>
      <c r="C50" s="1"/>
      <c r="D50" s="1"/>
      <c r="E50" s="1"/>
      <c r="F50" s="1"/>
      <c r="G50" s="1"/>
      <c r="H50" s="1"/>
      <c r="I50" s="1"/>
      <c r="J50" s="1"/>
      <c r="K50" s="1"/>
      <c r="L50" s="1"/>
      <c r="M50" s="230"/>
      <c r="N50" s="1"/>
      <c r="O50" s="1"/>
      <c r="P50" s="1"/>
      <c r="Q50" s="1"/>
      <c r="R50" s="1"/>
      <c r="S50" s="1"/>
      <c r="T50" s="1"/>
      <c r="U50" s="1"/>
      <c r="V50" s="1"/>
      <c r="W50" s="1"/>
      <c r="X50" s="1"/>
      <c r="Y50" s="1"/>
      <c r="Z50" s="1"/>
    </row>
    <row r="51" ht="15.75" customHeight="1">
      <c r="A51" s="1"/>
      <c r="B51" s="1"/>
      <c r="C51" s="1"/>
      <c r="D51" s="1"/>
      <c r="E51" s="1"/>
      <c r="F51" s="23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G29:I29"/>
    <mergeCell ref="G30:I30"/>
    <mergeCell ref="J30:L30"/>
    <mergeCell ref="M30:O30"/>
    <mergeCell ref="E6:F6"/>
    <mergeCell ref="G7:I7"/>
    <mergeCell ref="J7:L7"/>
    <mergeCell ref="M7:O7"/>
    <mergeCell ref="R7:T7"/>
    <mergeCell ref="E29:F29"/>
    <mergeCell ref="J29:L29"/>
  </mergeCells>
  <printOptions/>
  <pageMargins bottom="1.0" footer="0.0" header="0.0" left="0.75" right="0.75" top="1.0"/>
  <pageSetup scale="36"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4.43" defaultRowHeight="15.0"/>
  <cols>
    <col customWidth="1" min="1" max="1" width="4.71"/>
    <col customWidth="1" min="2" max="2" width="26.14"/>
    <col customWidth="1" min="3" max="3" width="10.71"/>
    <col customWidth="1" min="4" max="45" width="12.71"/>
    <col customWidth="1" min="46" max="46" width="14.43"/>
    <col customWidth="1" min="47" max="50" width="12.71"/>
    <col customWidth="1" min="51" max="51" width="14.43"/>
    <col customWidth="1" min="52" max="52" width="18.71"/>
    <col customWidth="1" min="53" max="57" width="12.71"/>
    <col customWidth="1" min="58" max="71" width="8.86"/>
  </cols>
  <sheetData>
    <row r="1" ht="15.75" customHeight="1">
      <c r="A1" s="238">
        <v>1.0</v>
      </c>
      <c r="B1" s="1"/>
      <c r="C1" s="1"/>
      <c r="D1" s="239"/>
      <c r="E1" s="240"/>
      <c r="F1" s="241"/>
      <c r="G1" s="242" t="s">
        <v>35</v>
      </c>
      <c r="H1" s="1"/>
      <c r="I1" s="239"/>
      <c r="J1" s="240"/>
      <c r="K1" s="241"/>
      <c r="L1" s="242" t="s">
        <v>38</v>
      </c>
      <c r="M1" s="1"/>
      <c r="N1" s="239"/>
      <c r="O1" s="240"/>
      <c r="P1" s="241"/>
      <c r="Q1" s="242" t="s">
        <v>40</v>
      </c>
      <c r="R1" s="1"/>
      <c r="S1" s="239"/>
      <c r="T1" s="240"/>
      <c r="U1" s="241"/>
      <c r="V1" s="242">
        <v>251270.0</v>
      </c>
      <c r="W1" s="1"/>
      <c r="X1" s="239"/>
      <c r="Y1" s="240"/>
      <c r="Z1" s="241"/>
      <c r="AA1" s="242">
        <v>9684.0</v>
      </c>
      <c r="AB1" s="1"/>
      <c r="AC1" s="239"/>
      <c r="AD1" s="240"/>
      <c r="AE1" s="241"/>
      <c r="AF1" s="242">
        <v>7974.0</v>
      </c>
      <c r="AG1" s="1"/>
      <c r="AH1" s="239"/>
      <c r="AI1" s="240"/>
      <c r="AJ1" s="241"/>
      <c r="AK1" s="242" t="s">
        <v>53</v>
      </c>
      <c r="AL1" s="1"/>
      <c r="AM1" s="239"/>
      <c r="AN1" s="240"/>
      <c r="AO1" s="241"/>
      <c r="AP1" s="242" t="s">
        <v>54</v>
      </c>
      <c r="AQ1" s="1"/>
      <c r="AR1" s="239"/>
      <c r="AS1" s="240"/>
      <c r="AT1" s="241"/>
      <c r="AU1" s="242" t="s">
        <v>55</v>
      </c>
      <c r="AV1" s="1"/>
      <c r="AW1" s="239"/>
      <c r="AX1" s="240"/>
      <c r="AY1" s="241"/>
      <c r="AZ1" s="242">
        <v>36570.0</v>
      </c>
      <c r="BA1" s="1"/>
      <c r="BB1" s="239"/>
      <c r="BC1" s="240"/>
      <c r="BD1" s="241"/>
      <c r="BE1" s="243" t="str">
        <f>Ticker</f>
        <v>ATVI</v>
      </c>
      <c r="BF1" s="1"/>
      <c r="BG1" s="1"/>
      <c r="BH1" s="1"/>
      <c r="BI1" s="1"/>
      <c r="BJ1" s="1"/>
      <c r="BK1" s="1"/>
      <c r="BL1" s="1"/>
      <c r="BM1" s="1"/>
      <c r="BN1" s="1"/>
      <c r="BO1" s="1"/>
      <c r="BP1" s="1"/>
      <c r="BQ1" s="1"/>
      <c r="BR1" s="1"/>
      <c r="BS1" s="1"/>
    </row>
    <row r="2" ht="15.75" customHeight="1">
      <c r="A2" s="55">
        <f t="shared" ref="A2:A95" si="1">A1+1</f>
        <v>2</v>
      </c>
      <c r="B2" s="1"/>
      <c r="C2" s="1"/>
      <c r="D2" s="244"/>
      <c r="E2" s="245"/>
      <c r="F2" s="246"/>
      <c r="G2" s="247" t="s">
        <v>201</v>
      </c>
      <c r="H2" s="1"/>
      <c r="I2" s="244"/>
      <c r="J2" s="245"/>
      <c r="K2" s="246"/>
      <c r="L2" s="247" t="s">
        <v>202</v>
      </c>
      <c r="M2" s="1"/>
      <c r="N2" s="244"/>
      <c r="O2" s="245"/>
      <c r="P2" s="246"/>
      <c r="Q2" s="247" t="s">
        <v>203</v>
      </c>
      <c r="R2" s="1"/>
      <c r="S2" s="244"/>
      <c r="T2" s="245"/>
      <c r="U2" s="246"/>
      <c r="V2" s="247" t="s">
        <v>204</v>
      </c>
      <c r="W2" s="1"/>
      <c r="X2" s="244"/>
      <c r="Y2" s="245"/>
      <c r="Z2" s="246"/>
      <c r="AA2" s="247" t="s">
        <v>205</v>
      </c>
      <c r="AB2" s="1"/>
      <c r="AC2" s="244"/>
      <c r="AD2" s="245"/>
      <c r="AE2" s="246"/>
      <c r="AF2" s="247" t="s">
        <v>206</v>
      </c>
      <c r="AG2" s="1"/>
      <c r="AH2" s="244"/>
      <c r="AI2" s="245"/>
      <c r="AJ2" s="246"/>
      <c r="AK2" s="247" t="s">
        <v>207</v>
      </c>
      <c r="AL2" s="1"/>
      <c r="AM2" s="244"/>
      <c r="AN2" s="245"/>
      <c r="AO2" s="246"/>
      <c r="AP2" s="247" t="s">
        <v>208</v>
      </c>
      <c r="AQ2" s="1"/>
      <c r="AR2" s="244"/>
      <c r="AS2" s="245"/>
      <c r="AT2" s="246"/>
      <c r="AU2" s="247" t="s">
        <v>209</v>
      </c>
      <c r="AV2" s="1"/>
      <c r="AW2" s="244"/>
      <c r="AX2" s="245"/>
      <c r="AY2" s="246"/>
      <c r="AZ2" s="247" t="s">
        <v>210</v>
      </c>
      <c r="BA2" s="1"/>
      <c r="BB2" s="244"/>
      <c r="BC2" s="245"/>
      <c r="BD2" s="246"/>
      <c r="BE2" s="248" t="str">
        <f>Company_Name</f>
        <v>Activision Blizzard</v>
      </c>
      <c r="BF2" s="1"/>
      <c r="BG2" s="1"/>
      <c r="BH2" s="1"/>
      <c r="BI2" s="1"/>
      <c r="BJ2" s="1"/>
      <c r="BK2" s="1"/>
      <c r="BL2" s="1"/>
      <c r="BM2" s="1"/>
      <c r="BN2" s="1"/>
      <c r="BO2" s="1"/>
      <c r="BP2" s="1"/>
      <c r="BQ2" s="1"/>
      <c r="BR2" s="1"/>
      <c r="BS2" s="1"/>
    </row>
    <row r="3" ht="15.75" customHeight="1">
      <c r="A3" s="55">
        <f t="shared" si="1"/>
        <v>3</v>
      </c>
      <c r="B3" s="1"/>
      <c r="C3" s="1"/>
      <c r="D3" s="249" t="s">
        <v>212</v>
      </c>
      <c r="E3" s="116"/>
      <c r="F3" s="116"/>
      <c r="G3" s="250"/>
      <c r="H3" s="1"/>
      <c r="I3" s="249" t="s">
        <v>212</v>
      </c>
      <c r="J3" s="116"/>
      <c r="K3" s="116"/>
      <c r="L3" s="250"/>
      <c r="M3" s="1"/>
      <c r="N3" s="249" t="s">
        <v>212</v>
      </c>
      <c r="O3" s="116"/>
      <c r="P3" s="116"/>
      <c r="Q3" s="250"/>
      <c r="R3" s="1"/>
      <c r="S3" s="249" t="s">
        <v>212</v>
      </c>
      <c r="T3" s="116"/>
      <c r="U3" s="116"/>
      <c r="V3" s="250"/>
      <c r="W3" s="1"/>
      <c r="X3" s="249" t="s">
        <v>212</v>
      </c>
      <c r="Y3" s="116"/>
      <c r="Z3" s="116"/>
      <c r="AA3" s="250"/>
      <c r="AB3" s="1"/>
      <c r="AC3" s="249" t="s">
        <v>212</v>
      </c>
      <c r="AD3" s="116"/>
      <c r="AE3" s="116"/>
      <c r="AF3" s="250"/>
      <c r="AG3" s="1"/>
      <c r="AH3" s="249" t="s">
        <v>212</v>
      </c>
      <c r="AI3" s="116"/>
      <c r="AJ3" s="116"/>
      <c r="AK3" s="250"/>
      <c r="AL3" s="1"/>
      <c r="AM3" s="249" t="s">
        <v>212</v>
      </c>
      <c r="AN3" s="116"/>
      <c r="AO3" s="116"/>
      <c r="AP3" s="250"/>
      <c r="AQ3" s="1"/>
      <c r="AR3" s="249" t="s">
        <v>212</v>
      </c>
      <c r="AS3" s="116"/>
      <c r="AT3" s="116"/>
      <c r="AU3" s="250"/>
      <c r="AV3" s="1"/>
      <c r="AW3" s="249" t="s">
        <v>212</v>
      </c>
      <c r="AX3" s="116"/>
      <c r="AY3" s="116"/>
      <c r="AZ3" s="250"/>
      <c r="BA3" s="1"/>
      <c r="BB3" s="249" t="s">
        <v>212</v>
      </c>
      <c r="BC3" s="116"/>
      <c r="BD3" s="116"/>
      <c r="BE3" s="250"/>
      <c r="BF3" s="1"/>
      <c r="BG3" s="1"/>
      <c r="BH3" s="1"/>
      <c r="BI3" s="1"/>
      <c r="BJ3" s="1"/>
      <c r="BK3" s="1"/>
      <c r="BL3" s="1"/>
      <c r="BM3" s="1"/>
      <c r="BN3" s="1"/>
      <c r="BO3" s="1"/>
      <c r="BP3" s="1"/>
      <c r="BQ3" s="1"/>
      <c r="BR3" s="1"/>
      <c r="BS3" s="1"/>
    </row>
    <row r="4" ht="15.75" customHeight="1">
      <c r="A4" s="55">
        <f t="shared" si="1"/>
        <v>4</v>
      </c>
      <c r="B4" s="1"/>
      <c r="C4" s="1"/>
      <c r="D4" s="251"/>
      <c r="E4" s="252">
        <v>43830.0</v>
      </c>
      <c r="F4" s="255">
        <v>43830.0</v>
      </c>
      <c r="G4" s="256">
        <f>+E4</f>
        <v>43830</v>
      </c>
      <c r="H4" s="1"/>
      <c r="I4" s="251"/>
      <c r="J4" s="252">
        <v>43830.0</v>
      </c>
      <c r="K4" s="255">
        <v>43830.0</v>
      </c>
      <c r="L4" s="256">
        <f>+J4</f>
        <v>43830</v>
      </c>
      <c r="M4" s="1"/>
      <c r="N4" s="251"/>
      <c r="O4" s="252">
        <v>43830.0</v>
      </c>
      <c r="P4" s="255">
        <v>43830.0</v>
      </c>
      <c r="Q4" s="256">
        <f>+O4</f>
        <v>43830</v>
      </c>
      <c r="R4" s="1"/>
      <c r="S4" s="251"/>
      <c r="T4" s="252">
        <v>43830.0</v>
      </c>
      <c r="U4" s="255">
        <v>43830.0</v>
      </c>
      <c r="V4" s="256">
        <f>+T4</f>
        <v>43830</v>
      </c>
      <c r="W4" s="1"/>
      <c r="X4" s="251"/>
      <c r="Y4" s="252">
        <v>43830.0</v>
      </c>
      <c r="Z4" s="255">
        <v>43830.0</v>
      </c>
      <c r="AA4" s="256">
        <f>+Y4</f>
        <v>43830</v>
      </c>
      <c r="AB4" s="1"/>
      <c r="AC4" s="251"/>
      <c r="AD4" s="252">
        <v>43830.0</v>
      </c>
      <c r="AE4" s="255">
        <v>43830.0</v>
      </c>
      <c r="AF4" s="256">
        <f>+AD4</f>
        <v>43830</v>
      </c>
      <c r="AG4" s="1"/>
      <c r="AH4" s="251"/>
      <c r="AI4" s="252">
        <v>43830.0</v>
      </c>
      <c r="AJ4" s="255">
        <v>43830.0</v>
      </c>
      <c r="AK4" s="256">
        <f>+AI4</f>
        <v>43830</v>
      </c>
      <c r="AL4" s="1"/>
      <c r="AM4" s="251"/>
      <c r="AN4" s="252">
        <v>43830.0</v>
      </c>
      <c r="AO4" s="255">
        <v>43830.0</v>
      </c>
      <c r="AP4" s="256">
        <f>+AN4</f>
        <v>43830</v>
      </c>
      <c r="AQ4" s="1"/>
      <c r="AR4" s="251"/>
      <c r="AS4" s="252">
        <v>43830.0</v>
      </c>
      <c r="AT4" s="255">
        <v>43830.0</v>
      </c>
      <c r="AU4" s="256">
        <f>+AS4</f>
        <v>43830</v>
      </c>
      <c r="AV4" s="1"/>
      <c r="AW4" s="251"/>
      <c r="AX4" s="252">
        <v>43830.0</v>
      </c>
      <c r="AY4" s="255">
        <v>43830.0</v>
      </c>
      <c r="AZ4" s="256">
        <f>+AX4</f>
        <v>43830</v>
      </c>
      <c r="BA4" s="1"/>
      <c r="BB4" s="251"/>
      <c r="BC4" s="252">
        <v>43830.0</v>
      </c>
      <c r="BD4" s="255">
        <v>43830.0</v>
      </c>
      <c r="BE4" s="256">
        <f>+BC4</f>
        <v>43830</v>
      </c>
      <c r="BF4" s="1"/>
      <c r="BG4" s="1"/>
      <c r="BH4" s="1"/>
      <c r="BI4" s="1"/>
      <c r="BJ4" s="1"/>
      <c r="BK4" s="1"/>
      <c r="BL4" s="1"/>
      <c r="BM4" s="1"/>
      <c r="BN4" s="1"/>
      <c r="BO4" s="1"/>
      <c r="BP4" s="1"/>
      <c r="BQ4" s="1"/>
      <c r="BR4" s="1"/>
      <c r="BS4" s="1"/>
    </row>
    <row r="5" ht="15.75" customHeight="1">
      <c r="A5" s="55">
        <f t="shared" si="1"/>
        <v>5</v>
      </c>
      <c r="B5" s="1"/>
      <c r="C5" s="1"/>
      <c r="D5" s="258" t="s">
        <v>217</v>
      </c>
      <c r="E5" s="259" t="s">
        <v>218</v>
      </c>
      <c r="F5" s="260" t="s">
        <v>219</v>
      </c>
      <c r="G5" s="261" t="s">
        <v>220</v>
      </c>
      <c r="H5" s="1"/>
      <c r="I5" s="258" t="s">
        <v>217</v>
      </c>
      <c r="J5" s="259" t="s">
        <v>218</v>
      </c>
      <c r="K5" s="260" t="s">
        <v>219</v>
      </c>
      <c r="L5" s="261" t="s">
        <v>220</v>
      </c>
      <c r="M5" s="1"/>
      <c r="N5" s="258" t="s">
        <v>217</v>
      </c>
      <c r="O5" s="259" t="s">
        <v>218</v>
      </c>
      <c r="P5" s="260" t="s">
        <v>219</v>
      </c>
      <c r="Q5" s="261" t="s">
        <v>220</v>
      </c>
      <c r="R5" s="1"/>
      <c r="S5" s="258" t="s">
        <v>217</v>
      </c>
      <c r="T5" s="259" t="s">
        <v>218</v>
      </c>
      <c r="U5" s="260" t="s">
        <v>219</v>
      </c>
      <c r="V5" s="261" t="s">
        <v>220</v>
      </c>
      <c r="W5" s="1"/>
      <c r="X5" s="258" t="s">
        <v>217</v>
      </c>
      <c r="Y5" s="259" t="s">
        <v>218</v>
      </c>
      <c r="Z5" s="260" t="s">
        <v>219</v>
      </c>
      <c r="AA5" s="261" t="s">
        <v>220</v>
      </c>
      <c r="AB5" s="1"/>
      <c r="AC5" s="258" t="s">
        <v>217</v>
      </c>
      <c r="AD5" s="259" t="s">
        <v>218</v>
      </c>
      <c r="AE5" s="260" t="s">
        <v>219</v>
      </c>
      <c r="AF5" s="261" t="s">
        <v>220</v>
      </c>
      <c r="AG5" s="1"/>
      <c r="AH5" s="258" t="s">
        <v>217</v>
      </c>
      <c r="AI5" s="259" t="s">
        <v>218</v>
      </c>
      <c r="AJ5" s="260" t="s">
        <v>219</v>
      </c>
      <c r="AK5" s="261" t="s">
        <v>220</v>
      </c>
      <c r="AL5" s="1"/>
      <c r="AM5" s="258" t="s">
        <v>217</v>
      </c>
      <c r="AN5" s="259" t="s">
        <v>218</v>
      </c>
      <c r="AO5" s="260" t="s">
        <v>219</v>
      </c>
      <c r="AP5" s="261" t="s">
        <v>220</v>
      </c>
      <c r="AQ5" s="1"/>
      <c r="AR5" s="258" t="s">
        <v>217</v>
      </c>
      <c r="AS5" s="259" t="s">
        <v>218</v>
      </c>
      <c r="AT5" s="260" t="s">
        <v>219</v>
      </c>
      <c r="AU5" s="261" t="s">
        <v>220</v>
      </c>
      <c r="AV5" s="1"/>
      <c r="AW5" s="258" t="s">
        <v>217</v>
      </c>
      <c r="AX5" s="259" t="s">
        <v>218</v>
      </c>
      <c r="AY5" s="260" t="s">
        <v>219</v>
      </c>
      <c r="AZ5" s="261" t="s">
        <v>220</v>
      </c>
      <c r="BA5" s="1"/>
      <c r="BB5" s="258" t="s">
        <v>217</v>
      </c>
      <c r="BC5" s="259" t="s">
        <v>218</v>
      </c>
      <c r="BD5" s="260" t="s">
        <v>219</v>
      </c>
      <c r="BE5" s="261" t="s">
        <v>220</v>
      </c>
      <c r="BF5" s="1"/>
      <c r="BG5" s="1"/>
      <c r="BH5" s="1"/>
      <c r="BI5" s="1"/>
      <c r="BJ5" s="1"/>
      <c r="BK5" s="1"/>
      <c r="BL5" s="1"/>
      <c r="BM5" s="1"/>
      <c r="BN5" s="1"/>
      <c r="BO5" s="1"/>
      <c r="BP5" s="1"/>
      <c r="BQ5" s="1"/>
      <c r="BR5" s="1"/>
      <c r="BS5" s="1"/>
    </row>
    <row r="6" ht="15.75" customHeight="1">
      <c r="A6" s="55">
        <f t="shared" si="1"/>
        <v>6</v>
      </c>
      <c r="B6" s="1" t="s">
        <v>178</v>
      </c>
      <c r="C6" s="1"/>
      <c r="D6" s="262"/>
      <c r="E6" s="263"/>
      <c r="F6" s="263">
        <f>1776*1.09</f>
        <v>1935.84</v>
      </c>
      <c r="G6" s="264">
        <f>1.09*1776</f>
        <v>1935.84</v>
      </c>
      <c r="H6" s="1"/>
      <c r="I6" s="262"/>
      <c r="J6" s="263"/>
      <c r="K6" s="263">
        <v>4950.0</v>
      </c>
      <c r="L6" s="264">
        <f t="shared" ref="L6:L7" si="2">+K6+J6-I6</f>
        <v>4950</v>
      </c>
      <c r="M6" s="1"/>
      <c r="N6" s="262"/>
      <c r="O6" s="263"/>
      <c r="P6" s="263">
        <v>2867.4</v>
      </c>
      <c r="Q6" s="264">
        <v>2867.4</v>
      </c>
      <c r="R6" s="1"/>
      <c r="S6" s="262"/>
      <c r="T6" s="263"/>
      <c r="U6" s="263">
        <v>2215.0</v>
      </c>
      <c r="V6" s="264">
        <f t="shared" ref="V6:V7" si="3">+U6+T6-S6</f>
        <v>2215</v>
      </c>
      <c r="W6" s="1"/>
      <c r="X6" s="262"/>
      <c r="Y6" s="263"/>
      <c r="Z6" s="263"/>
      <c r="AA6" s="264">
        <v>281693.0</v>
      </c>
      <c r="AB6" s="1"/>
      <c r="AC6" s="262"/>
      <c r="AD6" s="263"/>
      <c r="AE6" s="263"/>
      <c r="AF6" s="264">
        <v>1225933.0</v>
      </c>
      <c r="AG6" s="1"/>
      <c r="AH6" s="262"/>
      <c r="AI6" s="263"/>
      <c r="AJ6" s="263">
        <v>438.42</v>
      </c>
      <c r="AK6" s="264">
        <f t="shared" ref="AK6:AK7" si="4">+AJ6+AI6-AH6</f>
        <v>438.42</v>
      </c>
      <c r="AL6" s="1"/>
      <c r="AM6" s="262"/>
      <c r="AN6" s="263"/>
      <c r="AO6" s="263">
        <v>732.347</v>
      </c>
      <c r="AP6" s="264">
        <v>6035.8</v>
      </c>
      <c r="AQ6" s="1"/>
      <c r="AR6" s="262"/>
      <c r="AS6" s="263"/>
      <c r="AT6" s="263">
        <v>246.283</v>
      </c>
      <c r="AU6" s="264">
        <f t="shared" ref="AU6:AU7" si="5">+AT6+AS6-AR6</f>
        <v>246.283</v>
      </c>
      <c r="AV6" s="1"/>
      <c r="AW6" s="262"/>
      <c r="AX6" s="263"/>
      <c r="AY6" s="263">
        <f>397809+410786+358756+399655</f>
        <v>1567006</v>
      </c>
      <c r="AZ6" s="264">
        <f t="shared" ref="AZ6:AZ7" si="6">+AY6+AX6-AW6</f>
        <v>1567006</v>
      </c>
      <c r="BA6" s="1"/>
      <c r="BB6" s="262"/>
      <c r="BC6" s="263"/>
      <c r="BD6" s="263">
        <v>6489.0</v>
      </c>
      <c r="BE6" s="264">
        <f t="shared" ref="BE6:BE7" si="7">+BD6+BC6-BB6</f>
        <v>6489</v>
      </c>
      <c r="BF6" s="1"/>
      <c r="BG6" s="4"/>
      <c r="BH6" s="1"/>
      <c r="BI6" s="1"/>
      <c r="BJ6" s="1"/>
      <c r="BK6" s="1"/>
      <c r="BL6" s="1"/>
      <c r="BM6" s="1"/>
      <c r="BN6" s="1"/>
      <c r="BO6" s="1"/>
      <c r="BP6" s="1"/>
      <c r="BQ6" s="1"/>
      <c r="BR6" s="1"/>
      <c r="BS6" s="1"/>
    </row>
    <row r="7" ht="15.75" customHeight="1">
      <c r="A7" s="55">
        <f t="shared" si="1"/>
        <v>7</v>
      </c>
      <c r="B7" s="113" t="s">
        <v>224</v>
      </c>
      <c r="C7" s="113"/>
      <c r="D7" s="266"/>
      <c r="E7" s="16"/>
      <c r="F7" s="16">
        <f>1.09*-39.8</f>
        <v>-43.382</v>
      </c>
      <c r="G7" s="267">
        <f>F7</f>
        <v>-43.382</v>
      </c>
      <c r="H7" s="1"/>
      <c r="I7" s="266"/>
      <c r="J7" s="16"/>
      <c r="K7" s="16">
        <v>1019.0</v>
      </c>
      <c r="L7" s="267">
        <f t="shared" si="2"/>
        <v>1019</v>
      </c>
      <c r="M7" s="1"/>
      <c r="N7" s="266"/>
      <c r="O7" s="16"/>
      <c r="P7" s="16">
        <v>334.0</v>
      </c>
      <c r="Q7" s="267">
        <f>+P7+O7-N7</f>
        <v>334</v>
      </c>
      <c r="R7" s="1"/>
      <c r="S7" s="266"/>
      <c r="T7" s="16"/>
      <c r="U7" s="16">
        <v>202.65</v>
      </c>
      <c r="V7" s="267">
        <f t="shared" si="3"/>
        <v>202.65</v>
      </c>
      <c r="W7" s="1"/>
      <c r="X7" s="266"/>
      <c r="Y7" s="16"/>
      <c r="Z7" s="16"/>
      <c r="AA7" s="267">
        <v>28738.0</v>
      </c>
      <c r="AB7" s="1"/>
      <c r="AC7" s="266"/>
      <c r="AD7" s="16"/>
      <c r="AE7" s="16"/>
      <c r="AF7" s="267">
        <v>221614.0</v>
      </c>
      <c r="AG7" s="1"/>
      <c r="AH7" s="266"/>
      <c r="AI7" s="16"/>
      <c r="AJ7" s="16">
        <v>107.19</v>
      </c>
      <c r="AK7" s="267">
        <f t="shared" si="4"/>
        <v>107.19</v>
      </c>
      <c r="AL7" s="1"/>
      <c r="AM7" s="266"/>
      <c r="AN7" s="16"/>
      <c r="AO7" s="16">
        <v>63.383</v>
      </c>
      <c r="AP7" s="267">
        <v>514.8</v>
      </c>
      <c r="AQ7" s="1"/>
      <c r="AR7" s="266"/>
      <c r="AS7" s="16"/>
      <c r="AT7" s="16">
        <v>109.037</v>
      </c>
      <c r="AU7" s="267">
        <f t="shared" si="5"/>
        <v>109.037</v>
      </c>
      <c r="AV7" s="1"/>
      <c r="AW7" s="266"/>
      <c r="AX7" s="16"/>
      <c r="AY7" s="16">
        <f>113604+116857+74697+67633</f>
        <v>372791</v>
      </c>
      <c r="AZ7" s="267">
        <f t="shared" si="6"/>
        <v>372791</v>
      </c>
      <c r="BA7" s="1"/>
      <c r="BB7" s="266"/>
      <c r="BC7" s="16"/>
      <c r="BD7" s="16">
        <v>1503.0</v>
      </c>
      <c r="BE7" s="267">
        <f t="shared" si="7"/>
        <v>1503</v>
      </c>
      <c r="BF7" s="1"/>
      <c r="BG7" s="1"/>
      <c r="BH7" s="1"/>
      <c r="BI7" s="1"/>
      <c r="BJ7" s="1"/>
      <c r="BK7" s="1"/>
      <c r="BL7" s="1"/>
      <c r="BM7" s="1"/>
      <c r="BN7" s="1"/>
      <c r="BO7" s="1"/>
      <c r="BP7" s="1"/>
      <c r="BQ7" s="1"/>
      <c r="BR7" s="1"/>
      <c r="BS7" s="1"/>
    </row>
    <row r="8" ht="15.75" customHeight="1">
      <c r="A8" s="55">
        <f t="shared" si="1"/>
        <v>8</v>
      </c>
      <c r="B8" s="1"/>
      <c r="C8" s="1"/>
      <c r="D8" s="262"/>
      <c r="E8" s="263"/>
      <c r="F8" s="263"/>
      <c r="G8" s="264"/>
      <c r="H8" s="1"/>
      <c r="I8" s="262"/>
      <c r="J8" s="263"/>
      <c r="K8" s="263"/>
      <c r="L8" s="264"/>
      <c r="M8" s="1"/>
      <c r="N8" s="262"/>
      <c r="O8" s="263"/>
      <c r="P8" s="263"/>
      <c r="Q8" s="264"/>
      <c r="R8" s="1"/>
      <c r="S8" s="262"/>
      <c r="T8" s="263"/>
      <c r="U8" s="263"/>
      <c r="V8" s="264"/>
      <c r="W8" s="1"/>
      <c r="X8" s="262"/>
      <c r="Y8" s="263"/>
      <c r="Z8" s="263"/>
      <c r="AA8" s="264"/>
      <c r="AB8" s="1"/>
      <c r="AC8" s="262"/>
      <c r="AD8" s="263"/>
      <c r="AE8" s="263"/>
      <c r="AF8" s="264"/>
      <c r="AG8" s="1"/>
      <c r="AH8" s="262"/>
      <c r="AI8" s="263"/>
      <c r="AJ8" s="263"/>
      <c r="AK8" s="264"/>
      <c r="AL8" s="1"/>
      <c r="AM8" s="262"/>
      <c r="AN8" s="263"/>
      <c r="AO8" s="263"/>
      <c r="AP8" s="264"/>
      <c r="AQ8" s="1"/>
      <c r="AR8" s="262"/>
      <c r="AS8" s="263"/>
      <c r="AT8" s="263"/>
      <c r="AU8" s="264"/>
      <c r="AV8" s="1"/>
      <c r="AW8" s="262"/>
      <c r="AX8" s="263"/>
      <c r="AY8" s="263"/>
      <c r="AZ8" s="264"/>
      <c r="BA8" s="1"/>
      <c r="BB8" s="262"/>
      <c r="BC8" s="263"/>
      <c r="BD8" s="263"/>
      <c r="BE8" s="264"/>
      <c r="BF8" s="1"/>
      <c r="BG8" s="4"/>
      <c r="BH8" s="1"/>
      <c r="BI8" s="1"/>
      <c r="BJ8" s="1"/>
      <c r="BK8" s="1"/>
      <c r="BL8" s="1"/>
      <c r="BM8" s="1"/>
      <c r="BN8" s="1"/>
      <c r="BO8" s="1"/>
      <c r="BP8" s="1"/>
      <c r="BQ8" s="1"/>
      <c r="BR8" s="1"/>
      <c r="BS8" s="1"/>
    </row>
    <row r="9" ht="15.75" customHeight="1">
      <c r="A9" s="55">
        <f t="shared" si="1"/>
        <v>9</v>
      </c>
      <c r="B9" s="1" t="s">
        <v>190</v>
      </c>
      <c r="C9" s="1"/>
      <c r="D9" s="266"/>
      <c r="E9" s="16"/>
      <c r="F9" s="16"/>
      <c r="G9" s="267">
        <f>1.09*125.1</f>
        <v>136.359</v>
      </c>
      <c r="H9" s="1"/>
      <c r="I9" s="266"/>
      <c r="J9" s="16"/>
      <c r="K9" s="16">
        <v>996.0</v>
      </c>
      <c r="L9" s="267">
        <f t="shared" ref="L9:L11" si="8">+K9+J9-I9</f>
        <v>996</v>
      </c>
      <c r="M9" s="1"/>
      <c r="N9" s="266"/>
      <c r="O9" s="16"/>
      <c r="P9" s="16"/>
      <c r="Q9" s="267">
        <v>363.1</v>
      </c>
      <c r="R9" s="1"/>
      <c r="S9" s="266"/>
      <c r="T9" s="16"/>
      <c r="U9" s="16">
        <v>217.0</v>
      </c>
      <c r="V9" s="267">
        <f t="shared" ref="V9:V11" si="9">+U9+T9-S9</f>
        <v>217</v>
      </c>
      <c r="W9" s="1"/>
      <c r="X9" s="266"/>
      <c r="Y9" s="16"/>
      <c r="Z9" s="16"/>
      <c r="AA9" s="267">
        <v>40581.0</v>
      </c>
      <c r="AB9" s="1"/>
      <c r="AC9" s="266"/>
      <c r="AD9" s="16"/>
      <c r="AE9" s="16"/>
      <c r="AF9" s="267">
        <v>292602.0</v>
      </c>
      <c r="AG9" s="1"/>
      <c r="AH9" s="266"/>
      <c r="AI9" s="16"/>
      <c r="AJ9" s="16">
        <v>117.6</v>
      </c>
      <c r="AK9" s="267">
        <f t="shared" ref="AK9:AK11" si="10">+AJ9+AI9-AH9</f>
        <v>117.6</v>
      </c>
      <c r="AL9" s="1"/>
      <c r="AM9" s="266"/>
      <c r="AN9" s="16"/>
      <c r="AO9" s="16">
        <v>84.045</v>
      </c>
      <c r="AP9" s="267">
        <v>707.5</v>
      </c>
      <c r="AQ9" s="1"/>
      <c r="AR9" s="266"/>
      <c r="AS9" s="16"/>
      <c r="AT9" s="16">
        <v>96.351</v>
      </c>
      <c r="AU9" s="267">
        <f t="shared" ref="AU9:AU11" si="11">+AT9+AS9-AR9</f>
        <v>96.351</v>
      </c>
      <c r="AV9" s="1"/>
      <c r="AW9" s="266"/>
      <c r="AX9" s="16"/>
      <c r="AY9" s="16">
        <f>112573+79514+129407+128913</f>
        <v>450407</v>
      </c>
      <c r="AZ9" s="267">
        <f t="shared" ref="AZ9:AZ11" si="12">+AY9+AX9-AW9</f>
        <v>450407</v>
      </c>
      <c r="BA9" s="1"/>
      <c r="BB9" s="266"/>
      <c r="BC9" s="16"/>
      <c r="BD9" s="16">
        <v>1607.0</v>
      </c>
      <c r="BE9" s="267">
        <f t="shared" ref="BE9:BE11" si="13">+BD9+BC9-BB9</f>
        <v>1607</v>
      </c>
      <c r="BF9" s="1"/>
      <c r="BG9" s="1"/>
      <c r="BH9" s="1"/>
      <c r="BI9" s="1"/>
      <c r="BJ9" s="1"/>
      <c r="BK9" s="1"/>
      <c r="BL9" s="1"/>
      <c r="BM9" s="1"/>
      <c r="BN9" s="1"/>
      <c r="BO9" s="1"/>
      <c r="BP9" s="1"/>
      <c r="BQ9" s="1"/>
      <c r="BR9" s="1"/>
      <c r="BS9" s="1"/>
    </row>
    <row r="10" ht="15.75" customHeight="1">
      <c r="A10" s="55">
        <f t="shared" si="1"/>
        <v>10</v>
      </c>
      <c r="B10" s="113" t="s">
        <v>229</v>
      </c>
      <c r="C10" s="113"/>
      <c r="D10" s="266"/>
      <c r="E10" s="16"/>
      <c r="F10" s="16"/>
      <c r="G10" s="267">
        <f>1.09*49.231</f>
        <v>53.66179</v>
      </c>
      <c r="H10" s="1"/>
      <c r="I10" s="273"/>
      <c r="J10" s="8"/>
      <c r="K10" s="8">
        <v>2.0</v>
      </c>
      <c r="L10" s="267">
        <f t="shared" si="8"/>
        <v>2</v>
      </c>
      <c r="M10" s="1"/>
      <c r="N10" s="266"/>
      <c r="O10" s="16"/>
      <c r="P10" s="16"/>
      <c r="Q10" s="267"/>
      <c r="R10" s="1"/>
      <c r="S10" s="266"/>
      <c r="T10" s="16"/>
      <c r="U10" s="16"/>
      <c r="V10" s="267">
        <f t="shared" si="9"/>
        <v>0</v>
      </c>
      <c r="W10" s="1"/>
      <c r="X10" s="273"/>
      <c r="Y10" s="16"/>
      <c r="Z10" s="8"/>
      <c r="AA10" s="267">
        <f t="shared" ref="AA10:AA11" si="14">+Z10+Y10-X10</f>
        <v>0</v>
      </c>
      <c r="AB10" s="1"/>
      <c r="AC10" s="266"/>
      <c r="AD10" s="16"/>
      <c r="AE10" s="16"/>
      <c r="AF10" s="267">
        <f t="shared" ref="AF10:AF11" si="15">+AE10+AD10-AC10</f>
        <v>0</v>
      </c>
      <c r="AG10" s="1"/>
      <c r="AH10" s="266"/>
      <c r="AI10" s="8"/>
      <c r="AJ10" s="8"/>
      <c r="AK10" s="267">
        <f t="shared" si="10"/>
        <v>0</v>
      </c>
      <c r="AL10" s="1"/>
      <c r="AM10" s="266"/>
      <c r="AN10" s="16"/>
      <c r="AO10" s="16"/>
      <c r="AP10" s="267">
        <v>10.0</v>
      </c>
      <c r="AQ10" s="1"/>
      <c r="AR10" s="266"/>
      <c r="AS10" s="8"/>
      <c r="AT10" s="8"/>
      <c r="AU10" s="267">
        <f t="shared" si="11"/>
        <v>0</v>
      </c>
      <c r="AV10" s="1"/>
      <c r="AW10" s="273"/>
      <c r="AX10" s="8"/>
      <c r="AY10" s="8"/>
      <c r="AZ10" s="267">
        <f t="shared" si="12"/>
        <v>0</v>
      </c>
      <c r="BA10" s="1"/>
      <c r="BB10" s="266"/>
      <c r="BC10" s="16"/>
      <c r="BD10" s="8">
        <v>328.0</v>
      </c>
      <c r="BE10" s="267">
        <f t="shared" si="13"/>
        <v>328</v>
      </c>
      <c r="BF10" s="1"/>
      <c r="BG10" s="1"/>
      <c r="BH10" s="1"/>
      <c r="BI10" s="1"/>
      <c r="BJ10" s="1"/>
      <c r="BK10" s="1"/>
      <c r="BL10" s="1"/>
      <c r="BM10" s="1"/>
      <c r="BN10" s="1"/>
      <c r="BO10" s="1"/>
      <c r="BP10" s="1"/>
      <c r="BQ10" s="1"/>
      <c r="BR10" s="1"/>
      <c r="BS10" s="1"/>
    </row>
    <row r="11" ht="15.75" customHeight="1">
      <c r="A11" s="55">
        <f t="shared" si="1"/>
        <v>11</v>
      </c>
      <c r="B11" s="113" t="s">
        <v>233</v>
      </c>
      <c r="C11" s="113"/>
      <c r="D11" s="266"/>
      <c r="E11" s="16"/>
      <c r="F11" s="16"/>
      <c r="G11" s="267">
        <f>(99.6+484.8)*1.09</f>
        <v>636.996</v>
      </c>
      <c r="H11" s="1"/>
      <c r="I11" s="266"/>
      <c r="J11" s="16"/>
      <c r="K11" s="16">
        <v>991.0</v>
      </c>
      <c r="L11" s="267">
        <f t="shared" si="8"/>
        <v>991</v>
      </c>
      <c r="M11" s="1"/>
      <c r="N11" s="266"/>
      <c r="O11" s="16"/>
      <c r="P11" s="16"/>
      <c r="Q11" s="267">
        <v>46.7</v>
      </c>
      <c r="R11" s="1"/>
      <c r="S11" s="266"/>
      <c r="T11" s="16"/>
      <c r="U11" s="16">
        <v>107.575</v>
      </c>
      <c r="V11" s="267">
        <f t="shared" si="9"/>
        <v>107.575</v>
      </c>
      <c r="W11" s="1"/>
      <c r="X11" s="266"/>
      <c r="Y11" s="16"/>
      <c r="Z11" s="16"/>
      <c r="AA11" s="267">
        <f t="shared" si="14"/>
        <v>0</v>
      </c>
      <c r="AB11" s="1"/>
      <c r="AC11" s="266"/>
      <c r="AD11" s="16"/>
      <c r="AE11" s="8"/>
      <c r="AF11" s="267">
        <f t="shared" si="15"/>
        <v>0</v>
      </c>
      <c r="AG11" s="1"/>
      <c r="AH11" s="266"/>
      <c r="AI11" s="16"/>
      <c r="AJ11" s="16">
        <v>22.83</v>
      </c>
      <c r="AK11" s="267">
        <f t="shared" si="10"/>
        <v>22.83</v>
      </c>
      <c r="AL11" s="1"/>
      <c r="AM11" s="266"/>
      <c r="AN11" s="16"/>
      <c r="AO11" s="16"/>
      <c r="AP11" s="267">
        <v>178.0</v>
      </c>
      <c r="AQ11" s="1"/>
      <c r="AR11" s="266"/>
      <c r="AS11" s="16"/>
      <c r="AT11" s="16">
        <f>4261+4606+4759+4334+2184+2340+2418+2521</f>
        <v>27423</v>
      </c>
      <c r="AU11" s="267">
        <f t="shared" si="11"/>
        <v>27423</v>
      </c>
      <c r="AV11" s="1"/>
      <c r="AW11" s="266"/>
      <c r="AX11" s="16"/>
      <c r="AY11" s="16">
        <f>12747+12974+11982+6863</f>
        <v>44566</v>
      </c>
      <c r="AZ11" s="267">
        <f t="shared" si="12"/>
        <v>44566</v>
      </c>
      <c r="BA11" s="1"/>
      <c r="BB11" s="273"/>
      <c r="BC11" s="8"/>
      <c r="BD11" s="8"/>
      <c r="BE11" s="267">
        <f t="shared" si="13"/>
        <v>0</v>
      </c>
      <c r="BF11" s="1"/>
      <c r="BG11" s="1"/>
      <c r="BH11" s="1"/>
      <c r="BI11" s="1"/>
      <c r="BJ11" s="1"/>
      <c r="BK11" s="1"/>
      <c r="BL11" s="1"/>
      <c r="BM11" s="1"/>
      <c r="BN11" s="1"/>
      <c r="BO11" s="1"/>
      <c r="BP11" s="1"/>
      <c r="BQ11" s="1"/>
      <c r="BR11" s="1"/>
      <c r="BS11" s="1"/>
    </row>
    <row r="12" ht="15.75" customHeight="1">
      <c r="A12" s="55">
        <f t="shared" si="1"/>
        <v>12</v>
      </c>
      <c r="B12" s="139" t="s">
        <v>235</v>
      </c>
      <c r="C12" s="275"/>
      <c r="D12" s="276">
        <f t="shared" ref="D12:F12" si="16">+D9+D10+D11</f>
        <v>0</v>
      </c>
      <c r="E12" s="277">
        <f t="shared" si="16"/>
        <v>0</v>
      </c>
      <c r="F12" s="277">
        <f t="shared" si="16"/>
        <v>0</v>
      </c>
      <c r="G12" s="279">
        <f>1.09*709.5</f>
        <v>773.355</v>
      </c>
      <c r="H12" s="1"/>
      <c r="I12" s="276">
        <f t="shared" ref="I12:L12" si="17">SUM(I9:I11)</f>
        <v>0</v>
      </c>
      <c r="J12" s="277">
        <f t="shared" si="17"/>
        <v>0</v>
      </c>
      <c r="K12" s="277">
        <f t="shared" si="17"/>
        <v>1989</v>
      </c>
      <c r="L12" s="279">
        <f t="shared" si="17"/>
        <v>1989</v>
      </c>
      <c r="M12" s="1"/>
      <c r="N12" s="276">
        <f t="shared" ref="N12:P12" si="18">SUM(N9:N11)</f>
        <v>0</v>
      </c>
      <c r="O12" s="277">
        <f t="shared" si="18"/>
        <v>0</v>
      </c>
      <c r="P12" s="277">
        <f t="shared" si="18"/>
        <v>0</v>
      </c>
      <c r="Q12" s="279">
        <v>588.3</v>
      </c>
      <c r="R12" s="1"/>
      <c r="S12" s="276">
        <f t="shared" ref="S12:T12" si="19">SUM(S9:S11)</f>
        <v>0</v>
      </c>
      <c r="T12" s="277">
        <f t="shared" si="19"/>
        <v>0</v>
      </c>
      <c r="U12" s="277">
        <v>326.174</v>
      </c>
      <c r="V12" s="279">
        <f>SUM(V9:V11)</f>
        <v>324.575</v>
      </c>
      <c r="W12" s="1"/>
      <c r="X12" s="276">
        <f t="shared" ref="X12:AA12" si="20">SUM(X9:X11)</f>
        <v>0</v>
      </c>
      <c r="Y12" s="277">
        <f t="shared" si="20"/>
        <v>0</v>
      </c>
      <c r="Z12" s="277">
        <f t="shared" si="20"/>
        <v>0</v>
      </c>
      <c r="AA12" s="279">
        <f t="shared" si="20"/>
        <v>40581</v>
      </c>
      <c r="AB12" s="1"/>
      <c r="AC12" s="276">
        <f t="shared" ref="AC12:AF12" si="21">SUM(AC9:AC11)</f>
        <v>0</v>
      </c>
      <c r="AD12" s="277">
        <f t="shared" si="21"/>
        <v>0</v>
      </c>
      <c r="AE12" s="277">
        <f t="shared" si="21"/>
        <v>0</v>
      </c>
      <c r="AF12" s="279">
        <f t="shared" si="21"/>
        <v>292602</v>
      </c>
      <c r="AG12" s="1"/>
      <c r="AH12" s="276">
        <f t="shared" ref="AH12:AI12" si="22">SUM(AH9:AH11)</f>
        <v>0</v>
      </c>
      <c r="AI12" s="277">
        <f t="shared" si="22"/>
        <v>0</v>
      </c>
      <c r="AJ12" s="277">
        <v>148.174</v>
      </c>
      <c r="AK12" s="279">
        <f>SUM(AK9:AK11)</f>
        <v>140.43</v>
      </c>
      <c r="AL12" s="1"/>
      <c r="AM12" s="276">
        <f t="shared" ref="AM12:AN12" si="23">SUM(AM9:AM11)</f>
        <v>0</v>
      </c>
      <c r="AN12" s="277">
        <f t="shared" si="23"/>
        <v>0</v>
      </c>
      <c r="AO12" s="277">
        <v>105.415</v>
      </c>
      <c r="AP12" s="279">
        <f>SUM(AP9:AP11)</f>
        <v>895.5</v>
      </c>
      <c r="AQ12" s="1"/>
      <c r="AR12" s="276">
        <f t="shared" ref="AR12:AS12" si="24">SUM(AR9:AR11)</f>
        <v>0</v>
      </c>
      <c r="AS12" s="277">
        <f t="shared" si="24"/>
        <v>0</v>
      </c>
      <c r="AT12" s="277">
        <v>102.641</v>
      </c>
      <c r="AU12" s="279">
        <f>SUM(AU9:AU11)</f>
        <v>27519.351</v>
      </c>
      <c r="AV12" s="1"/>
      <c r="AW12" s="276">
        <f t="shared" ref="AW12:AZ12" si="25">SUM(AW9:AW11)</f>
        <v>0</v>
      </c>
      <c r="AX12" s="277">
        <f t="shared" si="25"/>
        <v>0</v>
      </c>
      <c r="AY12" s="277">
        <f t="shared" si="25"/>
        <v>494973</v>
      </c>
      <c r="AZ12" s="279">
        <f t="shared" si="25"/>
        <v>494973</v>
      </c>
      <c r="BA12" s="1"/>
      <c r="BB12" s="276">
        <f t="shared" ref="BB12:BE12" si="26">SUM(BB9:BB11)</f>
        <v>0</v>
      </c>
      <c r="BC12" s="277">
        <f t="shared" si="26"/>
        <v>0</v>
      </c>
      <c r="BD12" s="277">
        <f t="shared" si="26"/>
        <v>1935</v>
      </c>
      <c r="BE12" s="279">
        <f t="shared" si="26"/>
        <v>1935</v>
      </c>
      <c r="BF12" s="1"/>
      <c r="BG12" s="1"/>
      <c r="BH12" s="1"/>
      <c r="BI12" s="1"/>
      <c r="BJ12" s="1"/>
      <c r="BK12" s="1"/>
      <c r="BL12" s="1"/>
      <c r="BM12" s="1"/>
      <c r="BN12" s="1"/>
      <c r="BO12" s="1"/>
      <c r="BP12" s="1"/>
      <c r="BQ12" s="1"/>
      <c r="BR12" s="1"/>
      <c r="BS12" s="1"/>
    </row>
    <row r="13" ht="15.75" customHeight="1">
      <c r="A13" s="55">
        <f t="shared" si="1"/>
        <v>13</v>
      </c>
      <c r="B13" s="113"/>
      <c r="C13" s="113"/>
      <c r="D13" s="266"/>
      <c r="E13" s="16"/>
      <c r="F13" s="16"/>
      <c r="G13" s="267"/>
      <c r="H13" s="1"/>
      <c r="I13" s="266"/>
      <c r="J13" s="16"/>
      <c r="K13" s="16"/>
      <c r="L13" s="267"/>
      <c r="M13" s="1"/>
      <c r="N13" s="266"/>
      <c r="O13" s="16"/>
      <c r="P13" s="16"/>
      <c r="Q13" s="267"/>
      <c r="R13" s="1"/>
      <c r="S13" s="266"/>
      <c r="T13" s="16"/>
      <c r="U13" s="16"/>
      <c r="V13" s="267"/>
      <c r="W13" s="1"/>
      <c r="X13" s="266"/>
      <c r="Y13" s="16"/>
      <c r="Z13" s="16"/>
      <c r="AA13" s="267"/>
      <c r="AB13" s="1"/>
      <c r="AC13" s="266"/>
      <c r="AD13" s="16"/>
      <c r="AE13" s="16"/>
      <c r="AF13" s="267"/>
      <c r="AG13" s="1"/>
      <c r="AH13" s="266"/>
      <c r="AI13" s="16"/>
      <c r="AJ13" s="16"/>
      <c r="AK13" s="267"/>
      <c r="AL13" s="1"/>
      <c r="AM13" s="266"/>
      <c r="AN13" s="16"/>
      <c r="AO13" s="16"/>
      <c r="AP13" s="267"/>
      <c r="AQ13" s="1"/>
      <c r="AR13" s="266"/>
      <c r="AS13" s="16"/>
      <c r="AT13" s="16"/>
      <c r="AU13" s="267"/>
      <c r="AV13" s="1"/>
      <c r="AW13" s="266"/>
      <c r="AX13" s="16"/>
      <c r="AY13" s="16"/>
      <c r="AZ13" s="267"/>
      <c r="BA13" s="1"/>
      <c r="BB13" s="266"/>
      <c r="BC13" s="16"/>
      <c r="BD13" s="16"/>
      <c r="BE13" s="267"/>
      <c r="BF13" s="1"/>
      <c r="BG13" s="1"/>
      <c r="BH13" s="1"/>
      <c r="BI13" s="1"/>
      <c r="BJ13" s="1"/>
      <c r="BK13" s="1"/>
      <c r="BL13" s="1"/>
      <c r="BM13" s="1"/>
      <c r="BN13" s="1"/>
      <c r="BO13" s="1"/>
      <c r="BP13" s="1"/>
      <c r="BQ13" s="1"/>
      <c r="BR13" s="1"/>
      <c r="BS13" s="1"/>
    </row>
    <row r="14" ht="15.75" customHeight="1">
      <c r="A14" s="55">
        <f t="shared" si="1"/>
        <v>14</v>
      </c>
      <c r="B14" s="1" t="s">
        <v>13</v>
      </c>
      <c r="C14" s="1"/>
      <c r="D14" s="282"/>
      <c r="E14" s="283"/>
      <c r="F14" s="283"/>
      <c r="G14" s="284">
        <v>0.1268</v>
      </c>
      <c r="H14" s="1"/>
      <c r="I14" s="282"/>
      <c r="J14" s="283"/>
      <c r="K14" s="283"/>
      <c r="L14" s="284">
        <v>0.18</v>
      </c>
      <c r="M14" s="93"/>
      <c r="N14" s="282"/>
      <c r="O14" s="283"/>
      <c r="P14" s="283"/>
      <c r="Q14" s="285">
        <v>0.1998</v>
      </c>
      <c r="R14" s="1"/>
      <c r="S14" s="282"/>
      <c r="T14" s="283"/>
      <c r="U14" s="283"/>
      <c r="V14" s="284">
        <v>0.2176</v>
      </c>
      <c r="W14" s="1"/>
      <c r="X14" s="282"/>
      <c r="Y14" s="283"/>
      <c r="Z14" s="283"/>
      <c r="AA14" s="284">
        <v>0.198</v>
      </c>
      <c r="AB14" s="1"/>
      <c r="AC14" s="282"/>
      <c r="AD14" s="283"/>
      <c r="AE14" s="283"/>
      <c r="AF14" s="285">
        <v>0.2841</v>
      </c>
      <c r="AG14" s="1"/>
      <c r="AH14" s="282"/>
      <c r="AI14" s="283"/>
      <c r="AJ14" s="283"/>
      <c r="AK14" s="284">
        <v>0.1933</v>
      </c>
      <c r="AL14" s="1"/>
      <c r="AM14" s="282"/>
      <c r="AN14" s="283"/>
      <c r="AO14" s="283"/>
      <c r="AP14" s="285">
        <f>18609/72497</f>
        <v>0.2566864836</v>
      </c>
      <c r="AQ14" s="1"/>
      <c r="AR14" s="282"/>
      <c r="AS14" s="283"/>
      <c r="AT14" s="283"/>
      <c r="AU14" s="284">
        <v>0.25</v>
      </c>
      <c r="AV14" s="1"/>
      <c r="AW14" s="282"/>
      <c r="AX14" s="283"/>
      <c r="AY14" s="283"/>
      <c r="AZ14" s="284">
        <f>39604/153208</f>
        <v>0.2584982507</v>
      </c>
      <c r="BA14" s="1"/>
      <c r="BB14" s="282"/>
      <c r="BC14" s="283"/>
      <c r="BD14" s="283"/>
      <c r="BE14" s="286">
        <v>0.1919</v>
      </c>
      <c r="BF14" s="1"/>
      <c r="BG14" s="1"/>
      <c r="BH14" s="1"/>
      <c r="BI14" s="1"/>
      <c r="BJ14" s="1"/>
      <c r="BK14" s="1"/>
      <c r="BL14" s="1"/>
      <c r="BM14" s="1"/>
      <c r="BN14" s="1"/>
      <c r="BO14" s="1"/>
      <c r="BP14" s="1"/>
      <c r="BQ14" s="1"/>
      <c r="BR14" s="1"/>
      <c r="BS14" s="1"/>
    </row>
    <row r="15" ht="15.75" customHeight="1">
      <c r="A15" s="55">
        <f t="shared" si="1"/>
        <v>15</v>
      </c>
      <c r="B15" s="1"/>
      <c r="C15" s="1"/>
      <c r="D15" s="183"/>
      <c r="E15" s="1"/>
      <c r="F15" s="287"/>
      <c r="G15" s="288"/>
      <c r="H15" s="1"/>
      <c r="I15" s="183"/>
      <c r="J15" s="1"/>
      <c r="K15" s="287"/>
      <c r="L15" s="288"/>
      <c r="M15" s="1"/>
      <c r="N15" s="183"/>
      <c r="O15" s="1"/>
      <c r="P15" s="287"/>
      <c r="Q15" s="288"/>
      <c r="R15" s="1"/>
      <c r="S15" s="183"/>
      <c r="T15" s="1"/>
      <c r="U15" s="287"/>
      <c r="V15" s="288"/>
      <c r="W15" s="1"/>
      <c r="X15" s="183"/>
      <c r="Y15" s="1"/>
      <c r="Z15" s="287"/>
      <c r="AA15" s="288"/>
      <c r="AB15" s="1"/>
      <c r="AC15" s="183"/>
      <c r="AD15" s="1"/>
      <c r="AE15" s="287"/>
      <c r="AF15" s="288"/>
      <c r="AG15" s="1"/>
      <c r="AH15" s="183"/>
      <c r="AI15" s="1"/>
      <c r="AJ15" s="287"/>
      <c r="AK15" s="288"/>
      <c r="AL15" s="1"/>
      <c r="AM15" s="183"/>
      <c r="AN15" s="1"/>
      <c r="AO15" s="287"/>
      <c r="AP15" s="288"/>
      <c r="AQ15" s="1"/>
      <c r="AR15" s="183"/>
      <c r="AS15" s="1"/>
      <c r="AT15" s="287"/>
      <c r="AU15" s="288"/>
      <c r="AV15" s="1"/>
      <c r="AW15" s="183"/>
      <c r="AX15" s="1"/>
      <c r="AY15" s="287"/>
      <c r="AZ15" s="288"/>
      <c r="BA15" s="1"/>
      <c r="BB15" s="183"/>
      <c r="BC15" s="1"/>
      <c r="BD15" s="287"/>
      <c r="BE15" s="288"/>
      <c r="BF15" s="1"/>
      <c r="BG15" s="1"/>
      <c r="BH15" s="1"/>
      <c r="BI15" s="1"/>
      <c r="BJ15" s="1"/>
      <c r="BK15" s="1"/>
      <c r="BL15" s="1"/>
      <c r="BM15" s="1"/>
      <c r="BN15" s="1"/>
      <c r="BO15" s="1"/>
      <c r="BP15" s="1"/>
      <c r="BQ15" s="1"/>
      <c r="BR15" s="1"/>
      <c r="BS15" s="1"/>
    </row>
    <row r="16" ht="15.75" customHeight="1">
      <c r="A16" s="55">
        <f t="shared" si="1"/>
        <v>16</v>
      </c>
      <c r="B16" s="113"/>
      <c r="C16" s="113"/>
      <c r="D16" s="289" t="s">
        <v>241</v>
      </c>
      <c r="E16" s="290"/>
      <c r="F16" s="290"/>
      <c r="G16" s="291"/>
      <c r="H16" s="1"/>
      <c r="I16" s="289" t="s">
        <v>241</v>
      </c>
      <c r="J16" s="290"/>
      <c r="K16" s="290"/>
      <c r="L16" s="291"/>
      <c r="M16" s="1"/>
      <c r="N16" s="289" t="s">
        <v>241</v>
      </c>
      <c r="O16" s="290"/>
      <c r="P16" s="290"/>
      <c r="Q16" s="291"/>
      <c r="R16" s="1"/>
      <c r="S16" s="289" t="s">
        <v>241</v>
      </c>
      <c r="T16" s="290"/>
      <c r="U16" s="290"/>
      <c r="V16" s="291"/>
      <c r="W16" s="1"/>
      <c r="X16" s="289" t="s">
        <v>241</v>
      </c>
      <c r="Y16" s="290"/>
      <c r="Z16" s="290"/>
      <c r="AA16" s="291"/>
      <c r="AB16" s="1"/>
      <c r="AC16" s="289" t="s">
        <v>241</v>
      </c>
      <c r="AD16" s="290"/>
      <c r="AE16" s="290"/>
      <c r="AF16" s="291"/>
      <c r="AG16" s="1"/>
      <c r="AH16" s="289" t="s">
        <v>241</v>
      </c>
      <c r="AI16" s="290"/>
      <c r="AJ16" s="290"/>
      <c r="AK16" s="291"/>
      <c r="AL16" s="1"/>
      <c r="AM16" s="289" t="s">
        <v>241</v>
      </c>
      <c r="AN16" s="290"/>
      <c r="AO16" s="290"/>
      <c r="AP16" s="291"/>
      <c r="AQ16" s="1"/>
      <c r="AR16" s="289" t="s">
        <v>241</v>
      </c>
      <c r="AS16" s="290"/>
      <c r="AT16" s="290"/>
      <c r="AU16" s="291"/>
      <c r="AV16" s="1"/>
      <c r="AW16" s="289" t="s">
        <v>241</v>
      </c>
      <c r="AX16" s="290"/>
      <c r="AY16" s="290"/>
      <c r="AZ16" s="291"/>
      <c r="BA16" s="1"/>
      <c r="BB16" s="289" t="s">
        <v>241</v>
      </c>
      <c r="BC16" s="290"/>
      <c r="BD16" s="290"/>
      <c r="BE16" s="291"/>
      <c r="BF16" s="1"/>
      <c r="BG16" s="1"/>
      <c r="BH16" s="1"/>
      <c r="BI16" s="1"/>
      <c r="BJ16" s="1"/>
      <c r="BK16" s="1"/>
      <c r="BL16" s="1"/>
      <c r="BM16" s="1"/>
      <c r="BN16" s="1"/>
      <c r="BO16" s="1"/>
      <c r="BP16" s="1"/>
      <c r="BQ16" s="1"/>
      <c r="BR16" s="1"/>
      <c r="BS16" s="1"/>
    </row>
    <row r="17" ht="15.75" customHeight="1">
      <c r="A17" s="55">
        <f t="shared" si="1"/>
        <v>17</v>
      </c>
      <c r="B17" s="113" t="s">
        <v>244</v>
      </c>
      <c r="C17" s="113"/>
      <c r="D17" s="296"/>
      <c r="E17" s="298"/>
      <c r="F17" s="298"/>
      <c r="G17" s="300">
        <f>-(1.09*1628.7)</f>
        <v>-1775.283</v>
      </c>
      <c r="H17" s="1"/>
      <c r="I17" s="296"/>
      <c r="J17" s="298"/>
      <c r="K17" s="298"/>
      <c r="L17" s="300">
        <v>-4708.0</v>
      </c>
      <c r="M17" s="1"/>
      <c r="N17" s="296"/>
      <c r="O17" s="298"/>
      <c r="P17" s="298"/>
      <c r="Q17" s="300">
        <v>-1284.9</v>
      </c>
      <c r="R17" s="1"/>
      <c r="S17" s="296"/>
      <c r="T17" s="298"/>
      <c r="U17" s="298"/>
      <c r="V17" s="300">
        <v>-1876.0</v>
      </c>
      <c r="W17" s="1"/>
      <c r="X17" s="296"/>
      <c r="Y17" s="298"/>
      <c r="Z17" s="298"/>
      <c r="AA17" s="300">
        <v>-1017.2</v>
      </c>
      <c r="AB17" s="1"/>
      <c r="AC17" s="296"/>
      <c r="AD17" s="298"/>
      <c r="AE17" s="298"/>
      <c r="AF17" s="300">
        <v>-6988.0</v>
      </c>
      <c r="AG17" s="1"/>
      <c r="AH17" s="296"/>
      <c r="AI17" s="298"/>
      <c r="AJ17" s="298"/>
      <c r="AK17" s="300">
        <v>-409.94</v>
      </c>
      <c r="AL17" s="1"/>
      <c r="AM17" s="296"/>
      <c r="AN17" s="298"/>
      <c r="AO17" s="298"/>
      <c r="AP17" s="300">
        <v>-213.851</v>
      </c>
      <c r="AQ17" s="1"/>
      <c r="AR17" s="296"/>
      <c r="AS17" s="298"/>
      <c r="AT17" s="298"/>
      <c r="AU17" s="303">
        <v>-548.276</v>
      </c>
      <c r="AV17" s="1"/>
      <c r="AW17" s="296"/>
      <c r="AX17" s="298"/>
      <c r="AY17" s="298"/>
      <c r="AZ17" s="303">
        <v>-206333.0</v>
      </c>
      <c r="BA17" s="1"/>
      <c r="BB17" s="296"/>
      <c r="BC17" s="298"/>
      <c r="BD17" s="298"/>
      <c r="BE17" s="300">
        <v>-5794.0</v>
      </c>
      <c r="BF17" s="1"/>
      <c r="BG17" s="1"/>
      <c r="BH17" s="1"/>
      <c r="BI17" s="1"/>
      <c r="BJ17" s="1"/>
      <c r="BK17" s="1"/>
      <c r="BL17" s="1"/>
      <c r="BM17" s="1"/>
      <c r="BN17" s="1"/>
      <c r="BO17" s="1"/>
      <c r="BP17" s="1"/>
      <c r="BQ17" s="1"/>
      <c r="BR17" s="1"/>
      <c r="BS17" s="1"/>
    </row>
    <row r="18" ht="15.75" customHeight="1">
      <c r="A18" s="55">
        <f t="shared" si="1"/>
        <v>18</v>
      </c>
      <c r="B18" s="113" t="s">
        <v>246</v>
      </c>
      <c r="C18" s="113"/>
      <c r="D18" s="296"/>
      <c r="E18" s="298"/>
      <c r="F18" s="298"/>
      <c r="G18" s="306">
        <f>-(0.1*1.09)</f>
        <v>-0.109</v>
      </c>
      <c r="H18" s="1"/>
      <c r="I18" s="296"/>
      <c r="J18" s="298"/>
      <c r="K18" s="298"/>
      <c r="L18" s="306">
        <v>-1783.2</v>
      </c>
      <c r="M18" s="1"/>
      <c r="N18" s="296"/>
      <c r="O18" s="298"/>
      <c r="P18" s="298"/>
      <c r="Q18" s="306">
        <v>-699.3</v>
      </c>
      <c r="R18" s="1"/>
      <c r="S18" s="296"/>
      <c r="T18" s="298"/>
      <c r="U18" s="298"/>
      <c r="V18" s="306">
        <v>-220.461</v>
      </c>
      <c r="W18" s="1"/>
      <c r="X18" s="296"/>
      <c r="Y18" s="298"/>
      <c r="Z18" s="298"/>
      <c r="AA18" s="306">
        <v>0.0</v>
      </c>
      <c r="AB18" s="1"/>
      <c r="AC18" s="296"/>
      <c r="AD18" s="298"/>
      <c r="AE18" s="298"/>
      <c r="AF18" s="306">
        <v>-1974.0</v>
      </c>
      <c r="AG18" s="1"/>
      <c r="AH18" s="296"/>
      <c r="AI18" s="298"/>
      <c r="AJ18" s="298"/>
      <c r="AK18" s="306">
        <v>0.0</v>
      </c>
      <c r="AL18" s="1"/>
      <c r="AM18" s="296"/>
      <c r="AN18" s="298"/>
      <c r="AO18" s="298"/>
      <c r="AP18" s="309"/>
      <c r="AQ18" s="1"/>
      <c r="AR18" s="296"/>
      <c r="AS18" s="298"/>
      <c r="AT18" s="298"/>
      <c r="AU18" s="306">
        <f>-(7.6+4.8+4.8+5.5)</f>
        <v>-22.7</v>
      </c>
      <c r="AV18" s="1"/>
      <c r="AW18" s="296"/>
      <c r="AX18" s="298"/>
      <c r="AY18" s="298"/>
      <c r="AZ18" s="309">
        <v>-297167.0</v>
      </c>
      <c r="BA18" s="1"/>
      <c r="BB18" s="296"/>
      <c r="BC18" s="298"/>
      <c r="BD18" s="298"/>
      <c r="BE18" s="306"/>
      <c r="BF18" s="1"/>
      <c r="BG18" s="1"/>
      <c r="BH18" s="1"/>
      <c r="BI18" s="1"/>
      <c r="BJ18" s="1"/>
      <c r="BK18" s="1"/>
      <c r="BL18" s="1"/>
      <c r="BM18" s="1"/>
      <c r="BN18" s="1"/>
      <c r="BO18" s="1"/>
      <c r="BP18" s="1"/>
      <c r="BQ18" s="1"/>
      <c r="BR18" s="1"/>
      <c r="BS18" s="1"/>
    </row>
    <row r="19" ht="15.75" customHeight="1">
      <c r="A19" s="55">
        <f t="shared" si="1"/>
        <v>19</v>
      </c>
      <c r="B19" s="113" t="s">
        <v>247</v>
      </c>
      <c r="C19" s="113"/>
      <c r="D19" s="296"/>
      <c r="E19" s="298"/>
      <c r="F19" s="298"/>
      <c r="G19" s="306"/>
      <c r="H19" s="1"/>
      <c r="I19" s="296"/>
      <c r="J19" s="298"/>
      <c r="K19" s="298"/>
      <c r="L19" s="306">
        <v>0.0</v>
      </c>
      <c r="M19" s="1"/>
      <c r="N19" s="296"/>
      <c r="O19" s="298"/>
      <c r="P19" s="298"/>
      <c r="Q19" s="306">
        <v>0.0</v>
      </c>
      <c r="R19" s="1"/>
      <c r="S19" s="296"/>
      <c r="T19" s="298"/>
      <c r="U19" s="298"/>
      <c r="V19" s="306">
        <v>-1169.0</v>
      </c>
      <c r="W19" s="1"/>
      <c r="X19" s="296"/>
      <c r="Y19" s="298"/>
      <c r="Z19" s="298"/>
      <c r="AA19" s="306">
        <v>0.0</v>
      </c>
      <c r="AB19" s="1"/>
      <c r="AC19" s="296"/>
      <c r="AD19" s="298"/>
      <c r="AE19" s="298"/>
      <c r="AF19" s="306"/>
      <c r="AG19" s="1"/>
      <c r="AH19" s="296"/>
      <c r="AI19" s="298"/>
      <c r="AJ19" s="298"/>
      <c r="AK19" s="306">
        <v>0.0</v>
      </c>
      <c r="AL19" s="1"/>
      <c r="AM19" s="296"/>
      <c r="AN19" s="298"/>
      <c r="AO19" s="298"/>
      <c r="AP19" s="306"/>
      <c r="AQ19" s="1"/>
      <c r="AR19" s="296"/>
      <c r="AS19" s="298"/>
      <c r="AT19" s="298"/>
      <c r="AU19" s="306"/>
      <c r="AV19" s="1"/>
      <c r="AW19" s="296"/>
      <c r="AX19" s="298"/>
      <c r="AY19" s="298"/>
      <c r="AZ19" s="306"/>
      <c r="BA19" s="1"/>
      <c r="BB19" s="296"/>
      <c r="BC19" s="298"/>
      <c r="BD19" s="298"/>
      <c r="BE19" s="306"/>
      <c r="BF19" s="1"/>
      <c r="BG19" s="1"/>
      <c r="BH19" s="1"/>
      <c r="BI19" s="1"/>
      <c r="BJ19" s="1"/>
      <c r="BK19" s="1"/>
      <c r="BL19" s="1"/>
      <c r="BM19" s="1"/>
      <c r="BN19" s="1"/>
      <c r="BO19" s="1"/>
      <c r="BP19" s="1"/>
      <c r="BQ19" s="1"/>
      <c r="BR19" s="1"/>
      <c r="BS19" s="1"/>
    </row>
    <row r="20" ht="15.75" customHeight="1">
      <c r="A20" s="55">
        <f t="shared" si="1"/>
        <v>20</v>
      </c>
      <c r="B20" s="113" t="s">
        <v>248</v>
      </c>
      <c r="C20" s="113"/>
      <c r="D20" s="296"/>
      <c r="E20" s="298"/>
      <c r="F20" s="298"/>
      <c r="G20" s="309">
        <v>0.0</v>
      </c>
      <c r="H20" s="1"/>
      <c r="I20" s="296"/>
      <c r="J20" s="298"/>
      <c r="K20" s="298"/>
      <c r="L20" s="306">
        <v>0.0</v>
      </c>
      <c r="M20" s="1"/>
      <c r="N20" s="296"/>
      <c r="O20" s="298"/>
      <c r="P20" s="298"/>
      <c r="Q20" s="306">
        <v>0.0</v>
      </c>
      <c r="R20" s="1"/>
      <c r="S20" s="296"/>
      <c r="T20" s="298"/>
      <c r="U20" s="298"/>
      <c r="V20" s="309">
        <v>-15.423</v>
      </c>
      <c r="W20" s="1"/>
      <c r="X20" s="296"/>
      <c r="Y20" s="298"/>
      <c r="Z20" s="298"/>
      <c r="AA20" s="309">
        <v>0.0</v>
      </c>
      <c r="AB20" s="1"/>
      <c r="AC20" s="296"/>
      <c r="AD20" s="298"/>
      <c r="AE20" s="298"/>
      <c r="AF20" s="306"/>
      <c r="AG20" s="1"/>
      <c r="AH20" s="296"/>
      <c r="AI20" s="298"/>
      <c r="AJ20" s="298"/>
      <c r="AK20" s="306"/>
      <c r="AL20" s="1"/>
      <c r="AM20" s="296"/>
      <c r="AN20" s="298"/>
      <c r="AO20" s="298"/>
      <c r="AP20" s="309"/>
      <c r="AQ20" s="1"/>
      <c r="AR20" s="296"/>
      <c r="AS20" s="298"/>
      <c r="AT20" s="298"/>
      <c r="AU20" s="306"/>
      <c r="AV20" s="1"/>
      <c r="AW20" s="296"/>
      <c r="AX20" s="298"/>
      <c r="AY20" s="298"/>
      <c r="AZ20" s="306"/>
      <c r="BA20" s="1"/>
      <c r="BB20" s="296"/>
      <c r="BC20" s="298"/>
      <c r="BD20" s="298"/>
      <c r="BE20" s="309"/>
      <c r="BF20" s="1"/>
      <c r="BG20" s="4"/>
      <c r="BH20" s="1"/>
      <c r="BI20" s="1"/>
      <c r="BJ20" s="1"/>
      <c r="BK20" s="1"/>
      <c r="BL20" s="1"/>
      <c r="BM20" s="1"/>
      <c r="BN20" s="1"/>
      <c r="BO20" s="1"/>
      <c r="BP20" s="1"/>
      <c r="BQ20" s="1"/>
      <c r="BR20" s="1"/>
      <c r="BS20" s="1"/>
    </row>
    <row r="21" ht="15.75" customHeight="1">
      <c r="A21" s="55">
        <f t="shared" si="1"/>
        <v>21</v>
      </c>
      <c r="B21" s="113" t="s">
        <v>251</v>
      </c>
      <c r="C21" s="113"/>
      <c r="D21" s="296"/>
      <c r="E21" s="298"/>
      <c r="F21" s="298"/>
      <c r="G21" s="309">
        <f>2065.1*1.09</f>
        <v>2250.959</v>
      </c>
      <c r="H21" s="1"/>
      <c r="I21" s="296"/>
      <c r="J21" s="298"/>
      <c r="K21" s="298"/>
      <c r="L21" s="309">
        <v>994.0</v>
      </c>
      <c r="M21" s="1"/>
      <c r="N21" s="296"/>
      <c r="O21" s="298"/>
      <c r="P21" s="298"/>
      <c r="Q21" s="306">
        <v>0.0</v>
      </c>
      <c r="R21" s="1"/>
      <c r="S21" s="296"/>
      <c r="T21" s="298"/>
      <c r="U21" s="298"/>
      <c r="V21" s="306">
        <f>(34.076+223.933)</f>
        <v>258.009</v>
      </c>
      <c r="W21" s="1"/>
      <c r="X21" s="296"/>
      <c r="Y21" s="298"/>
      <c r="Z21" s="298"/>
      <c r="AA21" s="309">
        <v>0.0</v>
      </c>
      <c r="AB21" s="1"/>
      <c r="AC21" s="296"/>
      <c r="AD21" s="298"/>
      <c r="AE21" s="298"/>
      <c r="AF21" s="306">
        <v>0.0</v>
      </c>
      <c r="AG21" s="1"/>
      <c r="AH21" s="296"/>
      <c r="AI21" s="298"/>
      <c r="AJ21" s="298"/>
      <c r="AK21" s="309">
        <v>161.33</v>
      </c>
      <c r="AL21" s="1"/>
      <c r="AM21" s="296"/>
      <c r="AN21" s="298"/>
      <c r="AO21" s="298"/>
      <c r="AP21" s="317">
        <v>0.0</v>
      </c>
      <c r="AQ21" s="1"/>
      <c r="AR21" s="296"/>
      <c r="AS21" s="298"/>
      <c r="AT21" s="298"/>
      <c r="AU21" s="309">
        <f>6302+6039</f>
        <v>12341</v>
      </c>
      <c r="AV21" s="1"/>
      <c r="AW21" s="296"/>
      <c r="AX21" s="298"/>
      <c r="AY21" s="298"/>
      <c r="AZ21" s="309">
        <f>13866+249296</f>
        <v>263162</v>
      </c>
      <c r="BA21" s="1"/>
      <c r="BB21" s="296"/>
      <c r="BC21" s="298"/>
      <c r="BD21" s="298"/>
      <c r="BE21" s="309">
        <v>2675.0</v>
      </c>
      <c r="BF21" s="1"/>
      <c r="BG21" s="1"/>
      <c r="BH21" s="1"/>
      <c r="BI21" s="1"/>
      <c r="BJ21" s="1"/>
      <c r="BK21" s="1"/>
      <c r="BL21" s="1"/>
      <c r="BM21" s="1"/>
      <c r="BN21" s="1"/>
      <c r="BO21" s="1"/>
      <c r="BP21" s="1"/>
      <c r="BQ21" s="1"/>
      <c r="BR21" s="1"/>
      <c r="BS21" s="1"/>
    </row>
    <row r="22" ht="15.75" customHeight="1">
      <c r="A22" s="55">
        <f t="shared" si="1"/>
        <v>22</v>
      </c>
      <c r="B22" s="113" t="s">
        <v>252</v>
      </c>
      <c r="C22" s="113"/>
      <c r="D22" s="296"/>
      <c r="E22" s="298"/>
      <c r="F22" s="298"/>
      <c r="G22" s="306">
        <v>0.0</v>
      </c>
      <c r="H22" s="1"/>
      <c r="I22" s="296"/>
      <c r="J22" s="298"/>
      <c r="K22" s="298"/>
      <c r="L22" s="306">
        <v>0.0</v>
      </c>
      <c r="M22" s="1"/>
      <c r="N22" s="296"/>
      <c r="O22" s="298"/>
      <c r="P22" s="298"/>
      <c r="Q22" s="306">
        <v>0.0</v>
      </c>
      <c r="R22" s="1"/>
      <c r="S22" s="296"/>
      <c r="T22" s="298"/>
      <c r="U22" s="298"/>
      <c r="V22" s="319"/>
      <c r="W22" s="1"/>
      <c r="X22" s="296"/>
      <c r="Y22" s="298"/>
      <c r="Z22" s="298"/>
      <c r="AA22" s="306">
        <v>0.0</v>
      </c>
      <c r="AB22" s="1"/>
      <c r="AC22" s="296"/>
      <c r="AD22" s="298"/>
      <c r="AE22" s="298"/>
      <c r="AF22" s="306">
        <v>0.0</v>
      </c>
      <c r="AG22" s="1"/>
      <c r="AH22" s="296"/>
      <c r="AI22" s="298"/>
      <c r="AJ22" s="298"/>
      <c r="AK22" s="306">
        <v>0.0</v>
      </c>
      <c r="AL22" s="1"/>
      <c r="AM22" s="296"/>
      <c r="AN22" s="298"/>
      <c r="AO22" s="298"/>
      <c r="AP22" s="306"/>
      <c r="AQ22" s="1"/>
      <c r="AR22" s="296"/>
      <c r="AS22" s="298"/>
      <c r="AT22" s="298"/>
      <c r="AU22" s="306"/>
      <c r="AV22" s="1"/>
      <c r="AW22" s="296"/>
      <c r="AX22" s="298"/>
      <c r="AY22" s="298"/>
      <c r="AZ22" s="306"/>
      <c r="BA22" s="1"/>
      <c r="BB22" s="296"/>
      <c r="BC22" s="298"/>
      <c r="BD22" s="298"/>
      <c r="BE22" s="306"/>
      <c r="BF22" s="1"/>
      <c r="BG22" s="4"/>
      <c r="BH22" s="1"/>
      <c r="BI22" s="1"/>
      <c r="BJ22" s="1"/>
      <c r="BK22" s="1"/>
      <c r="BL22" s="1"/>
      <c r="BM22" s="1"/>
      <c r="BN22" s="1"/>
      <c r="BO22" s="1"/>
      <c r="BP22" s="1"/>
      <c r="BQ22" s="1"/>
      <c r="BR22" s="1"/>
      <c r="BS22" s="1"/>
    </row>
    <row r="23" ht="15.75" customHeight="1">
      <c r="A23" s="55">
        <f t="shared" si="1"/>
        <v>23</v>
      </c>
      <c r="B23" s="113" t="s">
        <v>253</v>
      </c>
      <c r="C23" s="113"/>
      <c r="D23" s="296"/>
      <c r="E23" s="298"/>
      <c r="F23" s="320"/>
      <c r="G23" s="306">
        <f>0.3</f>
        <v>0.3</v>
      </c>
      <c r="H23" s="8"/>
      <c r="I23" s="296"/>
      <c r="J23" s="298"/>
      <c r="K23" s="320"/>
      <c r="L23" s="306">
        <v>0.0</v>
      </c>
      <c r="M23" s="1"/>
      <c r="N23" s="296"/>
      <c r="O23" s="298"/>
      <c r="P23" s="320"/>
      <c r="Q23" s="306">
        <f>0</f>
        <v>0</v>
      </c>
      <c r="R23" s="1"/>
      <c r="S23" s="296"/>
      <c r="T23" s="298"/>
      <c r="U23" s="320"/>
      <c r="V23" s="306">
        <v>191.879</v>
      </c>
      <c r="W23" s="1"/>
      <c r="X23" s="296"/>
      <c r="Y23" s="298"/>
      <c r="Z23" s="320"/>
      <c r="AA23" s="306">
        <v>1.1</v>
      </c>
      <c r="AB23" s="1"/>
      <c r="AC23" s="296"/>
      <c r="AD23" s="298"/>
      <c r="AE23" s="320"/>
      <c r="AF23" s="306">
        <v>2.0</v>
      </c>
      <c r="AG23" s="1"/>
      <c r="AH23" s="296"/>
      <c r="AI23" s="298"/>
      <c r="AJ23" s="320"/>
      <c r="AK23" s="306">
        <v>0.0</v>
      </c>
      <c r="AL23" s="1"/>
      <c r="AM23" s="296"/>
      <c r="AN23" s="298"/>
      <c r="AO23" s="320"/>
      <c r="AP23" s="306"/>
      <c r="AQ23" s="1"/>
      <c r="AR23" s="296"/>
      <c r="AS23" s="298"/>
      <c r="AT23" s="320"/>
      <c r="AU23" s="306"/>
      <c r="AV23" s="1"/>
      <c r="AW23" s="296"/>
      <c r="AX23" s="298"/>
      <c r="AY23" s="320"/>
      <c r="AZ23" s="306">
        <v>13371.0</v>
      </c>
      <c r="BA23" s="1"/>
      <c r="BB23" s="296"/>
      <c r="BC23" s="298"/>
      <c r="BD23" s="320"/>
      <c r="BE23" s="306"/>
      <c r="BF23" s="1"/>
      <c r="BG23" s="1"/>
      <c r="BH23" s="1"/>
      <c r="BI23" s="1"/>
      <c r="BJ23" s="1"/>
      <c r="BK23" s="1"/>
      <c r="BL23" s="1"/>
      <c r="BM23" s="1"/>
      <c r="BN23" s="1"/>
      <c r="BO23" s="1"/>
      <c r="BP23" s="1"/>
      <c r="BQ23" s="1"/>
      <c r="BR23" s="1"/>
      <c r="BS23" s="1"/>
    </row>
    <row r="24" ht="15.75" customHeight="1">
      <c r="A24" s="55">
        <f t="shared" si="1"/>
        <v>24</v>
      </c>
      <c r="B24" s="113" t="s">
        <v>256</v>
      </c>
      <c r="C24" s="113"/>
      <c r="D24" s="296"/>
      <c r="E24" s="298"/>
      <c r="F24" s="298"/>
      <c r="G24" s="306">
        <v>0.0</v>
      </c>
      <c r="H24" s="1"/>
      <c r="I24" s="296"/>
      <c r="J24" s="298"/>
      <c r="K24" s="298"/>
      <c r="L24" s="309">
        <v>0.0</v>
      </c>
      <c r="M24" s="1"/>
      <c r="N24" s="296"/>
      <c r="O24" s="298"/>
      <c r="P24" s="298"/>
      <c r="Q24" s="309">
        <v>0.0</v>
      </c>
      <c r="R24" s="1"/>
      <c r="S24" s="296"/>
      <c r="T24" s="298"/>
      <c r="U24" s="298"/>
      <c r="V24" s="309"/>
      <c r="W24" s="1"/>
      <c r="X24" s="296"/>
      <c r="Y24" s="298"/>
      <c r="Z24" s="298"/>
      <c r="AA24" s="306">
        <v>25.6</v>
      </c>
      <c r="AB24" s="1"/>
      <c r="AC24" s="296"/>
      <c r="AD24" s="298"/>
      <c r="AE24" s="298"/>
      <c r="AF24" s="306">
        <v>122.0</v>
      </c>
      <c r="AG24" s="1"/>
      <c r="AH24" s="296"/>
      <c r="AI24" s="298"/>
      <c r="AJ24" s="298"/>
      <c r="AK24" s="306">
        <v>0.002</v>
      </c>
      <c r="AL24" s="1"/>
      <c r="AM24" s="296"/>
      <c r="AN24" s="298"/>
      <c r="AO24" s="298"/>
      <c r="AP24" s="306">
        <v>88.3</v>
      </c>
      <c r="AQ24" s="1"/>
      <c r="AR24" s="296"/>
      <c r="AS24" s="298"/>
      <c r="AT24" s="298"/>
      <c r="AU24" s="306"/>
      <c r="AV24" s="1"/>
      <c r="AW24" s="296"/>
      <c r="AX24" s="298"/>
      <c r="AY24" s="298"/>
      <c r="AZ24" s="306">
        <v>7850.0</v>
      </c>
      <c r="BA24" s="1"/>
      <c r="BB24" s="296"/>
      <c r="BC24" s="298"/>
      <c r="BD24" s="298"/>
      <c r="BE24" s="306"/>
      <c r="BF24" s="1"/>
      <c r="BG24" s="1"/>
      <c r="BH24" s="1"/>
      <c r="BI24" s="1"/>
      <c r="BJ24" s="1"/>
      <c r="BK24" s="1"/>
      <c r="BL24" s="1"/>
      <c r="BM24" s="1"/>
      <c r="BN24" s="1"/>
      <c r="BO24" s="1"/>
      <c r="BP24" s="1"/>
      <c r="BQ24" s="1"/>
      <c r="BR24" s="1"/>
      <c r="BS24" s="1"/>
    </row>
    <row r="25" ht="15.75" customHeight="1">
      <c r="A25" s="55">
        <f t="shared" si="1"/>
        <v>25</v>
      </c>
      <c r="B25" s="113" t="s">
        <v>260</v>
      </c>
      <c r="C25" s="113"/>
      <c r="D25" s="323"/>
      <c r="E25" s="324"/>
      <c r="F25" s="324"/>
      <c r="G25" s="309">
        <v>0.0</v>
      </c>
      <c r="H25" s="1"/>
      <c r="I25" s="323"/>
      <c r="J25" s="324"/>
      <c r="K25" s="324"/>
      <c r="L25" s="306">
        <v>132.0</v>
      </c>
      <c r="M25" s="1"/>
      <c r="N25" s="323"/>
      <c r="O25" s="324"/>
      <c r="P25" s="324"/>
      <c r="Q25" s="306">
        <v>0.0</v>
      </c>
      <c r="R25" s="1"/>
      <c r="S25" s="323"/>
      <c r="T25" s="324"/>
      <c r="U25" s="324"/>
      <c r="V25" s="306"/>
      <c r="W25" s="1"/>
      <c r="X25" s="323"/>
      <c r="Y25" s="324"/>
      <c r="Z25" s="324"/>
      <c r="AA25" s="306">
        <v>0.0</v>
      </c>
      <c r="AB25" s="1"/>
      <c r="AC25" s="323"/>
      <c r="AD25" s="324"/>
      <c r="AE25" s="324"/>
      <c r="AF25" s="306"/>
      <c r="AG25" s="1"/>
      <c r="AH25" s="323"/>
      <c r="AI25" s="324"/>
      <c r="AJ25" s="324"/>
      <c r="AK25" s="306"/>
      <c r="AL25" s="1"/>
      <c r="AM25" s="323"/>
      <c r="AN25" s="324"/>
      <c r="AO25" s="324"/>
      <c r="AP25" s="306">
        <v>603.4</v>
      </c>
      <c r="AQ25" s="1"/>
      <c r="AR25" s="323"/>
      <c r="AS25" s="324"/>
      <c r="AT25" s="324"/>
      <c r="AU25" s="306">
        <f>23456+22426+20013+19459</f>
        <v>85354</v>
      </c>
      <c r="AV25" s="1"/>
      <c r="AW25" s="323"/>
      <c r="AX25" s="324"/>
      <c r="AY25" s="324"/>
      <c r="AZ25" s="306"/>
      <c r="BA25" s="1"/>
      <c r="BB25" s="323"/>
      <c r="BC25" s="324"/>
      <c r="BD25" s="324"/>
      <c r="BE25" s="306"/>
      <c r="BF25" s="1"/>
      <c r="BG25" s="1"/>
      <c r="BH25" s="1"/>
      <c r="BI25" s="1"/>
      <c r="BJ25" s="1"/>
      <c r="BK25" s="1"/>
      <c r="BL25" s="1"/>
      <c r="BM25" s="1"/>
      <c r="BN25" s="1"/>
      <c r="BO25" s="1"/>
      <c r="BP25" s="1"/>
      <c r="BQ25" s="1"/>
      <c r="BR25" s="1"/>
      <c r="BS25" s="1"/>
    </row>
    <row r="26" ht="15.75" customHeight="1">
      <c r="A26" s="55">
        <f t="shared" si="1"/>
        <v>26</v>
      </c>
      <c r="B26" s="1"/>
      <c r="C26" s="1"/>
      <c r="D26" s="175"/>
      <c r="E26" s="1"/>
      <c r="F26" s="1"/>
      <c r="G26" s="327"/>
      <c r="H26" s="1"/>
      <c r="I26" s="175"/>
      <c r="J26" s="1"/>
      <c r="K26" s="1"/>
      <c r="L26" s="327"/>
      <c r="M26" s="1"/>
      <c r="N26" s="175"/>
      <c r="O26" s="1"/>
      <c r="P26" s="1"/>
      <c r="Q26" s="327"/>
      <c r="R26" s="1"/>
      <c r="S26" s="175"/>
      <c r="T26" s="1"/>
      <c r="U26" s="1"/>
      <c r="V26" s="327"/>
      <c r="W26" s="1"/>
      <c r="X26" s="175"/>
      <c r="Y26" s="1"/>
      <c r="Z26" s="1"/>
      <c r="AA26" s="327"/>
      <c r="AB26" s="1"/>
      <c r="AC26" s="175"/>
      <c r="AD26" s="1"/>
      <c r="AE26" s="1"/>
      <c r="AF26" s="327"/>
      <c r="AG26" s="1"/>
      <c r="AH26" s="175"/>
      <c r="AI26" s="1"/>
      <c r="AJ26" s="1"/>
      <c r="AK26" s="327"/>
      <c r="AL26" s="1"/>
      <c r="AM26" s="175"/>
      <c r="AN26" s="1"/>
      <c r="AO26" s="1"/>
      <c r="AP26" s="327"/>
      <c r="AQ26" s="1"/>
      <c r="AR26" s="175"/>
      <c r="AS26" s="1"/>
      <c r="AT26" s="1"/>
      <c r="AU26" s="327"/>
      <c r="AV26" s="1"/>
      <c r="AW26" s="175"/>
      <c r="AX26" s="1"/>
      <c r="AY26" s="1"/>
      <c r="AZ26" s="327"/>
      <c r="BA26" s="1"/>
      <c r="BB26" s="175"/>
      <c r="BC26" s="1"/>
      <c r="BD26" s="1"/>
      <c r="BE26" s="327"/>
      <c r="BF26" s="1"/>
      <c r="BG26" s="1"/>
      <c r="BH26" s="1"/>
      <c r="BI26" s="1"/>
      <c r="BJ26" s="1"/>
      <c r="BK26" s="1"/>
      <c r="BL26" s="1"/>
      <c r="BM26" s="1"/>
      <c r="BN26" s="1"/>
      <c r="BO26" s="1"/>
      <c r="BP26" s="1"/>
      <c r="BQ26" s="1"/>
      <c r="BR26" s="1"/>
      <c r="BS26" s="1"/>
    </row>
    <row r="27" ht="15.75" customHeight="1">
      <c r="A27" s="55">
        <f t="shared" si="1"/>
        <v>27</v>
      </c>
      <c r="B27" s="1"/>
      <c r="C27" s="1"/>
      <c r="D27" s="289" t="s">
        <v>269</v>
      </c>
      <c r="E27" s="290"/>
      <c r="F27" s="290"/>
      <c r="G27" s="291"/>
      <c r="H27" s="1"/>
      <c r="I27" s="289" t="s">
        <v>269</v>
      </c>
      <c r="J27" s="290"/>
      <c r="K27" s="290"/>
      <c r="L27" s="291"/>
      <c r="M27" s="1"/>
      <c r="N27" s="289" t="s">
        <v>269</v>
      </c>
      <c r="O27" s="290"/>
      <c r="P27" s="290"/>
      <c r="Q27" s="291"/>
      <c r="R27" s="1"/>
      <c r="S27" s="289" t="s">
        <v>269</v>
      </c>
      <c r="T27" s="290"/>
      <c r="U27" s="290"/>
      <c r="V27" s="291"/>
      <c r="W27" s="1"/>
      <c r="X27" s="289" t="s">
        <v>269</v>
      </c>
      <c r="Y27" s="290"/>
      <c r="Z27" s="290"/>
      <c r="AA27" s="291"/>
      <c r="AB27" s="1"/>
      <c r="AC27" s="289" t="s">
        <v>269</v>
      </c>
      <c r="AD27" s="290"/>
      <c r="AE27" s="290"/>
      <c r="AF27" s="291"/>
      <c r="AG27" s="1"/>
      <c r="AH27" s="289" t="s">
        <v>269</v>
      </c>
      <c r="AI27" s="290"/>
      <c r="AJ27" s="290"/>
      <c r="AK27" s="291"/>
      <c r="AL27" s="1"/>
      <c r="AM27" s="289" t="s">
        <v>269</v>
      </c>
      <c r="AN27" s="290"/>
      <c r="AO27" s="290"/>
      <c r="AP27" s="291"/>
      <c r="AQ27" s="1"/>
      <c r="AR27" s="289" t="s">
        <v>269</v>
      </c>
      <c r="AS27" s="290"/>
      <c r="AT27" s="290"/>
      <c r="AU27" s="291"/>
      <c r="AV27" s="1"/>
      <c r="AW27" s="289" t="s">
        <v>269</v>
      </c>
      <c r="AX27" s="290"/>
      <c r="AY27" s="290"/>
      <c r="AZ27" s="291"/>
      <c r="BA27" s="1"/>
      <c r="BB27" s="289" t="s">
        <v>269</v>
      </c>
      <c r="BC27" s="290"/>
      <c r="BD27" s="290"/>
      <c r="BE27" s="291"/>
      <c r="BF27" s="1"/>
      <c r="BG27" s="1"/>
      <c r="BH27" s="1"/>
      <c r="BI27" s="1"/>
      <c r="BJ27" s="1"/>
      <c r="BK27" s="1"/>
      <c r="BL27" s="1"/>
      <c r="BM27" s="1"/>
      <c r="BN27" s="1"/>
      <c r="BO27" s="1"/>
      <c r="BP27" s="1"/>
      <c r="BQ27" s="1"/>
      <c r="BR27" s="1"/>
      <c r="BS27" s="1"/>
    </row>
    <row r="28" ht="15.75" customHeight="1">
      <c r="A28" s="55">
        <f t="shared" si="1"/>
        <v>28</v>
      </c>
      <c r="B28" s="1"/>
      <c r="C28" s="1"/>
      <c r="D28" s="328">
        <v>2020.0</v>
      </c>
      <c r="E28" s="329">
        <v>2021.0</v>
      </c>
      <c r="F28" s="329">
        <v>2022.0</v>
      </c>
      <c r="G28" s="330"/>
      <c r="H28" s="326"/>
      <c r="I28" s="328">
        <v>2020.0</v>
      </c>
      <c r="J28" s="329">
        <v>2021.0</v>
      </c>
      <c r="K28" s="329">
        <v>2022.0</v>
      </c>
      <c r="L28" s="330"/>
      <c r="M28" s="326"/>
      <c r="N28" s="328">
        <v>2020.0</v>
      </c>
      <c r="O28" s="329">
        <v>2021.0</v>
      </c>
      <c r="P28" s="329">
        <v>2022.0</v>
      </c>
      <c r="Q28" s="330"/>
      <c r="R28" s="326"/>
      <c r="S28" s="328">
        <v>2020.0</v>
      </c>
      <c r="T28" s="329">
        <v>2021.0</v>
      </c>
      <c r="U28" s="329">
        <v>2022.0</v>
      </c>
      <c r="V28" s="330"/>
      <c r="W28" s="326"/>
      <c r="X28" s="328">
        <v>2020.0</v>
      </c>
      <c r="Y28" s="329">
        <v>2021.0</v>
      </c>
      <c r="Z28" s="329">
        <v>2022.0</v>
      </c>
      <c r="AA28" s="330"/>
      <c r="AB28" s="326"/>
      <c r="AC28" s="328">
        <v>2020.0</v>
      </c>
      <c r="AD28" s="329">
        <v>2021.0</v>
      </c>
      <c r="AE28" s="329">
        <v>2022.0</v>
      </c>
      <c r="AF28" s="330"/>
      <c r="AG28" s="326"/>
      <c r="AH28" s="328">
        <v>2020.0</v>
      </c>
      <c r="AI28" s="329">
        <v>2021.0</v>
      </c>
      <c r="AJ28" s="329">
        <v>2022.0</v>
      </c>
      <c r="AK28" s="330"/>
      <c r="AL28" s="326"/>
      <c r="AM28" s="328">
        <v>2020.0</v>
      </c>
      <c r="AN28" s="329">
        <v>2021.0</v>
      </c>
      <c r="AO28" s="329">
        <v>2022.0</v>
      </c>
      <c r="AP28" s="330"/>
      <c r="AQ28" s="326"/>
      <c r="AR28" s="328">
        <v>2020.0</v>
      </c>
      <c r="AS28" s="329">
        <v>2021.0</v>
      </c>
      <c r="AT28" s="329">
        <v>2022.0</v>
      </c>
      <c r="AU28" s="330"/>
      <c r="AV28" s="326"/>
      <c r="AW28" s="328">
        <v>2020.0</v>
      </c>
      <c r="AX28" s="329">
        <v>2021.0</v>
      </c>
      <c r="AY28" s="329">
        <v>2022.0</v>
      </c>
      <c r="AZ28" s="330"/>
      <c r="BA28" s="326"/>
      <c r="BB28" s="328">
        <v>2020.0</v>
      </c>
      <c r="BC28" s="329">
        <v>2021.0</v>
      </c>
      <c r="BD28" s="329">
        <v>2022.0</v>
      </c>
      <c r="BE28" s="331"/>
      <c r="BF28" s="1"/>
      <c r="BG28" s="1"/>
      <c r="BH28" s="1"/>
      <c r="BI28" s="1"/>
      <c r="BJ28" s="1"/>
      <c r="BK28" s="1"/>
      <c r="BL28" s="1"/>
      <c r="BM28" s="1"/>
      <c r="BN28" s="1"/>
      <c r="BO28" s="1"/>
      <c r="BP28" s="1"/>
      <c r="BQ28" s="1"/>
      <c r="BR28" s="1"/>
      <c r="BS28" s="1"/>
    </row>
    <row r="29" ht="15.75" customHeight="1">
      <c r="A29" s="55">
        <f t="shared" si="1"/>
        <v>29</v>
      </c>
      <c r="B29" s="113" t="s">
        <v>178</v>
      </c>
      <c r="C29" s="113"/>
      <c r="D29" s="303">
        <f>1.09*1459</f>
        <v>1590.31</v>
      </c>
      <c r="E29" s="303">
        <f>1.09*2552</f>
        <v>2781.68</v>
      </c>
      <c r="F29" s="303">
        <f>1.09*2625</f>
        <v>2861.25</v>
      </c>
      <c r="G29" s="320"/>
      <c r="H29" s="1"/>
      <c r="I29" s="303">
        <v>5188.0</v>
      </c>
      <c r="J29" s="303">
        <v>5376.0</v>
      </c>
      <c r="K29" s="303">
        <v>5816.0</v>
      </c>
      <c r="L29" s="320"/>
      <c r="M29" s="1"/>
      <c r="N29" s="303">
        <v>2838.0</v>
      </c>
      <c r="O29" s="303">
        <v>2689.0</v>
      </c>
      <c r="P29" s="303">
        <v>3469.0</v>
      </c>
      <c r="Q29" s="320"/>
      <c r="R29" s="1"/>
      <c r="S29" s="303">
        <v>2520.0</v>
      </c>
      <c r="T29" s="303">
        <v>2670.0</v>
      </c>
      <c r="U29" s="303">
        <v>2890.0</v>
      </c>
      <c r="V29" s="320"/>
      <c r="W29" s="1"/>
      <c r="X29" s="303">
        <v>284231.17</v>
      </c>
      <c r="Y29" s="303">
        <v>331183.07</v>
      </c>
      <c r="Z29" s="303">
        <v>334287.62</v>
      </c>
      <c r="AA29" s="320"/>
      <c r="AB29" s="1"/>
      <c r="AC29" s="303">
        <v>1284000.0</v>
      </c>
      <c r="AD29" s="303">
        <v>1370000.0</v>
      </c>
      <c r="AE29" s="303">
        <v>1333000.0</v>
      </c>
      <c r="AF29" s="320"/>
      <c r="AG29" s="1"/>
      <c r="AH29" s="303">
        <v>3123.334</v>
      </c>
      <c r="AI29" s="303">
        <v>2222.388</v>
      </c>
      <c r="AJ29" s="303">
        <v>1548.0</v>
      </c>
      <c r="AK29" s="320"/>
      <c r="AL29" s="1"/>
      <c r="AM29" s="303">
        <v>747.7</v>
      </c>
      <c r="AN29" s="303">
        <v>794.05</v>
      </c>
      <c r="AO29" s="303">
        <v>821.38</v>
      </c>
      <c r="AP29" s="320"/>
      <c r="AQ29" s="1"/>
      <c r="AR29" s="303">
        <f>262.01</f>
        <v>262.01</v>
      </c>
      <c r="AS29" s="303">
        <f>282.99</f>
        <v>282.99</v>
      </c>
      <c r="AT29" s="303">
        <v>268.0</v>
      </c>
      <c r="AU29" s="320"/>
      <c r="AV29" s="1"/>
      <c r="AW29" s="303">
        <v>2490.0</v>
      </c>
      <c r="AX29" s="303">
        <v>2897.0</v>
      </c>
      <c r="AY29" s="303">
        <v>3043.0</v>
      </c>
      <c r="AZ29" s="320"/>
      <c r="BA29" s="1"/>
      <c r="BB29" s="332">
        <v>6800.0</v>
      </c>
      <c r="BC29" s="332">
        <v>7420.0</v>
      </c>
      <c r="BD29" s="332">
        <v>8640.0</v>
      </c>
      <c r="BE29" s="320"/>
      <c r="BF29" s="1"/>
      <c r="BG29" s="2"/>
      <c r="BH29" s="1"/>
      <c r="BI29" s="1"/>
      <c r="BJ29" s="1"/>
      <c r="BK29" s="1"/>
      <c r="BL29" s="1"/>
      <c r="BM29" s="1"/>
      <c r="BN29" s="1"/>
      <c r="BO29" s="1"/>
      <c r="BP29" s="1"/>
      <c r="BQ29" s="1"/>
      <c r="BR29" s="1"/>
      <c r="BS29" s="1"/>
    </row>
    <row r="30" ht="15.75" customHeight="1">
      <c r="A30" s="55">
        <f t="shared" si="1"/>
        <v>30</v>
      </c>
      <c r="B30" s="113" t="s">
        <v>235</v>
      </c>
      <c r="C30" s="113"/>
      <c r="D30" s="306">
        <f>1.09*672.96</f>
        <v>733.5264</v>
      </c>
      <c r="E30" s="306">
        <f>1.09*1274</f>
        <v>1388.66</v>
      </c>
      <c r="F30" s="306">
        <f>1.09*1450</f>
        <v>1580.5</v>
      </c>
      <c r="G30" s="320"/>
      <c r="H30" s="1"/>
      <c r="I30" s="306">
        <v>1781.0</v>
      </c>
      <c r="J30" s="306">
        <v>1839.0</v>
      </c>
      <c r="K30" s="306">
        <v>2096.0</v>
      </c>
      <c r="L30" s="320"/>
      <c r="M30" s="1"/>
      <c r="N30" s="306">
        <v>663.41</v>
      </c>
      <c r="O30" s="306">
        <v>667.67</v>
      </c>
      <c r="P30" s="306">
        <v>880.27</v>
      </c>
      <c r="Q30" s="320"/>
      <c r="R30" s="1"/>
      <c r="S30" s="306">
        <v>431.63</v>
      </c>
      <c r="T30" s="306">
        <v>477.13</v>
      </c>
      <c r="U30" s="306">
        <v>546.19</v>
      </c>
      <c r="V30" s="320"/>
      <c r="W30" s="1"/>
      <c r="X30" s="306">
        <v>44754.75</v>
      </c>
      <c r="Y30" s="306">
        <v>54460.89</v>
      </c>
      <c r="Z30" s="306">
        <v>56378.89</v>
      </c>
      <c r="AA30" s="320"/>
      <c r="AB30" s="1"/>
      <c r="AC30" s="306">
        <v>325180.0</v>
      </c>
      <c r="AD30" s="306">
        <v>392070.0</v>
      </c>
      <c r="AE30" s="306">
        <v>390150.0</v>
      </c>
      <c r="AF30" s="320"/>
      <c r="AG30" s="1"/>
      <c r="AH30" s="306">
        <v>2465.827</v>
      </c>
      <c r="AI30" s="306">
        <v>1609.011</v>
      </c>
      <c r="AJ30" s="306">
        <v>987.0</v>
      </c>
      <c r="AK30" s="320"/>
      <c r="AL30" s="1"/>
      <c r="AM30" s="306">
        <v>115.12</v>
      </c>
      <c r="AN30" s="306">
        <v>125.6</v>
      </c>
      <c r="AO30" s="306">
        <v>134.03</v>
      </c>
      <c r="AP30" s="320"/>
      <c r="AQ30" s="1"/>
      <c r="AR30" s="306">
        <v>110.86</v>
      </c>
      <c r="AS30" s="306">
        <v>123.7</v>
      </c>
      <c r="AT30" s="306">
        <v>124.7</v>
      </c>
      <c r="AU30" s="320"/>
      <c r="AV30" s="1"/>
      <c r="AW30" s="306">
        <v>1045.0</v>
      </c>
      <c r="AX30" s="306">
        <v>1269.0</v>
      </c>
      <c r="AY30" s="306">
        <v>1296.0</v>
      </c>
      <c r="AZ30" s="320"/>
      <c r="BA30" s="1"/>
      <c r="BB30" s="333">
        <v>2027.7392510402217</v>
      </c>
      <c r="BC30" s="333">
        <v>2212.6213592233007</v>
      </c>
      <c r="BD30" s="333">
        <v>2576.421636615811</v>
      </c>
      <c r="BE30" s="320"/>
      <c r="BF30" s="1"/>
      <c r="BG30" s="4"/>
      <c r="BH30" s="1"/>
      <c r="BI30" s="1"/>
      <c r="BJ30" s="1"/>
      <c r="BK30" s="1"/>
      <c r="BL30" s="1"/>
      <c r="BM30" s="1"/>
      <c r="BN30" s="1"/>
      <c r="BO30" s="1"/>
      <c r="BP30" s="1"/>
      <c r="BQ30" s="1"/>
      <c r="BR30" s="1"/>
      <c r="BS30" s="1"/>
    </row>
    <row r="31" ht="15.75" customHeight="1">
      <c r="A31" s="55">
        <f t="shared" si="1"/>
        <v>31</v>
      </c>
      <c r="B31" s="113" t="s">
        <v>224</v>
      </c>
      <c r="C31" s="113"/>
      <c r="D31" s="306">
        <f>1.09*26.72</f>
        <v>29.1248</v>
      </c>
      <c r="E31" s="306">
        <f>1.09*424.82</f>
        <v>463.0538</v>
      </c>
      <c r="F31" s="306">
        <f>1.09*456.84</f>
        <v>497.9556</v>
      </c>
      <c r="G31" s="334"/>
      <c r="H31" s="1"/>
      <c r="I31" s="306">
        <v>1381.994</v>
      </c>
      <c r="J31" s="306">
        <v>1445.91</v>
      </c>
      <c r="K31" s="306">
        <v>1641.74</v>
      </c>
      <c r="L31" s="334"/>
      <c r="M31" s="1"/>
      <c r="N31" s="306">
        <v>542.33</v>
      </c>
      <c r="O31" s="306">
        <v>515.83</v>
      </c>
      <c r="P31" s="306">
        <v>653.96</v>
      </c>
      <c r="Q31" s="334"/>
      <c r="R31" s="1"/>
      <c r="S31" s="306">
        <v>274.616</v>
      </c>
      <c r="T31" s="306">
        <v>306.472</v>
      </c>
      <c r="U31" s="306">
        <v>456.75</v>
      </c>
      <c r="V31" s="334"/>
      <c r="W31" s="1"/>
      <c r="X31" s="306">
        <v>24819.08</v>
      </c>
      <c r="Y31" s="306">
        <v>33394.43</v>
      </c>
      <c r="Z31" s="306">
        <v>35298.15</v>
      </c>
      <c r="AA31" s="334"/>
      <c r="AB31" s="1"/>
      <c r="AC31" s="306">
        <v>228750.0</v>
      </c>
      <c r="AD31" s="306">
        <v>282520.0</v>
      </c>
      <c r="AE31" s="306">
        <v>293270.0</v>
      </c>
      <c r="AF31" s="334"/>
      <c r="AG31" s="1"/>
      <c r="AH31" s="306">
        <v>1926.026</v>
      </c>
      <c r="AI31" s="306">
        <v>1382.982</v>
      </c>
      <c r="AJ31" s="306">
        <v>880.01</v>
      </c>
      <c r="AK31" s="334"/>
      <c r="AL31" s="1"/>
      <c r="AM31" s="306">
        <v>66.64</v>
      </c>
      <c r="AN31" s="306">
        <v>74.6</v>
      </c>
      <c r="AO31" s="306">
        <v>79.04</v>
      </c>
      <c r="AP31" s="334"/>
      <c r="AQ31" s="1"/>
      <c r="AR31" s="306">
        <f>88</f>
        <v>88</v>
      </c>
      <c r="AS31" s="306">
        <f>94.5</f>
        <v>94.5</v>
      </c>
      <c r="AT31" s="306">
        <v>92.72</v>
      </c>
      <c r="AU31" s="334"/>
      <c r="AV31" s="1"/>
      <c r="AW31" s="306">
        <v>789.0</v>
      </c>
      <c r="AX31" s="306">
        <v>972.0</v>
      </c>
      <c r="AY31" s="306">
        <v>929.2</v>
      </c>
      <c r="AZ31" s="334"/>
      <c r="BA31" s="1"/>
      <c r="BB31" s="333">
        <v>1575.0346740638004</v>
      </c>
      <c r="BC31" s="333">
        <v>1718.6407766990292</v>
      </c>
      <c r="BD31" s="333">
        <v>2001.2205270457698</v>
      </c>
      <c r="BE31" s="334"/>
      <c r="BF31" s="1"/>
      <c r="BG31" s="1"/>
      <c r="BH31" s="1"/>
      <c r="BI31" s="1"/>
      <c r="BJ31" s="1"/>
      <c r="BK31" s="1"/>
      <c r="BL31" s="1"/>
      <c r="BM31" s="1"/>
      <c r="BN31" s="1"/>
      <c r="BO31" s="1"/>
      <c r="BP31" s="1"/>
      <c r="BQ31" s="1"/>
      <c r="BR31" s="1"/>
      <c r="BS31" s="1"/>
    </row>
    <row r="32" ht="15.75" customHeight="1">
      <c r="A32" s="55">
        <f t="shared" si="1"/>
        <v>32</v>
      </c>
      <c r="B32" s="1"/>
      <c r="C32" s="1"/>
      <c r="D32" s="175"/>
      <c r="E32" s="1"/>
      <c r="F32" s="1"/>
      <c r="G32" s="327"/>
      <c r="H32" s="1"/>
      <c r="I32" s="175"/>
      <c r="J32" s="1"/>
      <c r="K32" s="1"/>
      <c r="L32" s="327"/>
      <c r="M32" s="1"/>
      <c r="N32" s="175"/>
      <c r="O32" s="1"/>
      <c r="P32" s="1"/>
      <c r="Q32" s="327"/>
      <c r="R32" s="1"/>
      <c r="S32" s="175"/>
      <c r="T32" s="1"/>
      <c r="U32" s="1"/>
      <c r="V32" s="327"/>
      <c r="W32" s="1"/>
      <c r="X32" s="175"/>
      <c r="Y32" s="1"/>
      <c r="Z32" s="1"/>
      <c r="AA32" s="327"/>
      <c r="AB32" s="1"/>
      <c r="AC32" s="175"/>
      <c r="AD32" s="1"/>
      <c r="AE32" s="1"/>
      <c r="AF32" s="327"/>
      <c r="AG32" s="1"/>
      <c r="AH32" s="175"/>
      <c r="AI32" s="1"/>
      <c r="AJ32" s="1"/>
      <c r="AK32" s="327"/>
      <c r="AL32" s="1"/>
      <c r="AM32" s="175"/>
      <c r="AN32" s="1"/>
      <c r="AO32" s="1"/>
      <c r="AP32" s="327"/>
      <c r="AQ32" s="1"/>
      <c r="AR32" s="175"/>
      <c r="AS32" s="1"/>
      <c r="AT32" s="1"/>
      <c r="AU32" s="327"/>
      <c r="AV32" s="1"/>
      <c r="AW32" s="175"/>
      <c r="AX32" s="1"/>
      <c r="AY32" s="1"/>
      <c r="AZ32" s="327"/>
      <c r="BA32" s="1"/>
      <c r="BB32" s="175"/>
      <c r="BC32" s="1"/>
      <c r="BD32" s="1"/>
      <c r="BE32" s="327"/>
      <c r="BF32" s="1"/>
      <c r="BG32" s="4"/>
      <c r="BH32" s="1"/>
      <c r="BI32" s="1"/>
      <c r="BJ32" s="1"/>
      <c r="BK32" s="1"/>
      <c r="BL32" s="1"/>
      <c r="BM32" s="1"/>
      <c r="BN32" s="1"/>
      <c r="BO32" s="1"/>
      <c r="BP32" s="1"/>
      <c r="BQ32" s="1"/>
      <c r="BR32" s="1"/>
      <c r="BS32" s="1"/>
    </row>
    <row r="33" ht="15.75" customHeight="1">
      <c r="A33" s="55">
        <f t="shared" si="1"/>
        <v>33</v>
      </c>
      <c r="B33" s="1"/>
      <c r="C33" s="1"/>
      <c r="D33" s="289" t="s">
        <v>287</v>
      </c>
      <c r="E33" s="290"/>
      <c r="F33" s="290"/>
      <c r="G33" s="291"/>
      <c r="H33" s="1"/>
      <c r="I33" s="289" t="s">
        <v>287</v>
      </c>
      <c r="J33" s="290"/>
      <c r="K33" s="290"/>
      <c r="L33" s="291"/>
      <c r="M33" s="1"/>
      <c r="N33" s="289" t="s">
        <v>287</v>
      </c>
      <c r="O33" s="290"/>
      <c r="P33" s="290"/>
      <c r="Q33" s="291"/>
      <c r="R33" s="1"/>
      <c r="S33" s="289" t="s">
        <v>287</v>
      </c>
      <c r="T33" s="290"/>
      <c r="U33" s="290"/>
      <c r="V33" s="291"/>
      <c r="W33" s="1"/>
      <c r="X33" s="289" t="s">
        <v>287</v>
      </c>
      <c r="Y33" s="290"/>
      <c r="Z33" s="290"/>
      <c r="AA33" s="291"/>
      <c r="AB33" s="1"/>
      <c r="AC33" s="289" t="s">
        <v>287</v>
      </c>
      <c r="AD33" s="290"/>
      <c r="AE33" s="290"/>
      <c r="AF33" s="291"/>
      <c r="AG33" s="1"/>
      <c r="AH33" s="289" t="s">
        <v>287</v>
      </c>
      <c r="AI33" s="290"/>
      <c r="AJ33" s="290"/>
      <c r="AK33" s="291"/>
      <c r="AL33" s="1"/>
      <c r="AM33" s="289" t="s">
        <v>287</v>
      </c>
      <c r="AN33" s="290"/>
      <c r="AO33" s="290"/>
      <c r="AP33" s="291"/>
      <c r="AQ33" s="1"/>
      <c r="AR33" s="289" t="s">
        <v>287</v>
      </c>
      <c r="AS33" s="290"/>
      <c r="AT33" s="290"/>
      <c r="AU33" s="291"/>
      <c r="AV33" s="1"/>
      <c r="AW33" s="289" t="s">
        <v>287</v>
      </c>
      <c r="AX33" s="290"/>
      <c r="AY33" s="290"/>
      <c r="AZ33" s="291"/>
      <c r="BA33" s="1"/>
      <c r="BB33" s="289" t="s">
        <v>287</v>
      </c>
      <c r="BC33" s="290"/>
      <c r="BD33" s="290"/>
      <c r="BE33" s="291"/>
      <c r="BF33" s="1"/>
      <c r="BG33" s="1"/>
      <c r="BH33" s="1"/>
      <c r="BI33" s="1"/>
      <c r="BJ33" s="1"/>
      <c r="BK33" s="1"/>
      <c r="BL33" s="1"/>
      <c r="BM33" s="1"/>
      <c r="BN33" s="1"/>
      <c r="BO33" s="1"/>
      <c r="BP33" s="1"/>
      <c r="BQ33" s="1"/>
      <c r="BR33" s="1"/>
      <c r="BS33" s="1"/>
    </row>
    <row r="34" ht="15.75" customHeight="1">
      <c r="A34" s="55">
        <f t="shared" si="1"/>
        <v>34</v>
      </c>
      <c r="B34" s="113" t="s">
        <v>288</v>
      </c>
      <c r="C34" s="113"/>
      <c r="D34" s="335"/>
      <c r="E34" s="336"/>
      <c r="F34" s="336"/>
      <c r="G34" s="337">
        <v>81.31</v>
      </c>
      <c r="H34" s="1"/>
      <c r="I34" s="335"/>
      <c r="J34" s="336"/>
      <c r="K34" s="336"/>
      <c r="L34" s="337">
        <v>109.65</v>
      </c>
      <c r="M34" s="1"/>
      <c r="N34" s="335"/>
      <c r="O34" s="336"/>
      <c r="P34" s="336"/>
      <c r="Q34" s="337">
        <v>110.72</v>
      </c>
      <c r="R34" s="1"/>
      <c r="S34" s="335"/>
      <c r="T34" s="336"/>
      <c r="U34" s="336"/>
      <c r="V34" s="337">
        <v>94100.0</v>
      </c>
      <c r="W34" s="1"/>
      <c r="X34" s="335"/>
      <c r="Y34" s="336"/>
      <c r="Z34" s="336"/>
      <c r="AA34" s="337">
        <v>5200.0</v>
      </c>
      <c r="AB34" s="1"/>
      <c r="AC34" s="335"/>
      <c r="AD34" s="336"/>
      <c r="AE34" s="336"/>
      <c r="AF34" s="337">
        <v>40650.0</v>
      </c>
      <c r="AG34" s="1"/>
      <c r="AH34" s="335"/>
      <c r="AI34" s="336"/>
      <c r="AJ34" s="336"/>
      <c r="AK34" s="337">
        <v>310.5</v>
      </c>
      <c r="AL34" s="1"/>
      <c r="AM34" s="335"/>
      <c r="AN34" s="336"/>
      <c r="AO34" s="336"/>
      <c r="AP34" s="337">
        <v>6023.0</v>
      </c>
      <c r="AQ34" s="1"/>
      <c r="AR34" s="335"/>
      <c r="AS34" s="336"/>
      <c r="AT34" s="336"/>
      <c r="AU34" s="337">
        <v>1630.0</v>
      </c>
      <c r="AV34" s="1"/>
      <c r="AW34" s="335"/>
      <c r="AX34" s="336"/>
      <c r="AY34" s="336"/>
      <c r="AZ34" s="337">
        <v>648000.0</v>
      </c>
      <c r="BA34" s="1"/>
      <c r="BB34" s="335"/>
      <c r="BC34" s="336"/>
      <c r="BD34" s="336"/>
      <c r="BE34" s="338">
        <f>Share_Price</f>
        <v>60.78</v>
      </c>
      <c r="BF34" s="1"/>
      <c r="BG34" s="1"/>
      <c r="BH34" s="1"/>
      <c r="BI34" s="1"/>
      <c r="BJ34" s="1"/>
      <c r="BK34" s="1"/>
      <c r="BL34" s="1"/>
      <c r="BM34" s="1"/>
      <c r="BN34" s="1"/>
      <c r="BO34" s="1"/>
      <c r="BP34" s="1"/>
      <c r="BQ34" s="1"/>
      <c r="BR34" s="1"/>
      <c r="BS34" s="1"/>
    </row>
    <row r="35" ht="15.75" customHeight="1">
      <c r="A35" s="55">
        <f t="shared" si="1"/>
        <v>35</v>
      </c>
      <c r="B35" s="113" t="s">
        <v>289</v>
      </c>
      <c r="C35" s="113"/>
      <c r="D35" s="296"/>
      <c r="E35" s="298"/>
      <c r="F35" s="298"/>
      <c r="G35" s="339"/>
      <c r="H35" s="1"/>
      <c r="I35" s="296"/>
      <c r="J35" s="298"/>
      <c r="K35" s="298"/>
      <c r="L35" s="339">
        <v>289.67</v>
      </c>
      <c r="M35" s="1"/>
      <c r="N35" s="296"/>
      <c r="O35" s="298"/>
      <c r="P35" s="298"/>
      <c r="Q35" s="339">
        <v>113.42</v>
      </c>
      <c r="R35" s="1"/>
      <c r="S35" s="296"/>
      <c r="T35" s="298"/>
      <c r="U35" s="298"/>
      <c r="V35" s="339">
        <v>81.79</v>
      </c>
      <c r="W35" s="1"/>
      <c r="X35" s="296"/>
      <c r="Y35" s="298"/>
      <c r="Z35" s="298"/>
      <c r="AA35" s="339">
        <v>119.288</v>
      </c>
      <c r="AB35" s="1"/>
      <c r="AC35" s="296"/>
      <c r="AD35" s="298"/>
      <c r="AE35" s="298"/>
      <c r="AF35" s="339">
        <v>119.123759</v>
      </c>
      <c r="AG35" s="1"/>
      <c r="AH35" s="296"/>
      <c r="AI35" s="298"/>
      <c r="AJ35" s="298"/>
      <c r="AK35" s="339">
        <v>96.12</v>
      </c>
      <c r="AL35" s="1"/>
      <c r="AM35" s="296"/>
      <c r="AN35" s="298"/>
      <c r="AO35" s="298"/>
      <c r="AP35" s="339">
        <v>219.68</v>
      </c>
      <c r="AQ35" s="1"/>
      <c r="AR35" s="296"/>
      <c r="AS35" s="298"/>
      <c r="AT35" s="298"/>
      <c r="AU35" s="339">
        <f>880.56</f>
        <v>880.56</v>
      </c>
      <c r="AV35" s="1"/>
      <c r="AW35" s="296"/>
      <c r="AX35" s="298"/>
      <c r="AY35" s="298"/>
      <c r="AZ35" s="339">
        <v>20.61</v>
      </c>
      <c r="BA35" s="1"/>
      <c r="BB35" s="296"/>
      <c r="BC35" s="298"/>
      <c r="BD35" s="298"/>
      <c r="BE35" s="339">
        <v>767.0</v>
      </c>
      <c r="BF35" s="1"/>
      <c r="BG35" s="1"/>
      <c r="BH35" s="1"/>
      <c r="BI35" s="1"/>
      <c r="BJ35" s="1"/>
      <c r="BK35" s="1"/>
      <c r="BL35" s="1"/>
      <c r="BM35" s="1"/>
      <c r="BN35" s="1"/>
      <c r="BO35" s="1"/>
      <c r="BP35" s="1"/>
      <c r="BQ35" s="1"/>
      <c r="BR35" s="1"/>
      <c r="BS35" s="1"/>
    </row>
    <row r="36" ht="15.75" customHeight="1">
      <c r="A36" s="55">
        <f t="shared" si="1"/>
        <v>36</v>
      </c>
      <c r="B36" s="113" t="s">
        <v>290</v>
      </c>
      <c r="C36" s="113"/>
      <c r="D36" s="340"/>
      <c r="E36" s="341"/>
      <c r="F36" s="341"/>
      <c r="G36" s="342"/>
      <c r="H36" s="1"/>
      <c r="I36" s="340"/>
      <c r="J36" s="341"/>
      <c r="K36" s="341"/>
      <c r="L36" s="342"/>
      <c r="M36" s="1"/>
      <c r="N36" s="340"/>
      <c r="O36" s="341"/>
      <c r="P36" s="341"/>
      <c r="Q36" s="342"/>
      <c r="R36" s="1"/>
      <c r="S36" s="340"/>
      <c r="T36" s="341"/>
      <c r="U36" s="341"/>
      <c r="V36" s="342"/>
      <c r="W36" s="1"/>
      <c r="X36" s="340"/>
      <c r="Y36" s="341"/>
      <c r="Z36" s="341"/>
      <c r="AA36" s="342"/>
      <c r="AB36" s="1"/>
      <c r="AC36" s="340"/>
      <c r="AD36" s="341"/>
      <c r="AE36" s="341"/>
      <c r="AF36" s="342"/>
      <c r="AG36" s="1"/>
      <c r="AH36" s="340"/>
      <c r="AI36" s="341"/>
      <c r="AJ36" s="341"/>
      <c r="AK36" s="342"/>
      <c r="AL36" s="1"/>
      <c r="AM36" s="340"/>
      <c r="AN36" s="341"/>
      <c r="AO36" s="341"/>
      <c r="AP36" s="342"/>
      <c r="AQ36" s="1"/>
      <c r="AR36" s="340"/>
      <c r="AS36" s="341"/>
      <c r="AT36" s="341"/>
      <c r="AU36" s="342"/>
      <c r="AV36" s="1"/>
      <c r="AW36" s="340"/>
      <c r="AX36" s="341"/>
      <c r="AY36" s="341"/>
      <c r="AZ36" s="342"/>
      <c r="BA36" s="1"/>
      <c r="BB36" s="340"/>
      <c r="BC36" s="341"/>
      <c r="BD36" s="341"/>
      <c r="BE36" s="342"/>
      <c r="BF36" s="1"/>
      <c r="BG36" s="4"/>
      <c r="BH36" s="1"/>
      <c r="BI36" s="1"/>
      <c r="BJ36" s="1"/>
      <c r="BK36" s="1"/>
      <c r="BL36" s="1"/>
      <c r="BM36" s="1"/>
      <c r="BN36" s="1"/>
      <c r="BO36" s="1"/>
      <c r="BP36" s="1"/>
      <c r="BQ36" s="1"/>
      <c r="BR36" s="1"/>
      <c r="BS36" s="1"/>
    </row>
    <row r="37" ht="15.75" customHeight="1">
      <c r="A37" s="55">
        <f t="shared" si="1"/>
        <v>37</v>
      </c>
      <c r="B37" s="1"/>
      <c r="C37" s="1"/>
      <c r="D37" s="340"/>
      <c r="E37" s="343" t="s">
        <v>291</v>
      </c>
      <c r="F37" s="344" t="s">
        <v>292</v>
      </c>
      <c r="G37" s="345" t="s">
        <v>293</v>
      </c>
      <c r="H37" s="1"/>
      <c r="I37" s="340"/>
      <c r="J37" s="343" t="s">
        <v>291</v>
      </c>
      <c r="K37" s="344" t="s">
        <v>292</v>
      </c>
      <c r="L37" s="345" t="s">
        <v>293</v>
      </c>
      <c r="M37" s="1"/>
      <c r="N37" s="340"/>
      <c r="O37" s="343" t="s">
        <v>291</v>
      </c>
      <c r="P37" s="344" t="s">
        <v>292</v>
      </c>
      <c r="Q37" s="345" t="s">
        <v>293</v>
      </c>
      <c r="R37" s="1"/>
      <c r="S37" s="340"/>
      <c r="T37" s="343" t="s">
        <v>291</v>
      </c>
      <c r="U37" s="344" t="s">
        <v>292</v>
      </c>
      <c r="V37" s="345" t="s">
        <v>293</v>
      </c>
      <c r="W37" s="1"/>
      <c r="X37" s="340"/>
      <c r="Y37" s="343" t="s">
        <v>291</v>
      </c>
      <c r="Z37" s="344" t="s">
        <v>292</v>
      </c>
      <c r="AA37" s="345" t="s">
        <v>293</v>
      </c>
      <c r="AB37" s="1"/>
      <c r="AC37" s="340"/>
      <c r="AD37" s="343" t="s">
        <v>291</v>
      </c>
      <c r="AE37" s="344" t="s">
        <v>292</v>
      </c>
      <c r="AF37" s="345" t="s">
        <v>293</v>
      </c>
      <c r="AG37" s="1"/>
      <c r="AH37" s="340"/>
      <c r="AI37" s="343" t="s">
        <v>291</v>
      </c>
      <c r="AJ37" s="344" t="s">
        <v>292</v>
      </c>
      <c r="AK37" s="345" t="s">
        <v>293</v>
      </c>
      <c r="AL37" s="1"/>
      <c r="AM37" s="340"/>
      <c r="AN37" s="343" t="s">
        <v>291</v>
      </c>
      <c r="AO37" s="344" t="s">
        <v>292</v>
      </c>
      <c r="AP37" s="345" t="s">
        <v>293</v>
      </c>
      <c r="AQ37" s="1"/>
      <c r="AR37" s="340"/>
      <c r="AS37" s="343" t="s">
        <v>291</v>
      </c>
      <c r="AT37" s="344" t="s">
        <v>292</v>
      </c>
      <c r="AU37" s="345" t="s">
        <v>293</v>
      </c>
      <c r="AV37" s="1"/>
      <c r="AW37" s="340"/>
      <c r="AX37" s="343" t="s">
        <v>291</v>
      </c>
      <c r="AY37" s="344" t="s">
        <v>292</v>
      </c>
      <c r="AZ37" s="345" t="s">
        <v>293</v>
      </c>
      <c r="BA37" s="1"/>
      <c r="BB37" s="340"/>
      <c r="BC37" s="343" t="s">
        <v>291</v>
      </c>
      <c r="BD37" s="344" t="s">
        <v>292</v>
      </c>
      <c r="BE37" s="345" t="s">
        <v>293</v>
      </c>
      <c r="BF37" s="1"/>
      <c r="BG37" s="1"/>
      <c r="BH37" s="1"/>
      <c r="BI37" s="1"/>
      <c r="BJ37" s="1"/>
      <c r="BK37" s="1"/>
      <c r="BL37" s="1"/>
      <c r="BM37" s="1"/>
      <c r="BN37" s="1"/>
      <c r="BO37" s="1"/>
      <c r="BP37" s="1"/>
      <c r="BQ37" s="1"/>
      <c r="BR37" s="1"/>
      <c r="BS37" s="1"/>
    </row>
    <row r="38" ht="15.75" customHeight="1">
      <c r="A38" s="55">
        <f t="shared" si="1"/>
        <v>38</v>
      </c>
      <c r="B38" s="1"/>
      <c r="C38" s="1"/>
      <c r="D38" s="340"/>
      <c r="E38" s="346"/>
      <c r="F38" s="347"/>
      <c r="G38" s="348">
        <f t="shared" ref="G38:G46" si="27">IF(F38&lt;G$34,E38-((E38*F38)/G$34),0)</f>
        <v>0</v>
      </c>
      <c r="H38" s="1"/>
      <c r="I38" s="340"/>
      <c r="J38" s="346"/>
      <c r="K38" s="347"/>
      <c r="L38" s="348">
        <f t="shared" ref="L38:L46" si="28">IF(K38&lt;L$34,J38-((J38*K38)/L$34),0)</f>
        <v>0</v>
      </c>
      <c r="M38" s="1"/>
      <c r="N38" s="340"/>
      <c r="O38" s="346"/>
      <c r="P38" s="347"/>
      <c r="Q38" s="348">
        <f t="shared" ref="Q38:Q46" si="29">IF(P38&lt;Q$34,O38-((O38*P38)/Q$34),0)</f>
        <v>0</v>
      </c>
      <c r="R38" s="1"/>
      <c r="S38" s="340"/>
      <c r="T38" s="346"/>
      <c r="U38" s="347"/>
      <c r="V38" s="348">
        <f t="shared" ref="V38:V46" si="30">IF(U38&lt;V$34,T38-((T38*U38)/V$34),0)</f>
        <v>0</v>
      </c>
      <c r="W38" s="1"/>
      <c r="X38" s="340"/>
      <c r="Y38" s="346"/>
      <c r="Z38" s="347"/>
      <c r="AA38" s="348">
        <f t="shared" ref="AA38:AA46" si="31">IF(Z38&lt;AA$34,Y38-((Y38*Z38)/AA$34),0)</f>
        <v>0</v>
      </c>
      <c r="AB38" s="1"/>
      <c r="AC38" s="340"/>
      <c r="AD38" s="346"/>
      <c r="AE38" s="347"/>
      <c r="AF38" s="348">
        <f t="shared" ref="AF38:AF46" si="32">IF(AE38&lt;AF$34,AD38-((AD38*AE38)/AF$34),0)</f>
        <v>0</v>
      </c>
      <c r="AG38" s="1"/>
      <c r="AH38" s="340"/>
      <c r="AI38" s="346"/>
      <c r="AJ38" s="347"/>
      <c r="AK38" s="348">
        <f t="shared" ref="AK38:AK46" si="33">IF(AJ38&lt;AK$34,AI38-((AI38*AJ38)/AK$34),0)</f>
        <v>0</v>
      </c>
      <c r="AL38" s="1"/>
      <c r="AM38" s="340"/>
      <c r="AN38" s="346"/>
      <c r="AO38" s="347"/>
      <c r="AP38" s="348">
        <f t="shared" ref="AP38:AP46" si="34">IF(AO38&lt;AP$34,AN38-((AN38*AO38)/AP$34),0)</f>
        <v>0</v>
      </c>
      <c r="AQ38" s="1"/>
      <c r="AR38" s="340"/>
      <c r="AS38" s="346"/>
      <c r="AT38" s="347"/>
      <c r="AU38" s="348">
        <f t="shared" ref="AU38:AU46" si="35">IF(AT38&lt;AU$34,AS38-((AS38*AT38)/AU$34),0)</f>
        <v>0</v>
      </c>
      <c r="AV38" s="1"/>
      <c r="AW38" s="340"/>
      <c r="AX38" s="346"/>
      <c r="AY38" s="347"/>
      <c r="AZ38" s="348">
        <f t="shared" ref="AZ38:AZ46" si="36">IF(AY38&lt;AZ$34,AX38-((AX38*AY38)/AZ$34),0)</f>
        <v>0</v>
      </c>
      <c r="BA38" s="1"/>
      <c r="BB38" s="340"/>
      <c r="BC38" s="346"/>
      <c r="BD38" s="347"/>
      <c r="BE38" s="348">
        <f t="shared" ref="BE38:BE46" si="37">IF(BD38&lt;BE$34,BC38-((BC38*BD38)/BE$34),0)</f>
        <v>0</v>
      </c>
      <c r="BF38" s="1"/>
      <c r="BG38" s="1"/>
      <c r="BH38" s="1"/>
      <c r="BI38" s="1"/>
      <c r="BJ38" s="1"/>
      <c r="BK38" s="1"/>
      <c r="BL38" s="1"/>
      <c r="BM38" s="1"/>
      <c r="BN38" s="1"/>
      <c r="BO38" s="1"/>
      <c r="BP38" s="1"/>
      <c r="BQ38" s="1"/>
      <c r="BR38" s="1"/>
      <c r="BS38" s="1"/>
    </row>
    <row r="39" ht="15.75" customHeight="1">
      <c r="A39" s="55">
        <f t="shared" si="1"/>
        <v>39</v>
      </c>
      <c r="B39" s="1"/>
      <c r="C39" s="1"/>
      <c r="D39" s="340"/>
      <c r="E39" s="346"/>
      <c r="F39" s="347"/>
      <c r="G39" s="348">
        <f t="shared" si="27"/>
        <v>0</v>
      </c>
      <c r="H39" s="1"/>
      <c r="I39" s="340"/>
      <c r="J39" s="346"/>
      <c r="K39" s="347"/>
      <c r="L39" s="348">
        <f t="shared" si="28"/>
        <v>0</v>
      </c>
      <c r="M39" s="1"/>
      <c r="N39" s="340"/>
      <c r="O39" s="346"/>
      <c r="P39" s="347"/>
      <c r="Q39" s="348">
        <f t="shared" si="29"/>
        <v>0</v>
      </c>
      <c r="R39" s="1"/>
      <c r="S39" s="340"/>
      <c r="T39" s="346"/>
      <c r="U39" s="347"/>
      <c r="V39" s="348">
        <f t="shared" si="30"/>
        <v>0</v>
      </c>
      <c r="W39" s="1"/>
      <c r="X39" s="340"/>
      <c r="Y39" s="346"/>
      <c r="Z39" s="347"/>
      <c r="AA39" s="348">
        <f t="shared" si="31"/>
        <v>0</v>
      </c>
      <c r="AB39" s="1"/>
      <c r="AC39" s="340"/>
      <c r="AD39" s="346"/>
      <c r="AE39" s="347"/>
      <c r="AF39" s="348">
        <f t="shared" si="32"/>
        <v>0</v>
      </c>
      <c r="AG39" s="1"/>
      <c r="AH39" s="340"/>
      <c r="AI39" s="346"/>
      <c r="AJ39" s="347"/>
      <c r="AK39" s="348">
        <f t="shared" si="33"/>
        <v>0</v>
      </c>
      <c r="AL39" s="1"/>
      <c r="AM39" s="340"/>
      <c r="AN39" s="346"/>
      <c r="AO39" s="347"/>
      <c r="AP39" s="348">
        <f t="shared" si="34"/>
        <v>0</v>
      </c>
      <c r="AQ39" s="1"/>
      <c r="AR39" s="340"/>
      <c r="AS39" s="346"/>
      <c r="AT39" s="347"/>
      <c r="AU39" s="348">
        <f t="shared" si="35"/>
        <v>0</v>
      </c>
      <c r="AV39" s="1"/>
      <c r="AW39" s="340"/>
      <c r="AX39" s="346"/>
      <c r="AY39" s="347"/>
      <c r="AZ39" s="348">
        <f t="shared" si="36"/>
        <v>0</v>
      </c>
      <c r="BA39" s="1"/>
      <c r="BB39" s="340"/>
      <c r="BC39" s="346"/>
      <c r="BD39" s="347"/>
      <c r="BE39" s="348">
        <f t="shared" si="37"/>
        <v>0</v>
      </c>
      <c r="BF39" s="1"/>
      <c r="BG39" s="4"/>
      <c r="BH39" s="1"/>
      <c r="BI39" s="1"/>
      <c r="BJ39" s="1"/>
      <c r="BK39" s="1"/>
      <c r="BL39" s="1"/>
      <c r="BM39" s="1"/>
      <c r="BN39" s="1"/>
      <c r="BO39" s="1"/>
      <c r="BP39" s="1"/>
      <c r="BQ39" s="1"/>
      <c r="BR39" s="1"/>
      <c r="BS39" s="1"/>
    </row>
    <row r="40" ht="15.75" customHeight="1">
      <c r="A40" s="55">
        <f t="shared" si="1"/>
        <v>40</v>
      </c>
      <c r="B40" s="1"/>
      <c r="C40" s="1"/>
      <c r="D40" s="340"/>
      <c r="E40" s="346"/>
      <c r="F40" s="347"/>
      <c r="G40" s="348">
        <f t="shared" si="27"/>
        <v>0</v>
      </c>
      <c r="H40" s="1"/>
      <c r="I40" s="340"/>
      <c r="J40" s="346"/>
      <c r="K40" s="347"/>
      <c r="L40" s="348">
        <f t="shared" si="28"/>
        <v>0</v>
      </c>
      <c r="M40" s="1"/>
      <c r="N40" s="340"/>
      <c r="O40" s="346"/>
      <c r="P40" s="347"/>
      <c r="Q40" s="348">
        <f t="shared" si="29"/>
        <v>0</v>
      </c>
      <c r="R40" s="1"/>
      <c r="S40" s="340"/>
      <c r="T40" s="346"/>
      <c r="U40" s="347"/>
      <c r="V40" s="348">
        <f t="shared" si="30"/>
        <v>0</v>
      </c>
      <c r="W40" s="1"/>
      <c r="X40" s="340"/>
      <c r="Y40" s="346"/>
      <c r="Z40" s="347"/>
      <c r="AA40" s="348">
        <f t="shared" si="31"/>
        <v>0</v>
      </c>
      <c r="AB40" s="1"/>
      <c r="AC40" s="340"/>
      <c r="AD40" s="346"/>
      <c r="AE40" s="347"/>
      <c r="AF40" s="348">
        <f t="shared" si="32"/>
        <v>0</v>
      </c>
      <c r="AG40" s="1"/>
      <c r="AH40" s="340"/>
      <c r="AI40" s="346"/>
      <c r="AJ40" s="347"/>
      <c r="AK40" s="348">
        <f t="shared" si="33"/>
        <v>0</v>
      </c>
      <c r="AL40" s="1"/>
      <c r="AM40" s="340"/>
      <c r="AN40" s="346"/>
      <c r="AO40" s="347"/>
      <c r="AP40" s="348">
        <f t="shared" si="34"/>
        <v>0</v>
      </c>
      <c r="AQ40" s="1"/>
      <c r="AR40" s="340"/>
      <c r="AS40" s="346"/>
      <c r="AT40" s="347"/>
      <c r="AU40" s="348">
        <f t="shared" si="35"/>
        <v>0</v>
      </c>
      <c r="AV40" s="1"/>
      <c r="AW40" s="340"/>
      <c r="AX40" s="346"/>
      <c r="AY40" s="347"/>
      <c r="AZ40" s="348">
        <f t="shared" si="36"/>
        <v>0</v>
      </c>
      <c r="BA40" s="1"/>
      <c r="BB40" s="340"/>
      <c r="BC40" s="346"/>
      <c r="BD40" s="347"/>
      <c r="BE40" s="348">
        <f t="shared" si="37"/>
        <v>0</v>
      </c>
      <c r="BF40" s="1"/>
      <c r="BG40" s="1"/>
      <c r="BH40" s="1"/>
      <c r="BI40" s="1"/>
      <c r="BJ40" s="1"/>
      <c r="BK40" s="1"/>
      <c r="BL40" s="1"/>
      <c r="BM40" s="1"/>
      <c r="BN40" s="1"/>
      <c r="BO40" s="1"/>
      <c r="BP40" s="1"/>
      <c r="BQ40" s="1"/>
      <c r="BR40" s="1"/>
      <c r="BS40" s="1"/>
    </row>
    <row r="41" ht="15.75" customHeight="1">
      <c r="A41" s="55">
        <f t="shared" si="1"/>
        <v>41</v>
      </c>
      <c r="B41" s="1"/>
      <c r="C41" s="1"/>
      <c r="D41" s="340"/>
      <c r="E41" s="346"/>
      <c r="F41" s="347"/>
      <c r="G41" s="348">
        <f t="shared" si="27"/>
        <v>0</v>
      </c>
      <c r="H41" s="1"/>
      <c r="I41" s="340"/>
      <c r="J41" s="346"/>
      <c r="K41" s="347"/>
      <c r="L41" s="348">
        <f t="shared" si="28"/>
        <v>0</v>
      </c>
      <c r="M41" s="1"/>
      <c r="N41" s="340"/>
      <c r="O41" s="346"/>
      <c r="P41" s="347"/>
      <c r="Q41" s="348">
        <f t="shared" si="29"/>
        <v>0</v>
      </c>
      <c r="R41" s="1"/>
      <c r="S41" s="340"/>
      <c r="T41" s="346"/>
      <c r="U41" s="347"/>
      <c r="V41" s="348">
        <f t="shared" si="30"/>
        <v>0</v>
      </c>
      <c r="W41" s="1"/>
      <c r="X41" s="340"/>
      <c r="Y41" s="346"/>
      <c r="Z41" s="347"/>
      <c r="AA41" s="348">
        <f t="shared" si="31"/>
        <v>0</v>
      </c>
      <c r="AB41" s="1"/>
      <c r="AC41" s="340"/>
      <c r="AD41" s="346"/>
      <c r="AE41" s="347"/>
      <c r="AF41" s="348">
        <f t="shared" si="32"/>
        <v>0</v>
      </c>
      <c r="AG41" s="1"/>
      <c r="AH41" s="340"/>
      <c r="AI41" s="346"/>
      <c r="AJ41" s="347"/>
      <c r="AK41" s="348">
        <f t="shared" si="33"/>
        <v>0</v>
      </c>
      <c r="AL41" s="1"/>
      <c r="AM41" s="340"/>
      <c r="AN41" s="346"/>
      <c r="AO41" s="347"/>
      <c r="AP41" s="348">
        <f t="shared" si="34"/>
        <v>0</v>
      </c>
      <c r="AQ41" s="1"/>
      <c r="AR41" s="340"/>
      <c r="AS41" s="346"/>
      <c r="AT41" s="347"/>
      <c r="AU41" s="348">
        <f t="shared" si="35"/>
        <v>0</v>
      </c>
      <c r="AV41" s="1"/>
      <c r="AW41" s="340"/>
      <c r="AX41" s="346"/>
      <c r="AY41" s="347"/>
      <c r="AZ41" s="348">
        <f t="shared" si="36"/>
        <v>0</v>
      </c>
      <c r="BA41" s="1"/>
      <c r="BB41" s="340"/>
      <c r="BC41" s="346"/>
      <c r="BD41" s="347"/>
      <c r="BE41" s="348">
        <f t="shared" si="37"/>
        <v>0</v>
      </c>
      <c r="BF41" s="1"/>
      <c r="BG41" s="1"/>
      <c r="BH41" s="1"/>
      <c r="BI41" s="1"/>
      <c r="BJ41" s="1"/>
      <c r="BK41" s="1"/>
      <c r="BL41" s="1"/>
      <c r="BM41" s="1"/>
      <c r="BN41" s="1"/>
      <c r="BO41" s="1"/>
      <c r="BP41" s="1"/>
      <c r="BQ41" s="1"/>
      <c r="BR41" s="1"/>
      <c r="BS41" s="1"/>
    </row>
    <row r="42" ht="15.75" customHeight="1">
      <c r="A42" s="55">
        <f t="shared" si="1"/>
        <v>42</v>
      </c>
      <c r="B42" s="1"/>
      <c r="C42" s="1"/>
      <c r="D42" s="340"/>
      <c r="E42" s="346"/>
      <c r="F42" s="347"/>
      <c r="G42" s="348">
        <f t="shared" si="27"/>
        <v>0</v>
      </c>
      <c r="H42" s="1"/>
      <c r="I42" s="340"/>
      <c r="J42" s="346"/>
      <c r="K42" s="347"/>
      <c r="L42" s="348">
        <f t="shared" si="28"/>
        <v>0</v>
      </c>
      <c r="M42" s="1"/>
      <c r="N42" s="340"/>
      <c r="O42" s="346"/>
      <c r="P42" s="347"/>
      <c r="Q42" s="348">
        <f t="shared" si="29"/>
        <v>0</v>
      </c>
      <c r="R42" s="1"/>
      <c r="S42" s="340"/>
      <c r="T42" s="346"/>
      <c r="U42" s="347"/>
      <c r="V42" s="348">
        <f t="shared" si="30"/>
        <v>0</v>
      </c>
      <c r="W42" s="1"/>
      <c r="X42" s="340"/>
      <c r="Y42" s="346"/>
      <c r="Z42" s="347"/>
      <c r="AA42" s="348">
        <f t="shared" si="31"/>
        <v>0</v>
      </c>
      <c r="AB42" s="1"/>
      <c r="AC42" s="340"/>
      <c r="AD42" s="346"/>
      <c r="AE42" s="347"/>
      <c r="AF42" s="348">
        <f t="shared" si="32"/>
        <v>0</v>
      </c>
      <c r="AG42" s="1"/>
      <c r="AH42" s="340"/>
      <c r="AI42" s="346"/>
      <c r="AJ42" s="347"/>
      <c r="AK42" s="348">
        <f t="shared" si="33"/>
        <v>0</v>
      </c>
      <c r="AL42" s="1"/>
      <c r="AM42" s="340"/>
      <c r="AN42" s="346"/>
      <c r="AO42" s="347"/>
      <c r="AP42" s="348">
        <f t="shared" si="34"/>
        <v>0</v>
      </c>
      <c r="AQ42" s="1"/>
      <c r="AR42" s="340"/>
      <c r="AS42" s="346"/>
      <c r="AT42" s="347"/>
      <c r="AU42" s="348">
        <f t="shared" si="35"/>
        <v>0</v>
      </c>
      <c r="AV42" s="1"/>
      <c r="AW42" s="340"/>
      <c r="AX42" s="346"/>
      <c r="AY42" s="347"/>
      <c r="AZ42" s="348">
        <f t="shared" si="36"/>
        <v>0</v>
      </c>
      <c r="BA42" s="1"/>
      <c r="BB42" s="340"/>
      <c r="BC42" s="346"/>
      <c r="BD42" s="347"/>
      <c r="BE42" s="348">
        <f t="shared" si="37"/>
        <v>0</v>
      </c>
      <c r="BF42" s="1"/>
      <c r="BG42" s="1"/>
      <c r="BH42" s="1"/>
      <c r="BI42" s="1"/>
      <c r="BJ42" s="1"/>
      <c r="BK42" s="1"/>
      <c r="BL42" s="1"/>
      <c r="BM42" s="1"/>
      <c r="BN42" s="1"/>
      <c r="BO42" s="1"/>
      <c r="BP42" s="1"/>
      <c r="BQ42" s="1"/>
      <c r="BR42" s="1"/>
      <c r="BS42" s="1"/>
    </row>
    <row r="43" ht="15.75" customHeight="1">
      <c r="A43" s="55">
        <f t="shared" si="1"/>
        <v>43</v>
      </c>
      <c r="B43" s="1"/>
      <c r="C43" s="1"/>
      <c r="D43" s="340"/>
      <c r="E43" s="346"/>
      <c r="F43" s="347"/>
      <c r="G43" s="348">
        <f t="shared" si="27"/>
        <v>0</v>
      </c>
      <c r="H43" s="1"/>
      <c r="I43" s="340"/>
      <c r="J43" s="346"/>
      <c r="K43" s="347"/>
      <c r="L43" s="348">
        <f t="shared" si="28"/>
        <v>0</v>
      </c>
      <c r="M43" s="1"/>
      <c r="N43" s="340"/>
      <c r="O43" s="346"/>
      <c r="P43" s="347"/>
      <c r="Q43" s="348">
        <f t="shared" si="29"/>
        <v>0</v>
      </c>
      <c r="R43" s="1"/>
      <c r="S43" s="340"/>
      <c r="T43" s="346"/>
      <c r="U43" s="347"/>
      <c r="V43" s="348">
        <f t="shared" si="30"/>
        <v>0</v>
      </c>
      <c r="W43" s="1"/>
      <c r="X43" s="340"/>
      <c r="Y43" s="346"/>
      <c r="Z43" s="347"/>
      <c r="AA43" s="348">
        <f t="shared" si="31"/>
        <v>0</v>
      </c>
      <c r="AB43" s="1"/>
      <c r="AC43" s="340"/>
      <c r="AD43" s="346"/>
      <c r="AE43" s="347"/>
      <c r="AF43" s="348">
        <f t="shared" si="32"/>
        <v>0</v>
      </c>
      <c r="AG43" s="1"/>
      <c r="AH43" s="340"/>
      <c r="AI43" s="346"/>
      <c r="AJ43" s="347"/>
      <c r="AK43" s="348">
        <f t="shared" si="33"/>
        <v>0</v>
      </c>
      <c r="AL43" s="1"/>
      <c r="AM43" s="340"/>
      <c r="AN43" s="346"/>
      <c r="AO43" s="347"/>
      <c r="AP43" s="348">
        <f t="shared" si="34"/>
        <v>0</v>
      </c>
      <c r="AQ43" s="1"/>
      <c r="AR43" s="340"/>
      <c r="AS43" s="346"/>
      <c r="AT43" s="347"/>
      <c r="AU43" s="348">
        <f t="shared" si="35"/>
        <v>0</v>
      </c>
      <c r="AV43" s="1"/>
      <c r="AW43" s="340"/>
      <c r="AX43" s="346"/>
      <c r="AY43" s="347"/>
      <c r="AZ43" s="348">
        <f t="shared" si="36"/>
        <v>0</v>
      </c>
      <c r="BA43" s="1"/>
      <c r="BB43" s="340"/>
      <c r="BC43" s="346"/>
      <c r="BD43" s="347"/>
      <c r="BE43" s="348">
        <f t="shared" si="37"/>
        <v>0</v>
      </c>
      <c r="BF43" s="1"/>
      <c r="BG43" s="1"/>
      <c r="BH43" s="1"/>
      <c r="BI43" s="1"/>
      <c r="BJ43" s="1"/>
      <c r="BK43" s="1"/>
      <c r="BL43" s="1"/>
      <c r="BM43" s="1"/>
      <c r="BN43" s="1"/>
      <c r="BO43" s="1"/>
      <c r="BP43" s="1"/>
      <c r="BQ43" s="1"/>
      <c r="BR43" s="1"/>
      <c r="BS43" s="1"/>
    </row>
    <row r="44" ht="15.75" customHeight="1">
      <c r="A44" s="55">
        <f t="shared" si="1"/>
        <v>44</v>
      </c>
      <c r="B44" s="1"/>
      <c r="C44" s="1"/>
      <c r="D44" s="340"/>
      <c r="E44" s="346"/>
      <c r="F44" s="347"/>
      <c r="G44" s="348">
        <f t="shared" si="27"/>
        <v>0</v>
      </c>
      <c r="H44" s="1"/>
      <c r="I44" s="340"/>
      <c r="J44" s="346"/>
      <c r="K44" s="347"/>
      <c r="L44" s="348">
        <f t="shared" si="28"/>
        <v>0</v>
      </c>
      <c r="M44" s="1"/>
      <c r="N44" s="340"/>
      <c r="O44" s="346"/>
      <c r="P44" s="347"/>
      <c r="Q44" s="348">
        <f t="shared" si="29"/>
        <v>0</v>
      </c>
      <c r="R44" s="1"/>
      <c r="S44" s="340"/>
      <c r="T44" s="346"/>
      <c r="U44" s="347"/>
      <c r="V44" s="348">
        <f t="shared" si="30"/>
        <v>0</v>
      </c>
      <c r="W44" s="1"/>
      <c r="X44" s="340"/>
      <c r="Y44" s="346"/>
      <c r="Z44" s="347"/>
      <c r="AA44" s="348">
        <f t="shared" si="31"/>
        <v>0</v>
      </c>
      <c r="AB44" s="1"/>
      <c r="AC44" s="340"/>
      <c r="AD44" s="346"/>
      <c r="AE44" s="347"/>
      <c r="AF44" s="348">
        <f t="shared" si="32"/>
        <v>0</v>
      </c>
      <c r="AG44" s="1"/>
      <c r="AH44" s="340"/>
      <c r="AI44" s="346"/>
      <c r="AJ44" s="347"/>
      <c r="AK44" s="348">
        <f t="shared" si="33"/>
        <v>0</v>
      </c>
      <c r="AL44" s="1"/>
      <c r="AM44" s="340"/>
      <c r="AN44" s="346"/>
      <c r="AO44" s="347"/>
      <c r="AP44" s="348">
        <f t="shared" si="34"/>
        <v>0</v>
      </c>
      <c r="AQ44" s="1"/>
      <c r="AR44" s="340"/>
      <c r="AS44" s="346"/>
      <c r="AT44" s="347"/>
      <c r="AU44" s="348">
        <f t="shared" si="35"/>
        <v>0</v>
      </c>
      <c r="AV44" s="1"/>
      <c r="AW44" s="340"/>
      <c r="AX44" s="346"/>
      <c r="AY44" s="347"/>
      <c r="AZ44" s="348">
        <f t="shared" si="36"/>
        <v>0</v>
      </c>
      <c r="BA44" s="1"/>
      <c r="BB44" s="340"/>
      <c r="BC44" s="346"/>
      <c r="BD44" s="347"/>
      <c r="BE44" s="348">
        <f t="shared" si="37"/>
        <v>0</v>
      </c>
      <c r="BF44" s="1"/>
      <c r="BG44" s="1"/>
      <c r="BH44" s="1"/>
      <c r="BI44" s="1"/>
      <c r="BJ44" s="1"/>
      <c r="BK44" s="1"/>
      <c r="BL44" s="1"/>
      <c r="BM44" s="1"/>
      <c r="BN44" s="1"/>
      <c r="BO44" s="1"/>
      <c r="BP44" s="1"/>
      <c r="BQ44" s="1"/>
      <c r="BR44" s="1"/>
      <c r="BS44" s="1"/>
    </row>
    <row r="45" ht="15.75" customHeight="1">
      <c r="A45" s="55">
        <f t="shared" si="1"/>
        <v>45</v>
      </c>
      <c r="B45" s="1"/>
      <c r="C45" s="1"/>
      <c r="D45" s="340"/>
      <c r="E45" s="346"/>
      <c r="F45" s="347"/>
      <c r="G45" s="348">
        <f t="shared" si="27"/>
        <v>0</v>
      </c>
      <c r="H45" s="1"/>
      <c r="I45" s="340"/>
      <c r="J45" s="346"/>
      <c r="K45" s="347"/>
      <c r="L45" s="348">
        <f t="shared" si="28"/>
        <v>0</v>
      </c>
      <c r="M45" s="1"/>
      <c r="N45" s="340"/>
      <c r="O45" s="346"/>
      <c r="P45" s="347"/>
      <c r="Q45" s="348">
        <f t="shared" si="29"/>
        <v>0</v>
      </c>
      <c r="R45" s="1"/>
      <c r="S45" s="340"/>
      <c r="T45" s="346"/>
      <c r="U45" s="347"/>
      <c r="V45" s="348">
        <f t="shared" si="30"/>
        <v>0</v>
      </c>
      <c r="W45" s="1"/>
      <c r="X45" s="340"/>
      <c r="Y45" s="346"/>
      <c r="Z45" s="347"/>
      <c r="AA45" s="348">
        <f t="shared" si="31"/>
        <v>0</v>
      </c>
      <c r="AB45" s="1"/>
      <c r="AC45" s="340"/>
      <c r="AD45" s="346"/>
      <c r="AE45" s="347"/>
      <c r="AF45" s="348">
        <f t="shared" si="32"/>
        <v>0</v>
      </c>
      <c r="AG45" s="1"/>
      <c r="AH45" s="340"/>
      <c r="AI45" s="346"/>
      <c r="AJ45" s="347"/>
      <c r="AK45" s="348">
        <f t="shared" si="33"/>
        <v>0</v>
      </c>
      <c r="AL45" s="1"/>
      <c r="AM45" s="340"/>
      <c r="AN45" s="346"/>
      <c r="AO45" s="347"/>
      <c r="AP45" s="348">
        <f t="shared" si="34"/>
        <v>0</v>
      </c>
      <c r="AQ45" s="1"/>
      <c r="AR45" s="340"/>
      <c r="AS45" s="346"/>
      <c r="AT45" s="347"/>
      <c r="AU45" s="348">
        <f t="shared" si="35"/>
        <v>0</v>
      </c>
      <c r="AV45" s="1"/>
      <c r="AW45" s="340"/>
      <c r="AX45" s="346"/>
      <c r="AY45" s="347"/>
      <c r="AZ45" s="348">
        <f t="shared" si="36"/>
        <v>0</v>
      </c>
      <c r="BA45" s="1"/>
      <c r="BB45" s="340"/>
      <c r="BC45" s="346"/>
      <c r="BD45" s="347"/>
      <c r="BE45" s="348">
        <f t="shared" si="37"/>
        <v>0</v>
      </c>
      <c r="BF45" s="1"/>
      <c r="BG45" s="1"/>
      <c r="BH45" s="1"/>
      <c r="BI45" s="1"/>
      <c r="BJ45" s="1"/>
      <c r="BK45" s="1"/>
      <c r="BL45" s="1"/>
      <c r="BM45" s="1"/>
      <c r="BN45" s="1"/>
      <c r="BO45" s="1"/>
      <c r="BP45" s="1"/>
      <c r="BQ45" s="1"/>
      <c r="BR45" s="1"/>
      <c r="BS45" s="1"/>
    </row>
    <row r="46" ht="15.75" customHeight="1">
      <c r="A46" s="55">
        <f t="shared" si="1"/>
        <v>46</v>
      </c>
      <c r="B46" s="1"/>
      <c r="C46" s="1"/>
      <c r="D46" s="340"/>
      <c r="E46" s="346"/>
      <c r="F46" s="347"/>
      <c r="G46" s="348">
        <f t="shared" si="27"/>
        <v>0</v>
      </c>
      <c r="H46" s="162"/>
      <c r="I46" s="340"/>
      <c r="J46" s="346"/>
      <c r="K46" s="347"/>
      <c r="L46" s="348">
        <f t="shared" si="28"/>
        <v>0</v>
      </c>
      <c r="M46" s="1"/>
      <c r="N46" s="340"/>
      <c r="O46" s="346"/>
      <c r="P46" s="347"/>
      <c r="Q46" s="348">
        <f t="shared" si="29"/>
        <v>0</v>
      </c>
      <c r="R46" s="1"/>
      <c r="S46" s="340"/>
      <c r="T46" s="346"/>
      <c r="U46" s="347"/>
      <c r="V46" s="348">
        <f t="shared" si="30"/>
        <v>0</v>
      </c>
      <c r="W46" s="1"/>
      <c r="X46" s="340"/>
      <c r="Y46" s="346"/>
      <c r="Z46" s="347"/>
      <c r="AA46" s="348">
        <f t="shared" si="31"/>
        <v>0</v>
      </c>
      <c r="AB46" s="1"/>
      <c r="AC46" s="340"/>
      <c r="AD46" s="346"/>
      <c r="AE46" s="347"/>
      <c r="AF46" s="348">
        <f t="shared" si="32"/>
        <v>0</v>
      </c>
      <c r="AG46" s="1"/>
      <c r="AH46" s="340"/>
      <c r="AI46" s="346"/>
      <c r="AJ46" s="347"/>
      <c r="AK46" s="348">
        <f t="shared" si="33"/>
        <v>0</v>
      </c>
      <c r="AL46" s="1"/>
      <c r="AM46" s="340"/>
      <c r="AN46" s="346"/>
      <c r="AO46" s="347"/>
      <c r="AP46" s="348">
        <f t="shared" si="34"/>
        <v>0</v>
      </c>
      <c r="AQ46" s="1"/>
      <c r="AR46" s="340"/>
      <c r="AS46" s="346"/>
      <c r="AT46" s="347"/>
      <c r="AU46" s="348">
        <f t="shared" si="35"/>
        <v>0</v>
      </c>
      <c r="AV46" s="1"/>
      <c r="AW46" s="340"/>
      <c r="AX46" s="346"/>
      <c r="AY46" s="347"/>
      <c r="AZ46" s="348">
        <f t="shared" si="36"/>
        <v>0</v>
      </c>
      <c r="BA46" s="1"/>
      <c r="BB46" s="340"/>
      <c r="BC46" s="346"/>
      <c r="BD46" s="347"/>
      <c r="BE46" s="348">
        <f t="shared" si="37"/>
        <v>0</v>
      </c>
      <c r="BF46" s="1"/>
      <c r="BG46" s="4"/>
      <c r="BH46" s="1"/>
      <c r="BI46" s="1"/>
      <c r="BJ46" s="1"/>
      <c r="BK46" s="1"/>
      <c r="BL46" s="1"/>
      <c r="BM46" s="1"/>
      <c r="BN46" s="1"/>
      <c r="BO46" s="1"/>
      <c r="BP46" s="1"/>
      <c r="BQ46" s="1"/>
      <c r="BR46" s="1"/>
      <c r="BS46" s="1"/>
    </row>
    <row r="47" ht="15.75" customHeight="1">
      <c r="A47" s="55">
        <f t="shared" si="1"/>
        <v>47</v>
      </c>
      <c r="B47" s="1"/>
      <c r="C47" s="1"/>
      <c r="D47" s="340"/>
      <c r="E47" s="349"/>
      <c r="F47" s="350"/>
      <c r="G47" s="351"/>
      <c r="H47" s="1"/>
      <c r="I47" s="340"/>
      <c r="J47" s="349"/>
      <c r="K47" s="350"/>
      <c r="L47" s="351"/>
      <c r="M47" s="1"/>
      <c r="N47" s="340"/>
      <c r="O47" s="349"/>
      <c r="P47" s="350"/>
      <c r="Q47" s="351"/>
      <c r="R47" s="1"/>
      <c r="S47" s="340"/>
      <c r="T47" s="349"/>
      <c r="U47" s="350"/>
      <c r="V47" s="351"/>
      <c r="W47" s="1"/>
      <c r="X47" s="340"/>
      <c r="Y47" s="349"/>
      <c r="Z47" s="350"/>
      <c r="AA47" s="351"/>
      <c r="AB47" s="1"/>
      <c r="AC47" s="340"/>
      <c r="AD47" s="349"/>
      <c r="AE47" s="350"/>
      <c r="AF47" s="351"/>
      <c r="AG47" s="1"/>
      <c r="AH47" s="340"/>
      <c r="AI47" s="349"/>
      <c r="AJ47" s="350"/>
      <c r="AK47" s="351"/>
      <c r="AL47" s="1"/>
      <c r="AM47" s="340"/>
      <c r="AN47" s="349"/>
      <c r="AO47" s="350"/>
      <c r="AP47" s="351"/>
      <c r="AQ47" s="1"/>
      <c r="AR47" s="340"/>
      <c r="AS47" s="349"/>
      <c r="AT47" s="350"/>
      <c r="AU47" s="351"/>
      <c r="AV47" s="1"/>
      <c r="AW47" s="340"/>
      <c r="AX47" s="349"/>
      <c r="AY47" s="350"/>
      <c r="AZ47" s="351"/>
      <c r="BA47" s="1"/>
      <c r="BB47" s="340"/>
      <c r="BC47" s="349"/>
      <c r="BD47" s="350"/>
      <c r="BE47" s="351"/>
      <c r="BF47" s="1"/>
      <c r="BG47" s="1"/>
      <c r="BH47" s="1"/>
      <c r="BI47" s="1"/>
      <c r="BJ47" s="1"/>
      <c r="BK47" s="1"/>
      <c r="BL47" s="1"/>
      <c r="BM47" s="1"/>
      <c r="BN47" s="1"/>
      <c r="BO47" s="1"/>
      <c r="BP47" s="1"/>
      <c r="BQ47" s="1"/>
      <c r="BR47" s="1"/>
      <c r="BS47" s="1"/>
    </row>
    <row r="48" ht="15.75" customHeight="1">
      <c r="A48" s="55">
        <f t="shared" si="1"/>
        <v>48</v>
      </c>
      <c r="B48" s="113" t="s">
        <v>139</v>
      </c>
      <c r="C48" s="1"/>
      <c r="D48" s="343" t="s">
        <v>294</v>
      </c>
      <c r="E48" s="344" t="s">
        <v>295</v>
      </c>
      <c r="F48" s="344" t="s">
        <v>296</v>
      </c>
      <c r="G48" s="345" t="s">
        <v>293</v>
      </c>
      <c r="H48" s="1"/>
      <c r="I48" s="343" t="s">
        <v>294</v>
      </c>
      <c r="J48" s="344" t="s">
        <v>295</v>
      </c>
      <c r="K48" s="344" t="s">
        <v>296</v>
      </c>
      <c r="L48" s="345" t="s">
        <v>293</v>
      </c>
      <c r="M48" s="1"/>
      <c r="N48" s="343" t="s">
        <v>294</v>
      </c>
      <c r="O48" s="344" t="s">
        <v>295</v>
      </c>
      <c r="P48" s="344" t="s">
        <v>296</v>
      </c>
      <c r="Q48" s="345" t="s">
        <v>293</v>
      </c>
      <c r="R48" s="1"/>
      <c r="S48" s="343" t="s">
        <v>294</v>
      </c>
      <c r="T48" s="344" t="s">
        <v>295</v>
      </c>
      <c r="U48" s="344" t="s">
        <v>296</v>
      </c>
      <c r="V48" s="345" t="s">
        <v>293</v>
      </c>
      <c r="W48" s="1"/>
      <c r="X48" s="343" t="s">
        <v>294</v>
      </c>
      <c r="Y48" s="344" t="s">
        <v>295</v>
      </c>
      <c r="Z48" s="344" t="s">
        <v>296</v>
      </c>
      <c r="AA48" s="345" t="s">
        <v>293</v>
      </c>
      <c r="AB48" s="1"/>
      <c r="AC48" s="343" t="s">
        <v>294</v>
      </c>
      <c r="AD48" s="344" t="s">
        <v>295</v>
      </c>
      <c r="AE48" s="344" t="s">
        <v>296</v>
      </c>
      <c r="AF48" s="345" t="s">
        <v>293</v>
      </c>
      <c r="AG48" s="1"/>
      <c r="AH48" s="343" t="s">
        <v>294</v>
      </c>
      <c r="AI48" s="344" t="s">
        <v>295</v>
      </c>
      <c r="AJ48" s="344" t="s">
        <v>296</v>
      </c>
      <c r="AK48" s="345" t="s">
        <v>293</v>
      </c>
      <c r="AL48" s="1"/>
      <c r="AM48" s="343" t="s">
        <v>294</v>
      </c>
      <c r="AN48" s="344" t="s">
        <v>295</v>
      </c>
      <c r="AO48" s="344" t="s">
        <v>296</v>
      </c>
      <c r="AP48" s="345" t="s">
        <v>293</v>
      </c>
      <c r="AQ48" s="1"/>
      <c r="AR48" s="343" t="s">
        <v>294</v>
      </c>
      <c r="AS48" s="344" t="s">
        <v>295</v>
      </c>
      <c r="AT48" s="344" t="s">
        <v>296</v>
      </c>
      <c r="AU48" s="345" t="s">
        <v>293</v>
      </c>
      <c r="AV48" s="1"/>
      <c r="AW48" s="343" t="s">
        <v>294</v>
      </c>
      <c r="AX48" s="344" t="s">
        <v>295</v>
      </c>
      <c r="AY48" s="344" t="s">
        <v>296</v>
      </c>
      <c r="AZ48" s="345" t="s">
        <v>293</v>
      </c>
      <c r="BA48" s="1"/>
      <c r="BB48" s="343" t="s">
        <v>294</v>
      </c>
      <c r="BC48" s="344" t="s">
        <v>295</v>
      </c>
      <c r="BD48" s="344" t="s">
        <v>296</v>
      </c>
      <c r="BE48" s="345" t="s">
        <v>293</v>
      </c>
      <c r="BF48" s="1"/>
      <c r="BG48" s="1"/>
      <c r="BH48" s="1"/>
      <c r="BI48" s="1"/>
      <c r="BJ48" s="1"/>
      <c r="BK48" s="1"/>
      <c r="BL48" s="1"/>
      <c r="BM48" s="1"/>
      <c r="BN48" s="1"/>
      <c r="BO48" s="1"/>
      <c r="BP48" s="1"/>
      <c r="BQ48" s="1"/>
      <c r="BR48" s="1"/>
      <c r="BS48" s="1"/>
    </row>
    <row r="49" ht="15.75" customHeight="1">
      <c r="A49" s="55">
        <f t="shared" si="1"/>
        <v>49</v>
      </c>
      <c r="B49" s="1"/>
      <c r="C49" s="1"/>
      <c r="D49" s="303"/>
      <c r="E49" s="352"/>
      <c r="F49" s="353"/>
      <c r="G49" s="348">
        <f t="shared" ref="G49:G50" si="38">IFERROR(IF(F49&gt;G$34,0,(+E49/F49)*D49/E49),0)</f>
        <v>0</v>
      </c>
      <c r="H49" s="1"/>
      <c r="I49" s="303"/>
      <c r="J49" s="352"/>
      <c r="K49" s="353"/>
      <c r="L49" s="348">
        <f t="shared" ref="L49:L50" si="39">IFERROR(IF(K49&gt;L$34,0,(+J49/K49)*I49/J49),0)</f>
        <v>0</v>
      </c>
      <c r="M49" s="1"/>
      <c r="N49" s="303"/>
      <c r="O49" s="352"/>
      <c r="P49" s="353"/>
      <c r="Q49" s="348">
        <f t="shared" ref="Q49:Q50" si="40">IFERROR(IF(P49&gt;Q$34,0,(+O49/P49)*N49/O49),0)</f>
        <v>0</v>
      </c>
      <c r="R49" s="57"/>
      <c r="S49" s="303"/>
      <c r="T49" s="352"/>
      <c r="U49" s="353"/>
      <c r="V49" s="348">
        <f t="shared" ref="V49:V50" si="41">IFERROR(IF(U49&gt;V$34,0,(+T49/U49)*S49/T49),0)</f>
        <v>0</v>
      </c>
      <c r="W49" s="57"/>
      <c r="X49" s="300"/>
      <c r="Y49" s="352"/>
      <c r="Z49" s="353"/>
      <c r="AA49" s="348">
        <f>IFERROR(IF(Z49&gt;AA$34,0,+X49/Z49-(AA$34*(X49/Z49)-X49)*0.5/AA$34),0)</f>
        <v>0</v>
      </c>
      <c r="AB49" s="57"/>
      <c r="AC49" s="300"/>
      <c r="AD49" s="352"/>
      <c r="AE49" s="353"/>
      <c r="AF49" s="348">
        <f t="shared" ref="AF49:AF50" si="42">IFERROR(IF(AE49&gt;AF$34,0,(+AD49/AE49)*AC49/AD49),0)</f>
        <v>0</v>
      </c>
      <c r="AG49" s="57"/>
      <c r="AH49" s="303"/>
      <c r="AI49" s="352"/>
      <c r="AJ49" s="353"/>
      <c r="AK49" s="348">
        <f t="shared" ref="AK49:AK50" si="43">IFERROR(IF(AJ49&gt;AK$34,0,(+AI49/AJ49)*AH49/AI49),0)</f>
        <v>0</v>
      </c>
      <c r="AL49" s="57"/>
      <c r="AM49" s="303"/>
      <c r="AN49" s="352"/>
      <c r="AO49" s="353"/>
      <c r="AP49" s="348">
        <f t="shared" ref="AP49:AP50" si="44">IFERROR(IF(AO49&gt;AP$34,0,(+AN49/AO49)*AM49/AN49),0)</f>
        <v>0</v>
      </c>
      <c r="AQ49" s="57"/>
      <c r="AR49" s="303"/>
      <c r="AS49" s="352"/>
      <c r="AT49" s="353"/>
      <c r="AU49" s="348">
        <f t="shared" ref="AU49:AU50" si="45">IFERROR(IF(AT49&gt;AU$34,0,(+AS49/AT49)*AR49/AS49),0)</f>
        <v>0</v>
      </c>
      <c r="AV49" s="57"/>
      <c r="AW49" s="303"/>
      <c r="AX49" s="352"/>
      <c r="AY49" s="353"/>
      <c r="AZ49" s="348">
        <f t="shared" ref="AZ49:AZ50" si="46">IFERROR(IF(AY49&gt;AZ$34,0,(+AX49/AY49)*AW49/AX49),0)</f>
        <v>0</v>
      </c>
      <c r="BA49" s="57"/>
      <c r="BB49" s="303"/>
      <c r="BC49" s="352"/>
      <c r="BD49" s="353"/>
      <c r="BE49" s="348">
        <f t="shared" ref="BE49:BE50" si="47">IFERROR(IF(BD49&gt;BE$34,0,(+BC49/BD49)*BB49/BC49),0)</f>
        <v>0</v>
      </c>
      <c r="BF49" s="1"/>
      <c r="BG49" s="4"/>
      <c r="BH49" s="1"/>
      <c r="BI49" s="1"/>
      <c r="BJ49" s="1"/>
      <c r="BK49" s="1"/>
      <c r="BL49" s="1"/>
      <c r="BM49" s="1"/>
      <c r="BN49" s="1"/>
      <c r="BO49" s="1"/>
      <c r="BP49" s="1"/>
      <c r="BQ49" s="1"/>
      <c r="BR49" s="1"/>
      <c r="BS49" s="1"/>
    </row>
    <row r="50" ht="15.75" customHeight="1">
      <c r="A50" s="55">
        <f t="shared" si="1"/>
        <v>50</v>
      </c>
      <c r="B50" s="1"/>
      <c r="C50" s="1"/>
      <c r="D50" s="303"/>
      <c r="E50" s="352"/>
      <c r="F50" s="353"/>
      <c r="G50" s="348">
        <f t="shared" si="38"/>
        <v>0</v>
      </c>
      <c r="H50" s="1"/>
      <c r="I50" s="303"/>
      <c r="J50" s="352"/>
      <c r="K50" s="353"/>
      <c r="L50" s="348">
        <f t="shared" si="39"/>
        <v>0</v>
      </c>
      <c r="M50" s="1"/>
      <c r="N50" s="303"/>
      <c r="O50" s="352"/>
      <c r="P50" s="353"/>
      <c r="Q50" s="348">
        <f t="shared" si="40"/>
        <v>0</v>
      </c>
      <c r="R50" s="1"/>
      <c r="S50" s="303"/>
      <c r="T50" s="352"/>
      <c r="U50" s="353"/>
      <c r="V50" s="348">
        <f t="shared" si="41"/>
        <v>0</v>
      </c>
      <c r="W50" s="1"/>
      <c r="X50" s="303"/>
      <c r="Y50" s="352"/>
      <c r="Z50" s="353"/>
      <c r="AA50" s="348">
        <f>IFERROR(IF(Z50&gt;AA$34,0,(+Y50/Z50)*X50/Y50),0)</f>
        <v>0</v>
      </c>
      <c r="AB50" s="1"/>
      <c r="AC50" s="303"/>
      <c r="AD50" s="352"/>
      <c r="AE50" s="353"/>
      <c r="AF50" s="348">
        <f t="shared" si="42"/>
        <v>0</v>
      </c>
      <c r="AG50" s="1"/>
      <c r="AH50" s="303"/>
      <c r="AI50" s="352"/>
      <c r="AJ50" s="353"/>
      <c r="AK50" s="348">
        <f t="shared" si="43"/>
        <v>0</v>
      </c>
      <c r="AL50" s="1"/>
      <c r="AM50" s="303"/>
      <c r="AN50" s="352"/>
      <c r="AO50" s="353"/>
      <c r="AP50" s="348">
        <f t="shared" si="44"/>
        <v>0</v>
      </c>
      <c r="AQ50" s="1"/>
      <c r="AR50" s="303"/>
      <c r="AS50" s="352"/>
      <c r="AT50" s="353"/>
      <c r="AU50" s="348">
        <f t="shared" si="45"/>
        <v>0</v>
      </c>
      <c r="AV50" s="1"/>
      <c r="AW50" s="303"/>
      <c r="AX50" s="352"/>
      <c r="AY50" s="353"/>
      <c r="AZ50" s="348">
        <f t="shared" si="46"/>
        <v>0</v>
      </c>
      <c r="BA50" s="1"/>
      <c r="BB50" s="303"/>
      <c r="BC50" s="352"/>
      <c r="BD50" s="353"/>
      <c r="BE50" s="348">
        <f t="shared" si="47"/>
        <v>0</v>
      </c>
      <c r="BF50" s="1"/>
      <c r="BG50" s="1"/>
      <c r="BH50" s="1"/>
      <c r="BI50" s="1"/>
      <c r="BJ50" s="1"/>
      <c r="BK50" s="1"/>
      <c r="BL50" s="1"/>
      <c r="BM50" s="1"/>
      <c r="BN50" s="1"/>
      <c r="BO50" s="1"/>
      <c r="BP50" s="1"/>
      <c r="BQ50" s="1"/>
      <c r="BR50" s="1"/>
      <c r="BS50" s="1"/>
    </row>
    <row r="51" ht="15.75" customHeight="1">
      <c r="A51" s="55">
        <f t="shared" si="1"/>
        <v>51</v>
      </c>
      <c r="B51" s="1"/>
      <c r="C51" s="1"/>
      <c r="D51" s="340"/>
      <c r="E51" s="354"/>
      <c r="F51" s="355"/>
      <c r="G51" s="356"/>
      <c r="H51" s="1"/>
      <c r="I51" s="340"/>
      <c r="J51" s="354"/>
      <c r="K51" s="355"/>
      <c r="L51" s="356"/>
      <c r="M51" s="1"/>
      <c r="N51" s="340"/>
      <c r="O51" s="354"/>
      <c r="P51" s="355"/>
      <c r="Q51" s="356"/>
      <c r="R51" s="1"/>
      <c r="S51" s="340"/>
      <c r="T51" s="354"/>
      <c r="U51" s="355"/>
      <c r="V51" s="356"/>
      <c r="W51" s="1"/>
      <c r="X51" s="340"/>
      <c r="Y51" s="354"/>
      <c r="Z51" s="355"/>
      <c r="AA51" s="356"/>
      <c r="AB51" s="1"/>
      <c r="AC51" s="340"/>
      <c r="AD51" s="354"/>
      <c r="AE51" s="355"/>
      <c r="AF51" s="356"/>
      <c r="AG51" s="1"/>
      <c r="AH51" s="340"/>
      <c r="AI51" s="354"/>
      <c r="AJ51" s="355"/>
      <c r="AK51" s="356"/>
      <c r="AL51" s="1"/>
      <c r="AM51" s="340"/>
      <c r="AN51" s="354"/>
      <c r="AO51" s="355"/>
      <c r="AP51" s="356"/>
      <c r="AQ51" s="1"/>
      <c r="AR51" s="340"/>
      <c r="AS51" s="354"/>
      <c r="AT51" s="355"/>
      <c r="AU51" s="356"/>
      <c r="AV51" s="1"/>
      <c r="AW51" s="340"/>
      <c r="AX51" s="354"/>
      <c r="AY51" s="355"/>
      <c r="AZ51" s="356"/>
      <c r="BA51" s="1"/>
      <c r="BB51" s="340"/>
      <c r="BC51" s="354"/>
      <c r="BD51" s="355"/>
      <c r="BE51" s="356"/>
      <c r="BF51" s="1"/>
      <c r="BG51" s="1"/>
      <c r="BH51" s="1"/>
      <c r="BI51" s="1"/>
      <c r="BJ51" s="1"/>
      <c r="BK51" s="1"/>
      <c r="BL51" s="1"/>
      <c r="BM51" s="1"/>
      <c r="BN51" s="1"/>
      <c r="BO51" s="1"/>
      <c r="BP51" s="1"/>
      <c r="BQ51" s="1"/>
      <c r="BR51" s="1"/>
      <c r="BS51" s="1"/>
    </row>
    <row r="52" ht="15.75" customHeight="1">
      <c r="A52" s="55">
        <f t="shared" si="1"/>
        <v>52</v>
      </c>
      <c r="B52" s="1"/>
      <c r="C52" s="1"/>
      <c r="D52" s="340"/>
      <c r="E52" s="357"/>
      <c r="F52" s="358" t="s">
        <v>297</v>
      </c>
      <c r="G52" s="345" t="s">
        <v>293</v>
      </c>
      <c r="H52" s="1"/>
      <c r="I52" s="340"/>
      <c r="J52" s="357"/>
      <c r="K52" s="358" t="s">
        <v>297</v>
      </c>
      <c r="L52" s="345" t="s">
        <v>293</v>
      </c>
      <c r="M52" s="1"/>
      <c r="N52" s="340"/>
      <c r="O52" s="357"/>
      <c r="P52" s="358" t="s">
        <v>297</v>
      </c>
      <c r="Q52" s="345" t="s">
        <v>293</v>
      </c>
      <c r="R52" s="1"/>
      <c r="S52" s="340"/>
      <c r="T52" s="357"/>
      <c r="U52" s="358" t="s">
        <v>297</v>
      </c>
      <c r="V52" s="345" t="s">
        <v>293</v>
      </c>
      <c r="W52" s="1"/>
      <c r="X52" s="340"/>
      <c r="Y52" s="357"/>
      <c r="Z52" s="358" t="s">
        <v>297</v>
      </c>
      <c r="AA52" s="345" t="s">
        <v>293</v>
      </c>
      <c r="AB52" s="1"/>
      <c r="AC52" s="340"/>
      <c r="AD52" s="357"/>
      <c r="AE52" s="358" t="s">
        <v>297</v>
      </c>
      <c r="AF52" s="345" t="s">
        <v>293</v>
      </c>
      <c r="AG52" s="1"/>
      <c r="AH52" s="340"/>
      <c r="AI52" s="357"/>
      <c r="AJ52" s="358" t="s">
        <v>297</v>
      </c>
      <c r="AK52" s="345" t="s">
        <v>293</v>
      </c>
      <c r="AL52" s="1"/>
      <c r="AM52" s="340"/>
      <c r="AN52" s="357"/>
      <c r="AO52" s="358" t="s">
        <v>297</v>
      </c>
      <c r="AP52" s="345" t="s">
        <v>293</v>
      </c>
      <c r="AQ52" s="1"/>
      <c r="AR52" s="340"/>
      <c r="AS52" s="357"/>
      <c r="AT52" s="358" t="s">
        <v>297</v>
      </c>
      <c r="AU52" s="345" t="s">
        <v>293</v>
      </c>
      <c r="AV52" s="1"/>
      <c r="AW52" s="340"/>
      <c r="AX52" s="357"/>
      <c r="AY52" s="358" t="s">
        <v>297</v>
      </c>
      <c r="AZ52" s="345" t="s">
        <v>293</v>
      </c>
      <c r="BA52" s="1"/>
      <c r="BB52" s="340"/>
      <c r="BC52" s="357"/>
      <c r="BD52" s="358" t="s">
        <v>297</v>
      </c>
      <c r="BE52" s="345" t="s">
        <v>293</v>
      </c>
      <c r="BF52" s="1"/>
      <c r="BG52" s="4"/>
      <c r="BH52" s="1"/>
      <c r="BI52" s="1"/>
      <c r="BJ52" s="1"/>
      <c r="BK52" s="1"/>
      <c r="BL52" s="1"/>
      <c r="BM52" s="1"/>
      <c r="BN52" s="1"/>
      <c r="BO52" s="1"/>
      <c r="BP52" s="1"/>
      <c r="BQ52" s="1"/>
      <c r="BR52" s="1"/>
      <c r="BS52" s="1"/>
    </row>
    <row r="53" ht="15.75" customHeight="1">
      <c r="A53" s="55">
        <f t="shared" si="1"/>
        <v>53</v>
      </c>
      <c r="B53" s="113" t="s">
        <v>298</v>
      </c>
      <c r="C53" s="1"/>
      <c r="D53" s="340"/>
      <c r="E53" s="357"/>
      <c r="F53" s="346"/>
      <c r="G53" s="348" t="str">
        <f>+F53</f>
        <v/>
      </c>
      <c r="H53" s="162"/>
      <c r="I53" s="340"/>
      <c r="J53" s="357"/>
      <c r="K53" s="346"/>
      <c r="L53" s="348" t="str">
        <f>+K53</f>
        <v/>
      </c>
      <c r="M53" s="1"/>
      <c r="N53" s="340"/>
      <c r="O53" s="357"/>
      <c r="P53" s="346"/>
      <c r="Q53" s="348" t="str">
        <f>+P53</f>
        <v/>
      </c>
      <c r="R53" s="1"/>
      <c r="S53" s="340"/>
      <c r="T53" s="357"/>
      <c r="U53" s="346"/>
      <c r="V53" s="348" t="str">
        <f>+U53</f>
        <v/>
      </c>
      <c r="W53" s="1"/>
      <c r="X53" s="340"/>
      <c r="Y53" s="357"/>
      <c r="Z53" s="346"/>
      <c r="AA53" s="348" t="str">
        <f>+Z53</f>
        <v/>
      </c>
      <c r="AB53" s="1"/>
      <c r="AC53" s="340"/>
      <c r="AD53" s="357"/>
      <c r="AE53" s="346"/>
      <c r="AF53" s="348" t="str">
        <f>+AE53</f>
        <v/>
      </c>
      <c r="AG53" s="1"/>
      <c r="AH53" s="340"/>
      <c r="AI53" s="357"/>
      <c r="AJ53" s="346"/>
      <c r="AK53" s="348" t="str">
        <f>+AJ53</f>
        <v/>
      </c>
      <c r="AL53" s="1"/>
      <c r="AM53" s="340"/>
      <c r="AN53" s="357"/>
      <c r="AO53" s="346"/>
      <c r="AP53" s="348" t="str">
        <f>+AO53</f>
        <v/>
      </c>
      <c r="AQ53" s="1"/>
      <c r="AR53" s="340"/>
      <c r="AS53" s="357"/>
      <c r="AT53" s="346"/>
      <c r="AU53" s="348" t="str">
        <f>+AT53</f>
        <v/>
      </c>
      <c r="AV53" s="1"/>
      <c r="AW53" s="340"/>
      <c r="AX53" s="357"/>
      <c r="AY53" s="346"/>
      <c r="AZ53" s="348" t="str">
        <f>+AY53</f>
        <v/>
      </c>
      <c r="BA53" s="1"/>
      <c r="BB53" s="340"/>
      <c r="BC53" s="357"/>
      <c r="BD53" s="346"/>
      <c r="BE53" s="348" t="str">
        <f>+BD53</f>
        <v/>
      </c>
      <c r="BF53" s="1"/>
      <c r="BG53" s="1"/>
      <c r="BH53" s="1"/>
      <c r="BI53" s="1"/>
      <c r="BJ53" s="1"/>
      <c r="BK53" s="1"/>
      <c r="BL53" s="1"/>
      <c r="BM53" s="1"/>
      <c r="BN53" s="1"/>
      <c r="BO53" s="1"/>
      <c r="BP53" s="1"/>
      <c r="BQ53" s="1"/>
      <c r="BR53" s="1"/>
      <c r="BS53" s="1"/>
    </row>
    <row r="54" ht="15.75" customHeight="1">
      <c r="A54" s="55">
        <f t="shared" si="1"/>
        <v>54</v>
      </c>
      <c r="B54" s="113"/>
      <c r="C54" s="1"/>
      <c r="D54" s="340"/>
      <c r="E54" s="359"/>
      <c r="F54" s="354"/>
      <c r="G54" s="360"/>
      <c r="H54" s="1"/>
      <c r="I54" s="340"/>
      <c r="J54" s="359"/>
      <c r="K54" s="354"/>
      <c r="L54" s="360"/>
      <c r="M54" s="1"/>
      <c r="N54" s="340"/>
      <c r="O54" s="359"/>
      <c r="P54" s="354"/>
      <c r="Q54" s="360"/>
      <c r="R54" s="1"/>
      <c r="S54" s="340"/>
      <c r="T54" s="359"/>
      <c r="U54" s="354"/>
      <c r="V54" s="360"/>
      <c r="W54" s="1"/>
      <c r="X54" s="340"/>
      <c r="Y54" s="359"/>
      <c r="Z54" s="354"/>
      <c r="AA54" s="360"/>
      <c r="AB54" s="1"/>
      <c r="AC54" s="340"/>
      <c r="AD54" s="359"/>
      <c r="AE54" s="354"/>
      <c r="AF54" s="360"/>
      <c r="AG54" s="1"/>
      <c r="AH54" s="340"/>
      <c r="AI54" s="359"/>
      <c r="AJ54" s="354"/>
      <c r="AK54" s="360"/>
      <c r="AL54" s="1"/>
      <c r="AM54" s="340"/>
      <c r="AN54" s="359"/>
      <c r="AO54" s="354"/>
      <c r="AP54" s="360"/>
      <c r="AQ54" s="1"/>
      <c r="AR54" s="340"/>
      <c r="AS54" s="359"/>
      <c r="AT54" s="354"/>
      <c r="AU54" s="360"/>
      <c r="AV54" s="1"/>
      <c r="AW54" s="340"/>
      <c r="AX54" s="359"/>
      <c r="AY54" s="354"/>
      <c r="AZ54" s="360"/>
      <c r="BA54" s="1"/>
      <c r="BB54" s="340"/>
      <c r="BC54" s="359"/>
      <c r="BD54" s="354"/>
      <c r="BE54" s="360"/>
      <c r="BF54" s="1"/>
      <c r="BG54" s="1"/>
      <c r="BH54" s="1"/>
      <c r="BI54" s="1"/>
      <c r="BJ54" s="1"/>
      <c r="BK54" s="1"/>
      <c r="BL54" s="1"/>
      <c r="BM54" s="1"/>
      <c r="BN54" s="1"/>
      <c r="BO54" s="1"/>
      <c r="BP54" s="1"/>
      <c r="BQ54" s="1"/>
      <c r="BR54" s="1"/>
      <c r="BS54" s="1"/>
    </row>
    <row r="55" ht="15.75" customHeight="1">
      <c r="A55" s="55">
        <f t="shared" si="1"/>
        <v>55</v>
      </c>
      <c r="B55" s="113" t="s">
        <v>299</v>
      </c>
      <c r="C55" s="113"/>
      <c r="D55" s="361"/>
      <c r="E55" s="362"/>
      <c r="F55" s="362"/>
      <c r="G55" s="144">
        <v>113.1</v>
      </c>
      <c r="H55" s="1"/>
      <c r="I55" s="361"/>
      <c r="J55" s="362"/>
      <c r="K55" s="362"/>
      <c r="L55" s="144">
        <f>+L53+SUM(L38:L46)+SUM(L49:L50)+L35</f>
        <v>289.67</v>
      </c>
      <c r="M55" s="1"/>
      <c r="N55" s="361"/>
      <c r="O55" s="362"/>
      <c r="P55" s="362"/>
      <c r="Q55" s="144">
        <v>113.42</v>
      </c>
      <c r="R55" s="1"/>
      <c r="S55" s="361"/>
      <c r="T55" s="362"/>
      <c r="U55" s="362"/>
      <c r="V55" s="144">
        <f>+V53+SUM(V38:V46)+SUM(V49:V50)+V35</f>
        <v>81.79</v>
      </c>
      <c r="W55" s="1"/>
      <c r="X55" s="361"/>
      <c r="Y55" s="362"/>
      <c r="Z55" s="362"/>
      <c r="AA55" s="144">
        <f>+AA53+SUM(AA38:AA46)+SUM(AA49:AA50)+AA35</f>
        <v>119.288</v>
      </c>
      <c r="AB55" s="1"/>
      <c r="AC55" s="361"/>
      <c r="AD55" s="362"/>
      <c r="AE55" s="362"/>
      <c r="AF55" s="144">
        <f>+AF53+SUM(AF38:AF46)+SUM(AF49:AF50)+AF35</f>
        <v>119.123759</v>
      </c>
      <c r="AG55" s="1"/>
      <c r="AH55" s="361"/>
      <c r="AI55" s="362"/>
      <c r="AJ55" s="362"/>
      <c r="AK55" s="144">
        <f>+AK53+SUM(AK38:AK46)+SUM(AK49:AK50)+AK35</f>
        <v>96.12</v>
      </c>
      <c r="AL55" s="1"/>
      <c r="AM55" s="361"/>
      <c r="AN55" s="362"/>
      <c r="AO55" s="362"/>
      <c r="AP55" s="144">
        <v>219.68</v>
      </c>
      <c r="AQ55" s="1"/>
      <c r="AR55" s="361"/>
      <c r="AS55" s="362"/>
      <c r="AT55" s="362"/>
      <c r="AU55" s="144">
        <f>+AU53+SUM(AU38:AU46)+SUM(AU49:AU50)+AU35</f>
        <v>880.56</v>
      </c>
      <c r="AV55" s="1"/>
      <c r="AW55" s="361"/>
      <c r="AX55" s="362"/>
      <c r="AY55" s="362"/>
      <c r="AZ55" s="144">
        <f>+AZ53+SUM(AZ38:AZ46)+SUM(AZ49:AZ50)+AZ35</f>
        <v>20.61</v>
      </c>
      <c r="BA55" s="1"/>
      <c r="BB55" s="361"/>
      <c r="BC55" s="362"/>
      <c r="BD55" s="362"/>
      <c r="BE55" s="144">
        <v>771.0</v>
      </c>
      <c r="BF55" s="1"/>
      <c r="BG55" s="4"/>
      <c r="BH55" s="1"/>
      <c r="BI55" s="1"/>
      <c r="BJ55" s="1"/>
      <c r="BK55" s="1"/>
      <c r="BL55" s="1"/>
      <c r="BM55" s="1"/>
      <c r="BN55" s="1"/>
      <c r="BO55" s="1"/>
      <c r="BP55" s="1"/>
      <c r="BQ55" s="1"/>
      <c r="BR55" s="1"/>
      <c r="BS55" s="1"/>
    </row>
    <row r="56" ht="15.75" customHeight="1">
      <c r="A56" s="55">
        <f t="shared" si="1"/>
        <v>56</v>
      </c>
      <c r="B56" s="1"/>
      <c r="C56" s="1"/>
      <c r="D56" s="171"/>
      <c r="E56" s="1"/>
      <c r="F56" s="1"/>
      <c r="G56" s="363"/>
      <c r="H56" s="1"/>
      <c r="I56" s="171"/>
      <c r="J56" s="1"/>
      <c r="K56" s="1"/>
      <c r="L56" s="363"/>
      <c r="M56" s="1"/>
      <c r="N56" s="171"/>
      <c r="O56" s="1"/>
      <c r="P56" s="1"/>
      <c r="Q56" s="363"/>
      <c r="R56" s="1"/>
      <c r="S56" s="171"/>
      <c r="T56" s="1"/>
      <c r="U56" s="1"/>
      <c r="V56" s="363"/>
      <c r="W56" s="1"/>
      <c r="X56" s="171"/>
      <c r="Y56" s="1"/>
      <c r="Z56" s="1"/>
      <c r="AA56" s="363"/>
      <c r="AB56" s="1"/>
      <c r="AC56" s="171"/>
      <c r="AD56" s="1"/>
      <c r="AE56" s="1"/>
      <c r="AF56" s="363"/>
      <c r="AG56" s="1"/>
      <c r="AH56" s="171"/>
      <c r="AI56" s="1"/>
      <c r="AJ56" s="1"/>
      <c r="AK56" s="363"/>
      <c r="AL56" s="1"/>
      <c r="AM56" s="171"/>
      <c r="AN56" s="1"/>
      <c r="AO56" s="1"/>
      <c r="AP56" s="363"/>
      <c r="AQ56" s="1"/>
      <c r="AR56" s="171"/>
      <c r="AS56" s="1"/>
      <c r="AT56" s="1"/>
      <c r="AU56" s="363"/>
      <c r="AV56" s="1"/>
      <c r="AW56" s="171"/>
      <c r="AX56" s="1"/>
      <c r="AY56" s="1"/>
      <c r="AZ56" s="363"/>
      <c r="BA56" s="1"/>
      <c r="BB56" s="171"/>
      <c r="BC56" s="1"/>
      <c r="BD56" s="1"/>
      <c r="BE56" s="363"/>
      <c r="BF56" s="1"/>
      <c r="BG56" s="1"/>
      <c r="BH56" s="1"/>
      <c r="BI56" s="1"/>
      <c r="BJ56" s="1"/>
      <c r="BK56" s="1"/>
      <c r="BL56" s="1"/>
      <c r="BM56" s="1"/>
      <c r="BN56" s="1"/>
      <c r="BO56" s="1"/>
      <c r="BP56" s="1"/>
      <c r="BQ56" s="1"/>
      <c r="BR56" s="1"/>
      <c r="BS56" s="1"/>
    </row>
    <row r="57" ht="15.75" customHeight="1">
      <c r="A57" s="55">
        <f t="shared" si="1"/>
        <v>57</v>
      </c>
      <c r="B57" s="1"/>
      <c r="C57" s="1"/>
      <c r="D57" s="289" t="s">
        <v>300</v>
      </c>
      <c r="E57" s="290"/>
      <c r="F57" s="290"/>
      <c r="G57" s="291"/>
      <c r="H57" s="1"/>
      <c r="I57" s="289" t="s">
        <v>300</v>
      </c>
      <c r="J57" s="290"/>
      <c r="K57" s="290"/>
      <c r="L57" s="291"/>
      <c r="M57" s="1"/>
      <c r="N57" s="289" t="s">
        <v>300</v>
      </c>
      <c r="O57" s="290"/>
      <c r="P57" s="290"/>
      <c r="Q57" s="291"/>
      <c r="R57" s="1"/>
      <c r="S57" s="289" t="s">
        <v>300</v>
      </c>
      <c r="T57" s="290"/>
      <c r="U57" s="290"/>
      <c r="V57" s="291"/>
      <c r="W57" s="1"/>
      <c r="X57" s="289" t="s">
        <v>300</v>
      </c>
      <c r="Y57" s="290"/>
      <c r="Z57" s="290"/>
      <c r="AA57" s="291"/>
      <c r="AB57" s="1"/>
      <c r="AC57" s="289" t="s">
        <v>300</v>
      </c>
      <c r="AD57" s="290"/>
      <c r="AE57" s="290"/>
      <c r="AF57" s="291"/>
      <c r="AG57" s="1"/>
      <c r="AH57" s="289" t="s">
        <v>300</v>
      </c>
      <c r="AI57" s="290"/>
      <c r="AJ57" s="290"/>
      <c r="AK57" s="291"/>
      <c r="AL57" s="1"/>
      <c r="AM57" s="289" t="s">
        <v>300</v>
      </c>
      <c r="AN57" s="290"/>
      <c r="AO57" s="290"/>
      <c r="AP57" s="291"/>
      <c r="AQ57" s="1"/>
      <c r="AR57" s="289" t="s">
        <v>300</v>
      </c>
      <c r="AS57" s="290"/>
      <c r="AT57" s="290"/>
      <c r="AU57" s="291"/>
      <c r="AV57" s="1"/>
      <c r="AW57" s="289" t="s">
        <v>300</v>
      </c>
      <c r="AX57" s="290"/>
      <c r="AY57" s="290"/>
      <c r="AZ57" s="291"/>
      <c r="BA57" s="1"/>
      <c r="BB57" s="289" t="s">
        <v>300</v>
      </c>
      <c r="BC57" s="290"/>
      <c r="BD57" s="290"/>
      <c r="BE57" s="291"/>
      <c r="BF57" s="1"/>
      <c r="BG57" s="1"/>
      <c r="BH57" s="1"/>
      <c r="BI57" s="1"/>
      <c r="BJ57" s="1"/>
      <c r="BK57" s="1"/>
      <c r="BL57" s="1"/>
      <c r="BM57" s="1"/>
      <c r="BN57" s="1"/>
      <c r="BO57" s="1"/>
      <c r="BP57" s="1"/>
      <c r="BQ57" s="1"/>
      <c r="BR57" s="1"/>
      <c r="BS57" s="1"/>
    </row>
    <row r="58" ht="15.75" customHeight="1">
      <c r="A58" s="55">
        <f t="shared" si="1"/>
        <v>58</v>
      </c>
      <c r="B58" s="1"/>
      <c r="C58" s="1"/>
      <c r="D58" s="335"/>
      <c r="E58" s="336"/>
      <c r="F58" s="336"/>
      <c r="G58" s="364"/>
      <c r="H58" s="1"/>
      <c r="I58" s="335"/>
      <c r="J58" s="336"/>
      <c r="K58" s="336"/>
      <c r="L58" s="364"/>
      <c r="M58" s="1"/>
      <c r="N58" s="335"/>
      <c r="O58" s="336"/>
      <c r="P58" s="336"/>
      <c r="Q58" s="364"/>
      <c r="R58" s="1"/>
      <c r="S58" s="335"/>
      <c r="T58" s="336"/>
      <c r="U58" s="336"/>
      <c r="V58" s="364"/>
      <c r="W58" s="1"/>
      <c r="X58" s="335"/>
      <c r="Y58" s="336"/>
      <c r="Z58" s="336"/>
      <c r="AA58" s="364"/>
      <c r="AB58" s="1"/>
      <c r="AC58" s="335"/>
      <c r="AD58" s="336"/>
      <c r="AE58" s="336"/>
      <c r="AF58" s="364"/>
      <c r="AG58" s="1"/>
      <c r="AH58" s="335"/>
      <c r="AI58" s="336"/>
      <c r="AJ58" s="336"/>
      <c r="AK58" s="364"/>
      <c r="AL58" s="1"/>
      <c r="AM58" s="335"/>
      <c r="AN58" s="336"/>
      <c r="AO58" s="336"/>
      <c r="AP58" s="364"/>
      <c r="AQ58" s="1"/>
      <c r="AR58" s="335"/>
      <c r="AS58" s="336"/>
      <c r="AT58" s="336"/>
      <c r="AU58" s="364"/>
      <c r="AV58" s="1"/>
      <c r="AW58" s="335"/>
      <c r="AX58" s="336"/>
      <c r="AY58" s="336"/>
      <c r="AZ58" s="364"/>
      <c r="BA58" s="1"/>
      <c r="BB58" s="335"/>
      <c r="BC58" s="336"/>
      <c r="BD58" s="336"/>
      <c r="BE58" s="364"/>
      <c r="BF58" s="1"/>
      <c r="BG58" s="4"/>
      <c r="BH58" s="1"/>
      <c r="BI58" s="1"/>
      <c r="BJ58" s="1"/>
      <c r="BK58" s="1"/>
      <c r="BL58" s="1"/>
      <c r="BM58" s="1"/>
      <c r="BN58" s="1"/>
      <c r="BO58" s="1"/>
      <c r="BP58" s="1"/>
      <c r="BQ58" s="1"/>
      <c r="BR58" s="1"/>
      <c r="BS58" s="1"/>
    </row>
    <row r="59" ht="15.75" customHeight="1">
      <c r="A59" s="55">
        <f t="shared" si="1"/>
        <v>59</v>
      </c>
      <c r="B59" s="1" t="s">
        <v>301</v>
      </c>
      <c r="C59" s="1"/>
      <c r="D59" s="296"/>
      <c r="E59" s="298"/>
      <c r="F59" s="298"/>
      <c r="G59" s="300">
        <v>9638.16</v>
      </c>
      <c r="H59" s="1"/>
      <c r="I59" s="296"/>
      <c r="J59" s="298"/>
      <c r="K59" s="298"/>
      <c r="L59" s="300">
        <f>+L55*L34</f>
        <v>31762.3155</v>
      </c>
      <c r="M59" s="1"/>
      <c r="N59" s="296"/>
      <c r="O59" s="298"/>
      <c r="P59" s="298"/>
      <c r="Q59" s="300">
        <f>+Q55*Q34</f>
        <v>12557.8624</v>
      </c>
      <c r="R59" s="1"/>
      <c r="S59" s="296"/>
      <c r="T59" s="298"/>
      <c r="U59" s="298"/>
      <c r="V59" s="300">
        <v>8051.68</v>
      </c>
      <c r="W59" s="1"/>
      <c r="X59" s="296"/>
      <c r="Y59" s="298"/>
      <c r="Z59" s="298"/>
      <c r="AA59" s="300">
        <f>+AA55*AA34</f>
        <v>620297.6</v>
      </c>
      <c r="AB59" s="1"/>
      <c r="AC59" s="296"/>
      <c r="AD59" s="298"/>
      <c r="AE59" s="298"/>
      <c r="AF59" s="300">
        <f>+AF55*AF34</f>
        <v>4842380.803</v>
      </c>
      <c r="AG59" s="1"/>
      <c r="AH59" s="296"/>
      <c r="AI59" s="298"/>
      <c r="AJ59" s="298"/>
      <c r="AK59" s="300">
        <f>+AK55*AK34</f>
        <v>29845.26</v>
      </c>
      <c r="AL59" s="1"/>
      <c r="AM59" s="296"/>
      <c r="AN59" s="298"/>
      <c r="AO59" s="298"/>
      <c r="AP59" s="300">
        <f>+AP55*AP34</f>
        <v>1323132.64</v>
      </c>
      <c r="AQ59" s="365">
        <f>AP59/732347</f>
        <v>1.806701796</v>
      </c>
      <c r="AR59" s="296"/>
      <c r="AS59" s="298"/>
      <c r="AT59" s="298"/>
      <c r="AU59" s="300">
        <f>+AU55*AU34</f>
        <v>1435312.8</v>
      </c>
      <c r="AV59" s="1"/>
      <c r="AW59" s="296"/>
      <c r="AX59" s="298"/>
      <c r="AY59" s="298"/>
      <c r="AZ59" s="300">
        <f>+AZ55*AZ34</f>
        <v>13355280</v>
      </c>
      <c r="BA59" s="1"/>
      <c r="BB59" s="296"/>
      <c r="BC59" s="298"/>
      <c r="BD59" s="298"/>
      <c r="BE59" s="300">
        <v>47350.0</v>
      </c>
      <c r="BF59" s="1"/>
      <c r="BG59" s="1"/>
      <c r="BH59" s="1"/>
      <c r="BI59" s="1"/>
      <c r="BJ59" s="1"/>
      <c r="BK59" s="1"/>
      <c r="BL59" s="1"/>
      <c r="BM59" s="1"/>
      <c r="BN59" s="1"/>
      <c r="BO59" s="1"/>
      <c r="BP59" s="1"/>
      <c r="BQ59" s="1"/>
      <c r="BR59" s="1"/>
      <c r="BS59" s="1"/>
    </row>
    <row r="60" ht="15.75" customHeight="1">
      <c r="A60" s="55">
        <f t="shared" si="1"/>
        <v>60</v>
      </c>
      <c r="B60" s="1" t="s">
        <v>302</v>
      </c>
      <c r="C60" s="1"/>
      <c r="D60" s="340"/>
      <c r="E60" s="341"/>
      <c r="F60" s="341"/>
      <c r="G60" s="300">
        <f>9245.61*1.09</f>
        <v>10077.7149</v>
      </c>
      <c r="H60" s="1"/>
      <c r="I60" s="340"/>
      <c r="J60" s="341"/>
      <c r="K60" s="341"/>
      <c r="L60" s="300">
        <f>+L59+SUM(L17:L25)</f>
        <v>26397.1155</v>
      </c>
      <c r="M60" s="1"/>
      <c r="N60" s="340"/>
      <c r="O60" s="341"/>
      <c r="P60" s="341"/>
      <c r="Q60" s="300">
        <f>+Q59+SUM(Q17:Q25)</f>
        <v>10573.6624</v>
      </c>
      <c r="R60" s="1"/>
      <c r="S60" s="340"/>
      <c r="T60" s="341"/>
      <c r="U60" s="341"/>
      <c r="V60" s="300">
        <v>6265.0</v>
      </c>
      <c r="W60" s="1"/>
      <c r="X60" s="340"/>
      <c r="Y60" s="341"/>
      <c r="Z60" s="341"/>
      <c r="AA60" s="300">
        <f>+AA59+SUM(AA17:AA25)</f>
        <v>619307.1</v>
      </c>
      <c r="AB60" s="1"/>
      <c r="AC60" s="340"/>
      <c r="AD60" s="341"/>
      <c r="AE60" s="341"/>
      <c r="AF60" s="300">
        <f>+AF59+SUM(AF17:AF25)</f>
        <v>4833542.803</v>
      </c>
      <c r="AG60" s="1"/>
      <c r="AH60" s="340"/>
      <c r="AI60" s="341"/>
      <c r="AJ60" s="341"/>
      <c r="AK60" s="300">
        <f>+AK59+SUM(AK17:AK25)</f>
        <v>29596.652</v>
      </c>
      <c r="AL60" s="1"/>
      <c r="AM60" s="340"/>
      <c r="AN60" s="341"/>
      <c r="AO60" s="341"/>
      <c r="AP60" s="300">
        <f>+AP59+SUM(AP17:AP25)</f>
        <v>1323610.489</v>
      </c>
      <c r="AQ60" s="1"/>
      <c r="AR60" s="340"/>
      <c r="AS60" s="341"/>
      <c r="AT60" s="341"/>
      <c r="AU60" s="300">
        <f>+AU59+SUM(AU17:AU25)</f>
        <v>1532436.824</v>
      </c>
      <c r="AV60" s="1"/>
      <c r="AW60" s="340"/>
      <c r="AX60" s="341"/>
      <c r="AY60" s="341"/>
      <c r="AZ60" s="300">
        <f>+AZ59+SUM(AZ17:AZ25)</f>
        <v>13136163</v>
      </c>
      <c r="BA60" s="1"/>
      <c r="BB60" s="340"/>
      <c r="BC60" s="341"/>
      <c r="BD60" s="341"/>
      <c r="BE60" s="300">
        <v>44810.0</v>
      </c>
      <c r="BF60" s="1"/>
      <c r="BG60" s="1"/>
      <c r="BH60" s="1"/>
      <c r="BI60" s="1"/>
      <c r="BJ60" s="1"/>
      <c r="BK60" s="1"/>
      <c r="BL60" s="1"/>
      <c r="BM60" s="1"/>
      <c r="BN60" s="1"/>
      <c r="BO60" s="1"/>
      <c r="BP60" s="1"/>
      <c r="BQ60" s="1"/>
      <c r="BR60" s="1"/>
      <c r="BS60" s="1"/>
    </row>
    <row r="61" ht="15.75" customHeight="1">
      <c r="A61" s="55">
        <f t="shared" si="1"/>
        <v>61</v>
      </c>
      <c r="B61" s="1" t="s">
        <v>303</v>
      </c>
      <c r="C61" s="1"/>
      <c r="D61" s="361"/>
      <c r="E61" s="362"/>
      <c r="F61" s="362"/>
      <c r="G61" s="366">
        <v>1.3</v>
      </c>
      <c r="H61" s="1"/>
      <c r="I61" s="361"/>
      <c r="J61" s="362"/>
      <c r="K61" s="362"/>
      <c r="L61" s="366">
        <v>1.05</v>
      </c>
      <c r="M61" s="1"/>
      <c r="N61" s="361"/>
      <c r="O61" s="362"/>
      <c r="P61" s="362"/>
      <c r="Q61" s="366">
        <v>0.79</v>
      </c>
      <c r="R61" s="1"/>
      <c r="S61" s="361"/>
      <c r="T61" s="362"/>
      <c r="U61" s="362"/>
      <c r="V61" s="366">
        <v>1.33</v>
      </c>
      <c r="W61" s="1"/>
      <c r="X61" s="361"/>
      <c r="Y61" s="362"/>
      <c r="Z61" s="362"/>
      <c r="AA61" s="366">
        <v>0.72</v>
      </c>
      <c r="AB61" s="1"/>
      <c r="AC61" s="361"/>
      <c r="AD61" s="362"/>
      <c r="AE61" s="362"/>
      <c r="AF61" s="366">
        <v>1.05</v>
      </c>
      <c r="AG61" s="1"/>
      <c r="AH61" s="361"/>
      <c r="AI61" s="362"/>
      <c r="AJ61" s="362"/>
      <c r="AK61" s="366">
        <v>0.99</v>
      </c>
      <c r="AL61" s="1"/>
      <c r="AM61" s="361"/>
      <c r="AN61" s="362"/>
      <c r="AO61" s="362"/>
      <c r="AP61" s="366">
        <v>0.47</v>
      </c>
      <c r="AQ61" s="1"/>
      <c r="AR61" s="361"/>
      <c r="AS61" s="362"/>
      <c r="AT61" s="362"/>
      <c r="AU61" s="366">
        <f>0.87</f>
        <v>0.87</v>
      </c>
      <c r="AV61" s="1"/>
      <c r="AW61" s="361"/>
      <c r="AX61" s="362"/>
      <c r="AY61" s="362"/>
      <c r="AZ61" s="366">
        <v>0.21</v>
      </c>
      <c r="BA61" s="1"/>
      <c r="BB61" s="361"/>
      <c r="BC61" s="362"/>
      <c r="BD61" s="362"/>
      <c r="BE61" s="366">
        <v>0.8342</v>
      </c>
      <c r="BF61" s="1"/>
      <c r="BG61" s="4"/>
      <c r="BH61" s="1"/>
      <c r="BI61" s="1"/>
      <c r="BJ61" s="1"/>
      <c r="BK61" s="1"/>
      <c r="BL61" s="1"/>
      <c r="BM61" s="1"/>
      <c r="BN61" s="1"/>
      <c r="BO61" s="1"/>
      <c r="BP61" s="1"/>
      <c r="BQ61" s="1"/>
      <c r="BR61" s="1"/>
      <c r="BS61" s="1"/>
    </row>
    <row r="62" ht="15.75" customHeight="1">
      <c r="A62" s="55">
        <f t="shared" si="1"/>
        <v>62</v>
      </c>
      <c r="B62" s="1"/>
      <c r="C62" s="1"/>
      <c r="D62" s="175"/>
      <c r="E62" s="1"/>
      <c r="F62" s="1"/>
      <c r="G62" s="327"/>
      <c r="H62" s="1"/>
      <c r="I62" s="175"/>
      <c r="J62" s="1"/>
      <c r="K62" s="1"/>
      <c r="L62" s="327"/>
      <c r="M62" s="1"/>
      <c r="N62" s="175"/>
      <c r="O62" s="1"/>
      <c r="P62" s="1"/>
      <c r="Q62" s="327"/>
      <c r="R62" s="1"/>
      <c r="S62" s="175"/>
      <c r="T62" s="1"/>
      <c r="U62" s="1"/>
      <c r="V62" s="327"/>
      <c r="W62" s="1"/>
      <c r="X62" s="175"/>
      <c r="Y62" s="1"/>
      <c r="Z62" s="1"/>
      <c r="AA62" s="327"/>
      <c r="AB62" s="1"/>
      <c r="AC62" s="175"/>
      <c r="AD62" s="1"/>
      <c r="AE62" s="1"/>
      <c r="AF62" s="327"/>
      <c r="AG62" s="1"/>
      <c r="AH62" s="175"/>
      <c r="AI62" s="1"/>
      <c r="AJ62" s="1"/>
      <c r="AK62" s="327"/>
      <c r="AL62" s="1"/>
      <c r="AM62" s="175"/>
      <c r="AN62" s="1"/>
      <c r="AO62" s="1"/>
      <c r="AP62" s="327"/>
      <c r="AQ62" s="1"/>
      <c r="AR62" s="175"/>
      <c r="AS62" s="1"/>
      <c r="AT62" s="1"/>
      <c r="AU62" s="327"/>
      <c r="AV62" s="1"/>
      <c r="AW62" s="175"/>
      <c r="AX62" s="1"/>
      <c r="AY62" s="1"/>
      <c r="AZ62" s="327"/>
      <c r="BA62" s="1"/>
      <c r="BB62" s="175"/>
      <c r="BC62" s="1"/>
      <c r="BD62" s="1"/>
      <c r="BE62" s="327"/>
      <c r="BF62" s="1"/>
      <c r="BG62" s="1"/>
      <c r="BH62" s="1"/>
      <c r="BI62" s="1"/>
      <c r="BJ62" s="1"/>
      <c r="BK62" s="1"/>
      <c r="BL62" s="1"/>
      <c r="BM62" s="1"/>
      <c r="BN62" s="1"/>
      <c r="BO62" s="1"/>
      <c r="BP62" s="1"/>
      <c r="BQ62" s="1"/>
      <c r="BR62" s="1"/>
      <c r="BS62" s="1"/>
    </row>
    <row r="63" ht="15.75" customHeight="1">
      <c r="A63" s="55">
        <f t="shared" si="1"/>
        <v>63</v>
      </c>
      <c r="B63" s="1"/>
      <c r="C63" s="1"/>
      <c r="D63" s="289" t="s">
        <v>304</v>
      </c>
      <c r="E63" s="290"/>
      <c r="F63" s="290"/>
      <c r="G63" s="291"/>
      <c r="H63" s="1"/>
      <c r="I63" s="289" t="s">
        <v>304</v>
      </c>
      <c r="J63" s="290"/>
      <c r="K63" s="290"/>
      <c r="L63" s="291"/>
      <c r="M63" s="1"/>
      <c r="N63" s="289" t="s">
        <v>304</v>
      </c>
      <c r="O63" s="290"/>
      <c r="P63" s="290"/>
      <c r="Q63" s="291"/>
      <c r="R63" s="1"/>
      <c r="S63" s="289" t="s">
        <v>304</v>
      </c>
      <c r="T63" s="290"/>
      <c r="U63" s="290"/>
      <c r="V63" s="291"/>
      <c r="W63" s="1"/>
      <c r="X63" s="289" t="s">
        <v>304</v>
      </c>
      <c r="Y63" s="290"/>
      <c r="Z63" s="290"/>
      <c r="AA63" s="291"/>
      <c r="AB63" s="1"/>
      <c r="AC63" s="289" t="s">
        <v>304</v>
      </c>
      <c r="AD63" s="290"/>
      <c r="AE63" s="290"/>
      <c r="AF63" s="291"/>
      <c r="AG63" s="1"/>
      <c r="AH63" s="289" t="s">
        <v>304</v>
      </c>
      <c r="AI63" s="290"/>
      <c r="AJ63" s="290"/>
      <c r="AK63" s="291"/>
      <c r="AL63" s="1"/>
      <c r="AM63" s="289" t="s">
        <v>304</v>
      </c>
      <c r="AN63" s="290"/>
      <c r="AO63" s="290"/>
      <c r="AP63" s="291"/>
      <c r="AQ63" s="1"/>
      <c r="AR63" s="289" t="s">
        <v>304</v>
      </c>
      <c r="AS63" s="290"/>
      <c r="AT63" s="290"/>
      <c r="AU63" s="291"/>
      <c r="AV63" s="1"/>
      <c r="AW63" s="289" t="s">
        <v>304</v>
      </c>
      <c r="AX63" s="290"/>
      <c r="AY63" s="290"/>
      <c r="AZ63" s="291"/>
      <c r="BA63" s="1"/>
      <c r="BB63" s="289" t="s">
        <v>304</v>
      </c>
      <c r="BC63" s="290"/>
      <c r="BD63" s="290"/>
      <c r="BE63" s="291"/>
      <c r="BF63" s="1"/>
      <c r="BG63" s="1"/>
      <c r="BH63" s="1"/>
      <c r="BI63" s="1"/>
      <c r="BJ63" s="1"/>
      <c r="BK63" s="1"/>
      <c r="BL63" s="1"/>
      <c r="BM63" s="1"/>
      <c r="BN63" s="1"/>
      <c r="BO63" s="1"/>
      <c r="BP63" s="1"/>
      <c r="BQ63" s="1"/>
      <c r="BR63" s="1"/>
      <c r="BS63" s="1"/>
    </row>
    <row r="64" ht="15.75" customHeight="1">
      <c r="A64" s="55">
        <f t="shared" si="1"/>
        <v>64</v>
      </c>
      <c r="B64" s="1"/>
      <c r="C64" s="1"/>
      <c r="D64" s="251" t="str">
        <f>G5</f>
        <v>LTM</v>
      </c>
      <c r="E64" s="252">
        <f t="shared" ref="E64:G64" si="48">D28</f>
        <v>2020</v>
      </c>
      <c r="F64" s="252">
        <f t="shared" si="48"/>
        <v>2021</v>
      </c>
      <c r="G64" s="255">
        <f t="shared" si="48"/>
        <v>2022</v>
      </c>
      <c r="H64" s="1"/>
      <c r="I64" s="251" t="str">
        <f>L5</f>
        <v>LTM</v>
      </c>
      <c r="J64" s="252">
        <f t="shared" ref="J64:L64" si="49">I28</f>
        <v>2020</v>
      </c>
      <c r="K64" s="252">
        <f t="shared" si="49"/>
        <v>2021</v>
      </c>
      <c r="L64" s="255">
        <f t="shared" si="49"/>
        <v>2022</v>
      </c>
      <c r="M64" s="1"/>
      <c r="N64" s="251" t="str">
        <f>Q5</f>
        <v>LTM</v>
      </c>
      <c r="O64" s="252">
        <f t="shared" ref="O64:Q64" si="50">N28</f>
        <v>2020</v>
      </c>
      <c r="P64" s="252">
        <f t="shared" si="50"/>
        <v>2021</v>
      </c>
      <c r="Q64" s="255">
        <f t="shared" si="50"/>
        <v>2022</v>
      </c>
      <c r="R64" s="1"/>
      <c r="S64" s="251" t="str">
        <f>V5</f>
        <v>LTM</v>
      </c>
      <c r="T64" s="252">
        <f t="shared" ref="T64:V64" si="51">S28</f>
        <v>2020</v>
      </c>
      <c r="U64" s="252">
        <f t="shared" si="51"/>
        <v>2021</v>
      </c>
      <c r="V64" s="255">
        <f t="shared" si="51"/>
        <v>2022</v>
      </c>
      <c r="W64" s="1"/>
      <c r="X64" s="251" t="str">
        <f>AA5</f>
        <v>LTM</v>
      </c>
      <c r="Y64" s="252">
        <f t="shared" ref="Y64:AA64" si="52">X28</f>
        <v>2020</v>
      </c>
      <c r="Z64" s="252">
        <f t="shared" si="52"/>
        <v>2021</v>
      </c>
      <c r="AA64" s="255">
        <f t="shared" si="52"/>
        <v>2022</v>
      </c>
      <c r="AB64" s="1"/>
      <c r="AC64" s="251" t="str">
        <f>AF5</f>
        <v>LTM</v>
      </c>
      <c r="AD64" s="252">
        <f t="shared" ref="AD64:AF64" si="53">AC28</f>
        <v>2020</v>
      </c>
      <c r="AE64" s="252">
        <f t="shared" si="53"/>
        <v>2021</v>
      </c>
      <c r="AF64" s="255">
        <f t="shared" si="53"/>
        <v>2022</v>
      </c>
      <c r="AG64" s="1"/>
      <c r="AH64" s="251" t="str">
        <f>AK5</f>
        <v>LTM</v>
      </c>
      <c r="AI64" s="252">
        <f t="shared" ref="AI64:AK64" si="54">AH28</f>
        <v>2020</v>
      </c>
      <c r="AJ64" s="252">
        <f t="shared" si="54"/>
        <v>2021</v>
      </c>
      <c r="AK64" s="255">
        <f t="shared" si="54"/>
        <v>2022</v>
      </c>
      <c r="AL64" s="1"/>
      <c r="AM64" s="251" t="str">
        <f>AP5</f>
        <v>LTM</v>
      </c>
      <c r="AN64" s="252">
        <f t="shared" ref="AN64:AP64" si="55">AM28</f>
        <v>2020</v>
      </c>
      <c r="AO64" s="252">
        <f t="shared" si="55"/>
        <v>2021</v>
      </c>
      <c r="AP64" s="255">
        <f t="shared" si="55"/>
        <v>2022</v>
      </c>
      <c r="AQ64" s="1"/>
      <c r="AR64" s="251" t="str">
        <f>AU5</f>
        <v>LTM</v>
      </c>
      <c r="AS64" s="252">
        <f t="shared" ref="AS64:AU64" si="56">AR28</f>
        <v>2020</v>
      </c>
      <c r="AT64" s="252">
        <f t="shared" si="56"/>
        <v>2021</v>
      </c>
      <c r="AU64" s="255">
        <f t="shared" si="56"/>
        <v>2022</v>
      </c>
      <c r="AV64" s="1"/>
      <c r="AW64" s="251" t="str">
        <f>AZ5</f>
        <v>LTM</v>
      </c>
      <c r="AX64" s="252">
        <f t="shared" ref="AX64:AZ64" si="57">AW28</f>
        <v>2020</v>
      </c>
      <c r="AY64" s="252">
        <f t="shared" si="57"/>
        <v>2021</v>
      </c>
      <c r="AZ64" s="255">
        <f t="shared" si="57"/>
        <v>2022</v>
      </c>
      <c r="BA64" s="1"/>
      <c r="BB64" s="251" t="str">
        <f>BE5</f>
        <v>LTM</v>
      </c>
      <c r="BC64" s="252">
        <f t="shared" ref="BC64:BE64" si="58">BB28</f>
        <v>2020</v>
      </c>
      <c r="BD64" s="252">
        <f t="shared" si="58"/>
        <v>2021</v>
      </c>
      <c r="BE64" s="255">
        <f t="shared" si="58"/>
        <v>2022</v>
      </c>
      <c r="BF64" s="1"/>
      <c r="BG64" s="1"/>
      <c r="BH64" s="1"/>
      <c r="BI64" s="1"/>
      <c r="BJ64" s="1"/>
      <c r="BK64" s="1"/>
      <c r="BL64" s="1"/>
      <c r="BM64" s="1"/>
      <c r="BN64" s="1"/>
      <c r="BO64" s="1"/>
      <c r="BP64" s="1"/>
      <c r="BQ64" s="1"/>
      <c r="BR64" s="1"/>
      <c r="BS64" s="1"/>
    </row>
    <row r="65" ht="15.75" customHeight="1">
      <c r="A65" s="55">
        <f t="shared" si="1"/>
        <v>65</v>
      </c>
      <c r="B65" s="1" t="s">
        <v>305</v>
      </c>
      <c r="C65" s="1"/>
      <c r="D65" s="367">
        <f>IFERROR(IF(OR(+G$60/G6&lt;0,+G$60/G6&gt;=100),"NM",+G$60/G6),"N/A")</f>
        <v>5.205861486</v>
      </c>
      <c r="E65" s="368">
        <f t="shared" ref="E65:E66" si="59">IFERROR(IF(OR(+G$60/D29&lt;0,+G$60/D29&gt;=100),"NM",+G$60/D29),"N/A")</f>
        <v>6.336949966</v>
      </c>
      <c r="F65" s="368">
        <f t="shared" ref="F65:F66" si="60">IFERROR(IF(OR(+G$60/E29&lt;0,+G$60/E29&gt;=100),"NM",+G$60/E29),"N/A")</f>
        <v>3.622887931</v>
      </c>
      <c r="G65" s="369">
        <f t="shared" ref="G65:G66" si="61">IFERROR(IF(OR(+G$60/F29&lt;0,+G$60/F29&gt;=100),"NM",+G$60/F29),"N/A")</f>
        <v>3.522137143</v>
      </c>
      <c r="H65" s="1"/>
      <c r="I65" s="367">
        <f>IFERROR(IF(OR(+L$60/L6&lt;0,+L$60/L6&gt;=100),"NM",+L$60/L6),"N/A")</f>
        <v>5.332750606</v>
      </c>
      <c r="J65" s="368">
        <f t="shared" ref="J65:J66" si="62">IFERROR(IF(OR(+L$60/I29&lt;0,+L$60/I29&gt;=100),"NM",+L$60/I29),"N/A")</f>
        <v>5.088110158</v>
      </c>
      <c r="K65" s="368">
        <f t="shared" ref="K65:K66" si="63">IFERROR(IF(OR(+L$60/J29&lt;0,+L$60/J29&gt;=100),"NM",+L$60/J29),"N/A")</f>
        <v>4.910177734</v>
      </c>
      <c r="L65" s="369">
        <f t="shared" ref="L65:L66" si="64">IFERROR(IF(OR(+L$60/K29&lt;0,+L$60/K29&gt;=100),"NM",+L$60/K29),"N/A")</f>
        <v>4.538706241</v>
      </c>
      <c r="M65" s="1"/>
      <c r="N65" s="367">
        <f>IFERROR(IF(OR(+Q$60/Q6&lt;0,+Q$60/Q6&gt;=100),"NM",+Q$60/Q6),"N/A")</f>
        <v>3.687543559</v>
      </c>
      <c r="O65" s="368">
        <f t="shared" ref="O65:O66" si="65">IFERROR(IF(OR(+Q$60/N29&lt;0,+Q$60/N29&gt;=100),"NM",+Q$60/N29),"N/A")</f>
        <v>3.725744327</v>
      </c>
      <c r="P65" s="368">
        <f t="shared" ref="P65:P66" si="66">IFERROR(IF(OR(+Q$60/O29&lt;0,+Q$60/O29&gt;=100),"NM",+Q$60/O29),"N/A")</f>
        <v>3.932191298</v>
      </c>
      <c r="Q65" s="369">
        <f t="shared" ref="Q65:Q66" si="67">IFERROR(IF(OR(+Q$60/P29&lt;0,+Q$60/P29&gt;=100),"NM",+Q$60/P29),"N/A")</f>
        <v>3.048043355</v>
      </c>
      <c r="R65" s="1"/>
      <c r="S65" s="367">
        <f>IFERROR(IF(OR(+V$60/V6&lt;0,+V$60/V6&gt;=100),"NM",+V$60/V6),"N/A")</f>
        <v>2.828442438</v>
      </c>
      <c r="T65" s="368">
        <f t="shared" ref="T65:T66" si="68">IFERROR(IF(OR(+V$60/S29&lt;0,+V$60/S29&gt;=100),"NM",+V$60/S29),"N/A")</f>
        <v>2.486111111</v>
      </c>
      <c r="U65" s="368">
        <f t="shared" ref="U65:U66" si="69">IFERROR(IF(OR(+V$60/T29&lt;0,+V$60/T29&gt;=100),"NM",+V$60/T29),"N/A")</f>
        <v>2.346441948</v>
      </c>
      <c r="V65" s="369">
        <f t="shared" ref="V65:V66" si="70">IFERROR(IF(OR(+V$60/U29&lt;0,+V$60/U29&gt;=100),"NM",+V$60/U29),"N/A")</f>
        <v>2.167820069</v>
      </c>
      <c r="W65" s="1"/>
      <c r="X65" s="367">
        <f>IFERROR(IF(OR(+AA$60/AA6&lt;0,+AA$60/AA6&gt;=100),"NM",+AA$60/AA6),"N/A")</f>
        <v>2.19851789</v>
      </c>
      <c r="Y65" s="368">
        <f t="shared" ref="Y65:Y66" si="71">IFERROR(IF(OR(+AA$60/X29&lt;0,+AA$60/X29&gt;=100),"NM",+AA$60/X29),"N/A")</f>
        <v>2.178885236</v>
      </c>
      <c r="Z65" s="368">
        <f t="shared" ref="Z65:Z66" si="72">IFERROR(IF(OR(+AA$60/Y29&lt;0,+AA$60/Y29&gt;=100),"NM",+AA$60/Y29),"N/A")</f>
        <v>1.869984175</v>
      </c>
      <c r="AA65" s="369">
        <f t="shared" ref="AA65:AA66" si="73">IFERROR(IF(OR(+AA$60/Z29&lt;0,+AA$60/Z29&gt;=100),"NM",+AA$60/Z29),"N/A")</f>
        <v>1.852617515</v>
      </c>
      <c r="AB65" s="1"/>
      <c r="AC65" s="367">
        <f>IFERROR(IF(OR(+AF$60/AF6&lt;0,+AF$60/AF6&gt;=100),"NM",+AF$60/AF6),"N/A")</f>
        <v>3.942746303</v>
      </c>
      <c r="AD65" s="368">
        <f t="shared" ref="AD65:AD66" si="74">IFERROR(IF(OR(+AF$60/AC29&lt;0,+AF$60/AC29&gt;=100),"NM",+AF$60/AC29),"N/A")</f>
        <v>3.764441436</v>
      </c>
      <c r="AE65" s="368">
        <f t="shared" ref="AE65:AE66" si="75">IFERROR(IF(OR(+AF$60/AD29&lt;0,+AF$60/AD29&gt;=100),"NM",+AF$60/AD29),"N/A")</f>
        <v>3.528133433</v>
      </c>
      <c r="AF65" s="369">
        <f t="shared" ref="AF65:AF66" si="76">IFERROR(IF(OR(+AF$60/AE29&lt;0,+AF$60/AE29&gt;=100),"NM",+AF$60/AE29),"N/A")</f>
        <v>3.626063618</v>
      </c>
      <c r="AG65" s="1"/>
      <c r="AH65" s="367">
        <f>IFERROR(IF(OR(+AK$60/AK6&lt;0,+AK$60/AK6&gt;=100),"NM",+AK$60/AK6),"N/A")</f>
        <v>67.50753159</v>
      </c>
      <c r="AI65" s="368">
        <f t="shared" ref="AI65:AI66" si="77">IFERROR(IF(OR(+AK$60/AH29&lt;0,+AK$60/AH29&gt;=100),"NM",+AK$60/AH29),"N/A")</f>
        <v>9.475980475</v>
      </c>
      <c r="AJ65" s="368">
        <f t="shared" ref="AJ65:AJ66" si="78">IFERROR(IF(OR(+AK$60/AI29&lt;0,+AK$60/AI29&gt;=100),"NM",+AK$60/AI29),"N/A")</f>
        <v>13.31749991</v>
      </c>
      <c r="AK65" s="369">
        <f t="shared" ref="AK65:AK66" si="79">IFERROR(IF(OR(+AK$60/AJ29&lt;0,+AK$60/AJ29&gt;=100),"NM",+AK$60/AJ29),"N/A")</f>
        <v>19.11928424</v>
      </c>
      <c r="AL65" s="1"/>
      <c r="AM65" s="367" t="str">
        <f>IFERROR(IF(OR(+AP$60/AP6&lt;0,+AP$60/AP6&gt;=100),"NM",+AP$60/AP6),"N/A")</f>
        <v>NM</v>
      </c>
      <c r="AN65" s="368" t="str">
        <f t="shared" ref="AN65:AN66" si="80">IFERROR(IF(OR(+AP$60/AM29&lt;0,+AP$60/AM29&gt;=100),"NM",+AP$60/AM29),"N/A")</f>
        <v>NM</v>
      </c>
      <c r="AO65" s="368" t="str">
        <f t="shared" ref="AO65:AO66" si="81">IFERROR(IF(OR(+AP$60/AN29&lt;0,+AP$60/AN29&gt;=100),"NM",+AP$60/AN29),"N/A")</f>
        <v>NM</v>
      </c>
      <c r="AP65" s="369" t="str">
        <f t="shared" ref="AP65:AP66" si="82">IFERROR(IF(OR(+AP$60/AO29&lt;0,+AP$60/AO29&gt;=100),"NM",+AP$60/AO29),"N/A")</f>
        <v>NM</v>
      </c>
      <c r="AQ65" s="1"/>
      <c r="AR65" s="367" t="str">
        <f>IFERROR(IF(OR(+AU$60/AU6&lt;0,+AU$60/AU6&gt;=100),"NM",+AU$60/AU6),"N/A")</f>
        <v>NM</v>
      </c>
      <c r="AS65" s="368" t="str">
        <f t="shared" ref="AS65:AS66" si="83">IFERROR(IF(OR(+AU$60/AR29&lt;0,+AU$60/AR29&gt;=100),"NM",+AU$60/AR29),"N/A")</f>
        <v>NM</v>
      </c>
      <c r="AT65" s="368" t="str">
        <f t="shared" ref="AT65:AT66" si="84">IFERROR(IF(OR(+AU$60/AS29&lt;0,+AU$60/AS29&gt;=100),"NM",+AU$60/AS29),"N/A")</f>
        <v>NM</v>
      </c>
      <c r="AU65" s="369" t="str">
        <f t="shared" ref="AU65:AU66" si="85">IFERROR(IF(OR(+AU$60/AT29&lt;0,+AU$60/AT29&gt;=100),"NM",+AU$60/AT29),"N/A")</f>
        <v>NM</v>
      </c>
      <c r="AV65" s="1"/>
      <c r="AW65" s="367">
        <f>IFERROR(IF(OR(+AZ$60/AZ6&lt;0,+AZ$60/AZ6&gt;=100),"NM",+AZ$60/AZ6),"N/A")</f>
        <v>8.382969178</v>
      </c>
      <c r="AX65" s="368" t="str">
        <f t="shared" ref="AX65:AX66" si="86">IFERROR(IF(OR(+AZ$60/AW29&lt;0,+AZ$60/AW29&gt;=100),"NM",+AZ$60/AW29),"N/A")</f>
        <v>NM</v>
      </c>
      <c r="AY65" s="368" t="str">
        <f t="shared" ref="AY65:AY66" si="87">IFERROR(IF(OR(+AZ$60/AX29&lt;0,+AZ$60/AX29&gt;=100),"NM",+AZ$60/AX29),"N/A")</f>
        <v>NM</v>
      </c>
      <c r="AZ65" s="369" t="str">
        <f t="shared" ref="AZ65:AZ66" si="88">IFERROR(IF(OR(+AZ$60/AY29&lt;0,+AZ$60/AY29&gt;=100),"NM",+AZ$60/AY29),"N/A")</f>
        <v>NM</v>
      </c>
      <c r="BA65" s="1"/>
      <c r="BB65" s="367">
        <f>IFERROR(IF(OR(+BE$60/BE6&lt;0,+BE$60/BE6&gt;=100),"NM",+BE$60/BE6),"N/A")</f>
        <v>6.90553244</v>
      </c>
      <c r="BC65" s="368">
        <f t="shared" ref="BC65:BC66" si="89">IFERROR(IF(OR(+BE$60/BB29&lt;0,+BE$60/BB29&gt;=100),"NM",+BE$60/BB29),"N/A")</f>
        <v>6.589705882</v>
      </c>
      <c r="BD65" s="368">
        <f t="shared" ref="BD65:BD66" si="90">IFERROR(IF(OR(+BE$60/BC29&lt;0,+BE$60/BC29&gt;=100),"NM",+BE$60/BC29),"N/A")</f>
        <v>6.039083558</v>
      </c>
      <c r="BE65" s="369">
        <f t="shared" ref="BE65:BE66" si="91">IFERROR(IF(OR(+BE$60/BD29&lt;0,+BE$60/BD29&gt;=100),"NM",+BE$60/BD29),"N/A")</f>
        <v>5.186342593</v>
      </c>
      <c r="BF65" s="1"/>
      <c r="BG65" s="1"/>
      <c r="BH65" s="1"/>
      <c r="BI65" s="1"/>
      <c r="BJ65" s="1"/>
      <c r="BK65" s="1"/>
      <c r="BL65" s="1"/>
      <c r="BM65" s="1"/>
      <c r="BN65" s="1"/>
      <c r="BO65" s="1"/>
      <c r="BP65" s="1"/>
      <c r="BQ65" s="1"/>
      <c r="BR65" s="1"/>
      <c r="BS65" s="1"/>
    </row>
    <row r="66" ht="15.75" customHeight="1">
      <c r="A66" s="55">
        <f t="shared" si="1"/>
        <v>66</v>
      </c>
      <c r="B66" s="1" t="s">
        <v>306</v>
      </c>
      <c r="C66" s="1"/>
      <c r="D66" s="370">
        <f>IFERROR(IF(OR(+G$60/G12&lt;0,+G$60/G12&gt;=100),"NM",+G$60/G12),"N/A")</f>
        <v>13.03116279</v>
      </c>
      <c r="E66" s="371">
        <f t="shared" si="59"/>
        <v>13.73872147</v>
      </c>
      <c r="F66" s="371">
        <f t="shared" si="60"/>
        <v>7.257150706</v>
      </c>
      <c r="G66" s="372">
        <f t="shared" si="61"/>
        <v>6.376282759</v>
      </c>
      <c r="H66" s="1"/>
      <c r="I66" s="370">
        <f>IFERROR(IF(OR(+L$60/L12&lt;0,+L$60/L12&gt;=100),"NM",+L$60/L12),"N/A")</f>
        <v>13.27155128</v>
      </c>
      <c r="J66" s="371">
        <f t="shared" si="62"/>
        <v>14.82151348</v>
      </c>
      <c r="K66" s="371">
        <f t="shared" si="63"/>
        <v>14.35405954</v>
      </c>
      <c r="L66" s="372">
        <f t="shared" si="64"/>
        <v>12.59404365</v>
      </c>
      <c r="M66" s="1"/>
      <c r="N66" s="370">
        <f>IFERROR(IF(OR(+Q$60/Q12&lt;0,+Q$60/Q12&gt;=100),"NM",+Q$60/Q12),"N/A")</f>
        <v>17.97324902</v>
      </c>
      <c r="O66" s="371">
        <f t="shared" si="65"/>
        <v>15.93835245</v>
      </c>
      <c r="P66" s="371">
        <f t="shared" si="66"/>
        <v>15.83665943</v>
      </c>
      <c r="Q66" s="372">
        <f t="shared" si="67"/>
        <v>12.01184</v>
      </c>
      <c r="R66" s="1"/>
      <c r="S66" s="370">
        <f>IFERROR(IF(OR(+V$60/V12&lt;0,+V$60/V12&gt;=100),"NM",+V$60/V12),"N/A")</f>
        <v>19.30216437</v>
      </c>
      <c r="T66" s="371">
        <f t="shared" si="68"/>
        <v>14.51474643</v>
      </c>
      <c r="U66" s="371">
        <f t="shared" si="69"/>
        <v>13.13059334</v>
      </c>
      <c r="V66" s="372">
        <f t="shared" si="70"/>
        <v>11.47036745</v>
      </c>
      <c r="W66" s="1"/>
      <c r="X66" s="370">
        <f>IFERROR(IF(OR(+AA$60/AA12&lt;0,+AA$60/AA12&gt;=100),"NM",+AA$60/AA12),"N/A")</f>
        <v>15.26101131</v>
      </c>
      <c r="Y66" s="371">
        <f t="shared" si="71"/>
        <v>13.83779599</v>
      </c>
      <c r="Z66" s="371">
        <f t="shared" si="72"/>
        <v>11.37159345</v>
      </c>
      <c r="AA66" s="372">
        <f t="shared" si="73"/>
        <v>10.98473383</v>
      </c>
      <c r="AB66" s="1"/>
      <c r="AC66" s="370">
        <f>IFERROR(IF(OR(+AF$60/AF12&lt;0,+AF$60/AF12&gt;=100),"NM",+AF$60/AF12),"N/A")</f>
        <v>16.51917213</v>
      </c>
      <c r="AD66" s="371">
        <f t="shared" si="74"/>
        <v>14.86420691</v>
      </c>
      <c r="AE66" s="371">
        <f t="shared" si="75"/>
        <v>12.32826486</v>
      </c>
      <c r="AF66" s="372">
        <f t="shared" si="76"/>
        <v>12.38893452</v>
      </c>
      <c r="AG66" s="1"/>
      <c r="AH66" s="370" t="str">
        <f>IFERROR(IF(OR(+AK$60/AK12&lt;0,+AK$60/AK12&gt;=100),"NM",+AK$60/AK12),"N/A")</f>
        <v>NM</v>
      </c>
      <c r="AI66" s="371">
        <f t="shared" si="77"/>
        <v>12.0027285</v>
      </c>
      <c r="AJ66" s="371">
        <f t="shared" si="78"/>
        <v>18.39431303</v>
      </c>
      <c r="AK66" s="372">
        <f t="shared" si="79"/>
        <v>29.98647619</v>
      </c>
      <c r="AL66" s="1"/>
      <c r="AM66" s="370" t="str">
        <f>IFERROR(IF(OR(+AP$60/AP12&lt;0,+AP$60/AP12&gt;=100),"NM",+AP$60/AP12),"N/A")</f>
        <v>NM</v>
      </c>
      <c r="AN66" s="371" t="str">
        <f t="shared" si="80"/>
        <v>NM</v>
      </c>
      <c r="AO66" s="371" t="str">
        <f t="shared" si="81"/>
        <v>NM</v>
      </c>
      <c r="AP66" s="372" t="str">
        <f t="shared" si="82"/>
        <v>NM</v>
      </c>
      <c r="AQ66" s="1"/>
      <c r="AR66" s="370">
        <f>IFERROR(IF(OR(+AU$60/AU12&lt;0,+AU$60/AU12&gt;=100),"NM",+AU$60/AU12),"N/A")</f>
        <v>55.68579085</v>
      </c>
      <c r="AS66" s="371" t="str">
        <f t="shared" si="83"/>
        <v>NM</v>
      </c>
      <c r="AT66" s="371" t="str">
        <f t="shared" si="84"/>
        <v>NM</v>
      </c>
      <c r="AU66" s="372" t="str">
        <f t="shared" si="85"/>
        <v>NM</v>
      </c>
      <c r="AV66" s="1"/>
      <c r="AW66" s="370">
        <f>IFERROR(IF(OR(+AZ$60/AZ12&lt;0,+AZ$60/AZ12&gt;=100),"NM",+AZ$60/AZ12),"N/A")</f>
        <v>26.53915062</v>
      </c>
      <c r="AX66" s="371" t="str">
        <f t="shared" si="86"/>
        <v>NM</v>
      </c>
      <c r="AY66" s="371" t="str">
        <f t="shared" si="87"/>
        <v>NM</v>
      </c>
      <c r="AZ66" s="372" t="str">
        <f t="shared" si="88"/>
        <v>NM</v>
      </c>
      <c r="BA66" s="1"/>
      <c r="BB66" s="370">
        <f>IFERROR(IF(OR(+BE$60/BE12&lt;0,+BE$60/BE12&gt;=100),"NM",+BE$60/BE12),"N/A")</f>
        <v>23.15762274</v>
      </c>
      <c r="BC66" s="371">
        <f t="shared" si="89"/>
        <v>22.09850205</v>
      </c>
      <c r="BD66" s="371">
        <f t="shared" si="90"/>
        <v>20.25199649</v>
      </c>
      <c r="BE66" s="372">
        <f t="shared" si="91"/>
        <v>17.39233958</v>
      </c>
      <c r="BF66" s="1"/>
      <c r="BG66" s="1"/>
      <c r="BH66" s="1"/>
      <c r="BI66" s="1"/>
      <c r="BJ66" s="1"/>
      <c r="BK66" s="1"/>
      <c r="BL66" s="1"/>
      <c r="BM66" s="1"/>
      <c r="BN66" s="1"/>
      <c r="BO66" s="1"/>
      <c r="BP66" s="1"/>
      <c r="BQ66" s="1"/>
      <c r="BR66" s="1"/>
      <c r="BS66" s="1"/>
    </row>
    <row r="67" ht="15.75" customHeight="1">
      <c r="A67" s="55">
        <f t="shared" si="1"/>
        <v>67</v>
      </c>
      <c r="B67" s="1" t="s">
        <v>307</v>
      </c>
      <c r="C67" s="1"/>
      <c r="D67" s="373" t="str">
        <f>IFERROR(IF(OR(+G$59/G7&lt;0,+G$59/G7&gt;=100),"NM",+G$59/G7),"N/A")</f>
        <v>NM</v>
      </c>
      <c r="E67" s="374" t="str">
        <f>IFERROR(IF(OR(+G$59/D31&lt;0,+G$59/D31&gt;=100),"NM",+G$59/D31),"N/A")</f>
        <v>NM</v>
      </c>
      <c r="F67" s="374">
        <f>IFERROR(IF(OR(+G$59/E31&lt;0,+G$59/E31&gt;=100),"NM",+G$59/E31),"N/A")</f>
        <v>20.81434166</v>
      </c>
      <c r="G67" s="375">
        <f>IFERROR(IF(OR(+G$59/F31&lt;0,+G$59/F31&gt;=100),"NM",+G$59/F31),"N/A")</f>
        <v>19.35546061</v>
      </c>
      <c r="H67" s="1"/>
      <c r="I67" s="373">
        <f>IFERROR(IF(OR(+L$59/L7&lt;0,+L$59/L7&gt;=100),"NM",+L$59/L7),"N/A")</f>
        <v>31.17008391</v>
      </c>
      <c r="J67" s="374">
        <f>IFERROR(IF(OR(+L$59/I31&lt;0,+L$59/I31&gt;=100),"NM",+L$59/I31),"N/A")</f>
        <v>22.98296194</v>
      </c>
      <c r="K67" s="374">
        <f>IFERROR(IF(OR(+L$59/J31&lt;0,+L$59/J31&gt;=100),"NM",+L$59/J31),"N/A")</f>
        <v>21.96700728</v>
      </c>
      <c r="L67" s="375">
        <f>IFERROR(IF(OR(+L$59/K31&lt;0,+L$59/K31&gt;=100),"NM",+L$59/K31),"N/A")</f>
        <v>19.34673913</v>
      </c>
      <c r="M67" s="1"/>
      <c r="N67" s="373">
        <f>IFERROR(IF(OR(+Q$59/Q7&lt;0,+Q$59/Q7&gt;=100),"NM",+Q$59/Q7),"N/A")</f>
        <v>37.59839042</v>
      </c>
      <c r="O67" s="374">
        <f>IFERROR(IF(OR(+Q$59/N31&lt;0,+Q$59/N31&gt;=100),"NM",+Q$59/N31),"N/A")</f>
        <v>23.15538952</v>
      </c>
      <c r="P67" s="374">
        <f>IFERROR(IF(OR(+Q$59/O31&lt;0,+Q$59/O31&gt;=100),"NM",+Q$59/O31),"N/A")</f>
        <v>24.34496326</v>
      </c>
      <c r="Q67" s="375">
        <f>IFERROR(IF(OR(+Q$59/P31&lt;0,+Q$59/P31&gt;=100),"NM",+Q$59/P31),"N/A")</f>
        <v>19.20279895</v>
      </c>
      <c r="R67" s="1"/>
      <c r="S67" s="373">
        <f>IFERROR(IF(OR(+V$59/V7&lt;0,+V$59/V7&gt;=100),"NM",+V$59/V7),"N/A")</f>
        <v>39.73195164</v>
      </c>
      <c r="T67" s="374">
        <f>IFERROR(IF(OR(+V$59/S31&lt;0,+V$59/S31&gt;=100),"NM",+V$59/S31),"N/A")</f>
        <v>29.31977743</v>
      </c>
      <c r="U67" s="374">
        <f>IFERROR(IF(OR(+V$59/T31&lt;0,+V$59/T31&gt;=100),"NM",+V$59/T31),"N/A")</f>
        <v>26.27215537</v>
      </c>
      <c r="V67" s="375">
        <f>IFERROR(IF(OR(+V$59/U31&lt;0,+V$59/U31&gt;=100),"NM",+V$59/U31),"N/A")</f>
        <v>17.62819923</v>
      </c>
      <c r="W67" s="1"/>
      <c r="X67" s="373">
        <f>IFERROR(IF(OR(+AA$59/AA7&lt;0,+AA$59/AA7&gt;=100),"NM",+AA$59/AA7),"N/A")</f>
        <v>21.58457791</v>
      </c>
      <c r="Y67" s="374">
        <f>IFERROR(IF(OR(+AA$59/X31&lt;0,+AA$59/X31&gt;=100),"NM",+AA$59/X31),"N/A")</f>
        <v>24.99277169</v>
      </c>
      <c r="Z67" s="374">
        <f>IFERROR(IF(OR(+AA$59/Y31&lt;0,+AA$59/Y31&gt;=100),"NM",+AA$59/Y31),"N/A")</f>
        <v>18.5748821</v>
      </c>
      <c r="AA67" s="375">
        <f>IFERROR(IF(OR(+AA$59/Z31&lt;0,+AA$59/Z31&gt;=100),"NM",+AA$59/Z31),"N/A")</f>
        <v>17.57309094</v>
      </c>
      <c r="AB67" s="1"/>
      <c r="AC67" s="373">
        <f>IFERROR(IF(OR(+AF$59/AF7&lt;0,+AF$59/AF7&gt;=100),"NM",+AF$59/AF7),"N/A")</f>
        <v>21.85051848</v>
      </c>
      <c r="AD67" s="374">
        <f>IFERROR(IF(OR(+AF$59/AC31&lt;0,+AF$59/AC31&gt;=100),"NM",+AF$59/AC31),"N/A")</f>
        <v>21.16887783</v>
      </c>
      <c r="AE67" s="374">
        <f>IFERROR(IF(OR(+AF$59/AD31&lt;0,+AF$59/AD31&gt;=100),"NM",+AF$59/AD31),"N/A")</f>
        <v>17.13995754</v>
      </c>
      <c r="AF67" s="375">
        <f>IFERROR(IF(OR(+AF$59/AE31&lt;0,+AF$59/AE31&gt;=100),"NM",+AF$59/AE31),"N/A")</f>
        <v>16.5116814</v>
      </c>
      <c r="AG67" s="1"/>
      <c r="AH67" s="373" t="str">
        <f>IFERROR(IF(OR(+AK$59/AK7&lt;0,+AK$59/AK7&gt;=100),"NM",+AK$59/AK7),"N/A")</f>
        <v>NM</v>
      </c>
      <c r="AI67" s="374">
        <f>IFERROR(IF(OR(+AK$59/AH31&lt;0,+AK$59/AH31&gt;=100),"NM",+AK$59/AH31),"N/A")</f>
        <v>15.49577212</v>
      </c>
      <c r="AJ67" s="374">
        <f>IFERROR(IF(OR(+AK$59/AI31&lt;0,+AK$59/AI31&gt;=100),"NM",+AK$59/AI31),"N/A")</f>
        <v>21.58036764</v>
      </c>
      <c r="AK67" s="375">
        <f>IFERROR(IF(OR(+AK$59/AJ31&lt;0,+AK$59/AJ31&gt;=100),"NM",+AK$59/AJ31),"N/A")</f>
        <v>33.91468279</v>
      </c>
      <c r="AL67" s="1"/>
      <c r="AM67" s="373" t="str">
        <f>IFERROR(IF(OR(+AP$59/AP7&lt;0,+AP$59/AP7&gt;=100),"NM",+AP$59/AP7),"N/A")</f>
        <v>NM</v>
      </c>
      <c r="AN67" s="374" t="str">
        <f>IFERROR(IF(OR(+AP$59/AM31&lt;0,+AP$59/AM31&gt;=100),"NM",+AP$59/AM31),"N/A")</f>
        <v>NM</v>
      </c>
      <c r="AO67" s="374" t="str">
        <f>IFERROR(IF(OR(+AP$59/AN31&lt;0,+AP$59/AN31&gt;=100),"NM",+AP$59/AN31),"N/A")</f>
        <v>NM</v>
      </c>
      <c r="AP67" s="375" t="str">
        <f>IFERROR(IF(OR(+AP$59/AO31&lt;0,+AP$59/AO31&gt;=100),"NM",+AP$59/AO31),"N/A")</f>
        <v>NM</v>
      </c>
      <c r="AQ67" s="1"/>
      <c r="AR67" s="373" t="str">
        <f>IFERROR(IF(OR(+AU$59/AU7&lt;0,+AU$59/AU7&gt;=100),"NM",+AU$59/AU7),"N/A")</f>
        <v>NM</v>
      </c>
      <c r="AS67" s="374" t="str">
        <f>IFERROR(IF(OR(+AU$59/AR31&lt;0,+AU$59/AR31&gt;=100),"NM",+AU$59/AR31),"N/A")</f>
        <v>NM</v>
      </c>
      <c r="AT67" s="374" t="str">
        <f>IFERROR(IF(OR(+AU$59/AS31&lt;0,+AU$59/AS31&gt;=100),"NM",+AU$59/AS31),"N/A")</f>
        <v>NM</v>
      </c>
      <c r="AU67" s="375" t="str">
        <f>IFERROR(IF(OR(+AU$59/AT31&lt;0,+AU$59/AT31&gt;=100),"NM",+AU$59/AT31),"N/A")</f>
        <v>NM</v>
      </c>
      <c r="AV67" s="1"/>
      <c r="AW67" s="373">
        <f>IFERROR(IF(OR(+AZ$59/AZ7&lt;0,+AZ$59/AZ7&gt;=100),"NM",+AZ$59/AZ7),"N/A")</f>
        <v>35.8251138</v>
      </c>
      <c r="AX67" s="374" t="str">
        <f>IFERROR(IF(OR(+AZ$59/AW31&lt;0,+AZ$59/AW31&gt;=100),"NM",+AZ$59/AW31),"N/A")</f>
        <v>NM</v>
      </c>
      <c r="AY67" s="374" t="str">
        <f>IFERROR(IF(OR(+AZ$59/AX31&lt;0,+AZ$59/AX31&gt;=100),"NM",+AZ$59/AX31),"N/A")</f>
        <v>NM</v>
      </c>
      <c r="AZ67" s="375" t="str">
        <f>IFERROR(IF(OR(+AZ$59/AY31&lt;0,+AZ$59/AY31&gt;=100),"NM",+AZ$59/AY31),"N/A")</f>
        <v>NM</v>
      </c>
      <c r="BA67" s="1"/>
      <c r="BB67" s="373">
        <f>IFERROR(IF(OR(+BE$59/BE7&lt;0,+BE$59/BE7&gt;=100),"NM",+BE$59/BE7),"N/A")</f>
        <v>31.50365935</v>
      </c>
      <c r="BC67" s="374">
        <f>IFERROR(IF(OR(+BE$59/BB31&lt;0,+BE$59/BB31&gt;=100),"NM",+BE$59/BB31),"N/A")</f>
        <v>30.06283022</v>
      </c>
      <c r="BD67" s="374">
        <f>IFERROR(IF(OR(+BE$59/BC31&lt;0,+BE$59/BC31&gt;=100),"NM",+BE$59/BC31),"N/A")</f>
        <v>27.55084171</v>
      </c>
      <c r="BE67" s="375">
        <f>IFERROR(IF(OR(+BE$59/BD31&lt;0,+BE$59/BD31&gt;=100),"NM",+BE$59/BD31),"N/A")</f>
        <v>23.66056082</v>
      </c>
      <c r="BF67" s="1"/>
      <c r="BG67" s="1"/>
      <c r="BH67" s="1"/>
      <c r="BI67" s="1"/>
      <c r="BJ67" s="1"/>
      <c r="BK67" s="1"/>
      <c r="BL67" s="1"/>
      <c r="BM67" s="1"/>
      <c r="BN67" s="1"/>
      <c r="BO67" s="1"/>
      <c r="BP67" s="1"/>
      <c r="BQ67" s="1"/>
      <c r="BR67" s="1"/>
      <c r="BS67" s="1"/>
    </row>
    <row r="68" ht="15.75" customHeight="1">
      <c r="A68" s="55">
        <f t="shared" si="1"/>
        <v>68</v>
      </c>
      <c r="B68" s="1"/>
      <c r="C68" s="1"/>
      <c r="D68" s="171"/>
      <c r="E68" s="1"/>
      <c r="F68" s="1"/>
      <c r="G68" s="363"/>
      <c r="H68" s="1"/>
      <c r="I68" s="171"/>
      <c r="J68" s="1"/>
      <c r="K68" s="1"/>
      <c r="L68" s="363"/>
      <c r="M68" s="1"/>
      <c r="N68" s="171"/>
      <c r="O68" s="1"/>
      <c r="P68" s="1"/>
      <c r="Q68" s="363"/>
      <c r="R68" s="1"/>
      <c r="S68" s="171"/>
      <c r="T68" s="1"/>
      <c r="U68" s="1"/>
      <c r="V68" s="363"/>
      <c r="W68" s="1"/>
      <c r="X68" s="171"/>
      <c r="Y68" s="1"/>
      <c r="Z68" s="1"/>
      <c r="AA68" s="363"/>
      <c r="AB68" s="1"/>
      <c r="AC68" s="171"/>
      <c r="AD68" s="1"/>
      <c r="AE68" s="1"/>
      <c r="AF68" s="363"/>
      <c r="AG68" s="1"/>
      <c r="AH68" s="171"/>
      <c r="AI68" s="1"/>
      <c r="AJ68" s="1"/>
      <c r="AK68" s="363"/>
      <c r="AL68" s="1"/>
      <c r="AM68" s="171"/>
      <c r="AN68" s="1"/>
      <c r="AO68" s="1"/>
      <c r="AP68" s="363"/>
      <c r="AQ68" s="1"/>
      <c r="AR68" s="171"/>
      <c r="AS68" s="1"/>
      <c r="AT68" s="1"/>
      <c r="AU68" s="363"/>
      <c r="AV68" s="1"/>
      <c r="AW68" s="171"/>
      <c r="AX68" s="1"/>
      <c r="AY68" s="1"/>
      <c r="AZ68" s="363"/>
      <c r="BA68" s="1"/>
      <c r="BB68" s="171"/>
      <c r="BC68" s="1"/>
      <c r="BD68" s="1"/>
      <c r="BE68" s="363"/>
      <c r="BF68" s="1"/>
      <c r="BG68" s="1"/>
      <c r="BH68" s="1"/>
      <c r="BI68" s="1"/>
      <c r="BJ68" s="1"/>
      <c r="BK68" s="1"/>
      <c r="BL68" s="1"/>
      <c r="BM68" s="1"/>
      <c r="BN68" s="1"/>
      <c r="BO68" s="1"/>
      <c r="BP68" s="1"/>
      <c r="BQ68" s="1"/>
      <c r="BR68" s="1"/>
      <c r="BS68" s="1"/>
    </row>
    <row r="69" ht="15.75" customHeight="1">
      <c r="A69" s="55">
        <f t="shared" si="1"/>
        <v>69</v>
      </c>
      <c r="B69" s="1"/>
      <c r="C69" s="1"/>
      <c r="D69" s="289" t="s">
        <v>308</v>
      </c>
      <c r="E69" s="290"/>
      <c r="F69" s="290"/>
      <c r="G69" s="291"/>
      <c r="H69" s="1"/>
      <c r="I69" s="289" t="s">
        <v>308</v>
      </c>
      <c r="J69" s="290"/>
      <c r="K69" s="290"/>
      <c r="L69" s="291"/>
      <c r="M69" s="1"/>
      <c r="N69" s="289" t="s">
        <v>308</v>
      </c>
      <c r="O69" s="290"/>
      <c r="P69" s="290"/>
      <c r="Q69" s="291"/>
      <c r="R69" s="1"/>
      <c r="S69" s="289" t="s">
        <v>308</v>
      </c>
      <c r="T69" s="290"/>
      <c r="U69" s="290"/>
      <c r="V69" s="291"/>
      <c r="W69" s="1"/>
      <c r="X69" s="289" t="s">
        <v>308</v>
      </c>
      <c r="Y69" s="290"/>
      <c r="Z69" s="290"/>
      <c r="AA69" s="291"/>
      <c r="AB69" s="1"/>
      <c r="AC69" s="289" t="s">
        <v>308</v>
      </c>
      <c r="AD69" s="290"/>
      <c r="AE69" s="290"/>
      <c r="AF69" s="291"/>
      <c r="AG69" s="1"/>
      <c r="AH69" s="289" t="s">
        <v>308</v>
      </c>
      <c r="AI69" s="290"/>
      <c r="AJ69" s="290"/>
      <c r="AK69" s="291"/>
      <c r="AL69" s="1"/>
      <c r="AM69" s="289" t="s">
        <v>308</v>
      </c>
      <c r="AN69" s="290"/>
      <c r="AO69" s="290"/>
      <c r="AP69" s="291"/>
      <c r="AQ69" s="1"/>
      <c r="AR69" s="289" t="s">
        <v>308</v>
      </c>
      <c r="AS69" s="290"/>
      <c r="AT69" s="290"/>
      <c r="AU69" s="291"/>
      <c r="AV69" s="1"/>
      <c r="AW69" s="289" t="s">
        <v>308</v>
      </c>
      <c r="AX69" s="290"/>
      <c r="AY69" s="290"/>
      <c r="AZ69" s="291"/>
      <c r="BA69" s="1"/>
      <c r="BB69" s="289" t="s">
        <v>308</v>
      </c>
      <c r="BC69" s="290"/>
      <c r="BD69" s="290"/>
      <c r="BE69" s="291"/>
      <c r="BF69" s="1"/>
      <c r="BG69" s="1"/>
      <c r="BH69" s="1"/>
      <c r="BI69" s="1"/>
      <c r="BJ69" s="1"/>
      <c r="BK69" s="1"/>
      <c r="BL69" s="1"/>
      <c r="BM69" s="1"/>
      <c r="BN69" s="1"/>
      <c r="BO69" s="1"/>
      <c r="BP69" s="1"/>
      <c r="BQ69" s="1"/>
      <c r="BR69" s="1"/>
      <c r="BS69" s="1"/>
    </row>
    <row r="70" ht="15.75" customHeight="1">
      <c r="A70" s="55">
        <f t="shared" si="1"/>
        <v>70</v>
      </c>
      <c r="B70" s="1"/>
      <c r="C70" s="1"/>
      <c r="D70" s="340"/>
      <c r="E70" s="341"/>
      <c r="F70" s="341"/>
      <c r="G70" s="376"/>
      <c r="H70" s="1"/>
      <c r="I70" s="340"/>
      <c r="J70" s="341"/>
      <c r="K70" s="341"/>
      <c r="L70" s="376"/>
      <c r="M70" s="1"/>
      <c r="N70" s="340"/>
      <c r="O70" s="341"/>
      <c r="P70" s="341"/>
      <c r="Q70" s="376"/>
      <c r="R70" s="1"/>
      <c r="S70" s="340"/>
      <c r="T70" s="341"/>
      <c r="U70" s="341"/>
      <c r="V70" s="376"/>
      <c r="W70" s="1"/>
      <c r="X70" s="340"/>
      <c r="Y70" s="341"/>
      <c r="Z70" s="341"/>
      <c r="AA70" s="376"/>
      <c r="AB70" s="1"/>
      <c r="AC70" s="340"/>
      <c r="AD70" s="341"/>
      <c r="AE70" s="341"/>
      <c r="AF70" s="376"/>
      <c r="AG70" s="1"/>
      <c r="AH70" s="340"/>
      <c r="AI70" s="341"/>
      <c r="AJ70" s="341"/>
      <c r="AK70" s="376"/>
      <c r="AL70" s="1"/>
      <c r="AM70" s="340"/>
      <c r="AN70" s="341"/>
      <c r="AO70" s="341"/>
      <c r="AP70" s="376"/>
      <c r="AQ70" s="1"/>
      <c r="AR70" s="340"/>
      <c r="AS70" s="341"/>
      <c r="AT70" s="341"/>
      <c r="AU70" s="376"/>
      <c r="AV70" s="1"/>
      <c r="AW70" s="340"/>
      <c r="AX70" s="341"/>
      <c r="AY70" s="341"/>
      <c r="AZ70" s="376"/>
      <c r="BA70" s="1"/>
      <c r="BB70" s="340"/>
      <c r="BC70" s="341"/>
      <c r="BD70" s="341"/>
      <c r="BE70" s="376"/>
      <c r="BF70" s="1"/>
      <c r="BG70" s="1"/>
      <c r="BH70" s="1"/>
      <c r="BI70" s="1"/>
      <c r="BJ70" s="1"/>
      <c r="BK70" s="1"/>
      <c r="BL70" s="1"/>
      <c r="BM70" s="1"/>
      <c r="BN70" s="1"/>
      <c r="BO70" s="1"/>
      <c r="BP70" s="1"/>
      <c r="BQ70" s="1"/>
      <c r="BR70" s="1"/>
      <c r="BS70" s="1"/>
    </row>
    <row r="71" ht="15.75" customHeight="1">
      <c r="A71" s="55">
        <f t="shared" si="1"/>
        <v>71</v>
      </c>
      <c r="B71" s="1" t="str">
        <f>TEXT(Forward_Year_1,"yyyy-mm-dd")&amp;" "&amp;B29</f>
        <v>2020-12-31 Revenue:</v>
      </c>
      <c r="C71" s="1"/>
      <c r="D71" s="340"/>
      <c r="E71" s="341"/>
      <c r="F71" s="341"/>
      <c r="G71" s="300">
        <f t="shared" ref="G71:G73" si="92">+D29</f>
        <v>1590.31</v>
      </c>
      <c r="H71" s="1"/>
      <c r="I71" s="340"/>
      <c r="J71" s="341"/>
      <c r="K71" s="341"/>
      <c r="L71" s="300">
        <f t="shared" ref="L71:L73" si="93">+I29</f>
        <v>5188</v>
      </c>
      <c r="M71" s="1"/>
      <c r="N71" s="340"/>
      <c r="O71" s="341"/>
      <c r="P71" s="341"/>
      <c r="Q71" s="300">
        <f t="shared" ref="Q71:Q73" si="94">+N29</f>
        <v>2838</v>
      </c>
      <c r="R71" s="1"/>
      <c r="S71" s="340"/>
      <c r="T71" s="341"/>
      <c r="U71" s="341"/>
      <c r="V71" s="300">
        <f t="shared" ref="V71:V73" si="95">+S29</f>
        <v>2520</v>
      </c>
      <c r="W71" s="1"/>
      <c r="X71" s="340"/>
      <c r="Y71" s="341"/>
      <c r="Z71" s="341"/>
      <c r="AA71" s="300">
        <f t="shared" ref="AA71:AA73" si="96">+X29</f>
        <v>284231.17</v>
      </c>
      <c r="AB71" s="1"/>
      <c r="AC71" s="340"/>
      <c r="AD71" s="341"/>
      <c r="AE71" s="341"/>
      <c r="AF71" s="300">
        <f t="shared" ref="AF71:AF73" si="97">+AC29</f>
        <v>1284000</v>
      </c>
      <c r="AG71" s="1"/>
      <c r="AH71" s="340"/>
      <c r="AI71" s="341"/>
      <c r="AJ71" s="341"/>
      <c r="AK71" s="300">
        <f t="shared" ref="AK71:AK73" si="98">+AH29</f>
        <v>3123.334</v>
      </c>
      <c r="AL71" s="1"/>
      <c r="AM71" s="340"/>
      <c r="AN71" s="341"/>
      <c r="AO71" s="341"/>
      <c r="AP71" s="300">
        <f t="shared" ref="AP71:AP73" si="99">+AM29</f>
        <v>747.7</v>
      </c>
      <c r="AQ71" s="1"/>
      <c r="AR71" s="340"/>
      <c r="AS71" s="341"/>
      <c r="AT71" s="341"/>
      <c r="AU71" s="300">
        <f t="shared" ref="AU71:AU73" si="100">+AR29</f>
        <v>262.01</v>
      </c>
      <c r="AV71" s="1"/>
      <c r="AW71" s="340"/>
      <c r="AX71" s="341"/>
      <c r="AY71" s="341"/>
      <c r="AZ71" s="300">
        <f t="shared" ref="AZ71:AZ73" si="101">+AW29</f>
        <v>2490</v>
      </c>
      <c r="BA71" s="1"/>
      <c r="BB71" s="340"/>
      <c r="BC71" s="341"/>
      <c r="BD71" s="341"/>
      <c r="BE71" s="300">
        <f t="shared" ref="BE71:BE73" si="102">+BB29</f>
        <v>6800</v>
      </c>
      <c r="BF71" s="1"/>
      <c r="BG71" s="1"/>
      <c r="BH71" s="1"/>
      <c r="BI71" s="1"/>
      <c r="BJ71" s="1"/>
      <c r="BK71" s="1"/>
      <c r="BL71" s="1"/>
      <c r="BM71" s="1"/>
      <c r="BN71" s="1"/>
      <c r="BO71" s="1"/>
      <c r="BP71" s="1"/>
      <c r="BQ71" s="1"/>
      <c r="BR71" s="1"/>
      <c r="BS71" s="1"/>
    </row>
    <row r="72" ht="15.75" customHeight="1">
      <c r="A72" s="55">
        <f t="shared" si="1"/>
        <v>72</v>
      </c>
      <c r="B72" s="1" t="str">
        <f>TEXT(Forward_Year_1,"yyyy-mm-dd")&amp;" "&amp;B30</f>
        <v>2020-12-31 EBITDA:</v>
      </c>
      <c r="C72" s="1"/>
      <c r="D72" s="340"/>
      <c r="E72" s="341"/>
      <c r="F72" s="341"/>
      <c r="G72" s="309">
        <f t="shared" si="92"/>
        <v>733.5264</v>
      </c>
      <c r="H72" s="1"/>
      <c r="I72" s="340"/>
      <c r="J72" s="341"/>
      <c r="K72" s="341"/>
      <c r="L72" s="309">
        <f t="shared" si="93"/>
        <v>1781</v>
      </c>
      <c r="M72" s="1"/>
      <c r="N72" s="340"/>
      <c r="O72" s="341"/>
      <c r="P72" s="341"/>
      <c r="Q72" s="309">
        <f t="shared" si="94"/>
        <v>663.41</v>
      </c>
      <c r="R72" s="1"/>
      <c r="S72" s="340"/>
      <c r="T72" s="341"/>
      <c r="U72" s="341"/>
      <c r="V72" s="309">
        <f t="shared" si="95"/>
        <v>431.63</v>
      </c>
      <c r="W72" s="1"/>
      <c r="X72" s="340"/>
      <c r="Y72" s="341"/>
      <c r="Z72" s="341"/>
      <c r="AA72" s="309">
        <f t="shared" si="96"/>
        <v>44754.75</v>
      </c>
      <c r="AB72" s="1"/>
      <c r="AC72" s="340"/>
      <c r="AD72" s="341"/>
      <c r="AE72" s="341"/>
      <c r="AF72" s="309">
        <f t="shared" si="97"/>
        <v>325180</v>
      </c>
      <c r="AG72" s="1"/>
      <c r="AH72" s="340"/>
      <c r="AI72" s="341"/>
      <c r="AJ72" s="341"/>
      <c r="AK72" s="309">
        <f t="shared" si="98"/>
        <v>2465.827</v>
      </c>
      <c r="AL72" s="1"/>
      <c r="AM72" s="340"/>
      <c r="AN72" s="341"/>
      <c r="AO72" s="341"/>
      <c r="AP72" s="309">
        <f t="shared" si="99"/>
        <v>115.12</v>
      </c>
      <c r="AQ72" s="1"/>
      <c r="AR72" s="340"/>
      <c r="AS72" s="341"/>
      <c r="AT72" s="341"/>
      <c r="AU72" s="309">
        <f t="shared" si="100"/>
        <v>110.86</v>
      </c>
      <c r="AV72" s="1"/>
      <c r="AW72" s="340"/>
      <c r="AX72" s="341"/>
      <c r="AY72" s="341"/>
      <c r="AZ72" s="309">
        <f t="shared" si="101"/>
        <v>1045</v>
      </c>
      <c r="BA72" s="1"/>
      <c r="BB72" s="340"/>
      <c r="BC72" s="341"/>
      <c r="BD72" s="341"/>
      <c r="BE72" s="309">
        <f t="shared" si="102"/>
        <v>2027.739251</v>
      </c>
      <c r="BF72" s="1"/>
      <c r="BG72" s="1"/>
      <c r="BH72" s="1"/>
      <c r="BI72" s="1"/>
      <c r="BJ72" s="1"/>
      <c r="BK72" s="1"/>
      <c r="BL72" s="1"/>
      <c r="BM72" s="1"/>
      <c r="BN72" s="1"/>
      <c r="BO72" s="1"/>
      <c r="BP72" s="1"/>
      <c r="BQ72" s="1"/>
      <c r="BR72" s="1"/>
      <c r="BS72" s="1"/>
    </row>
    <row r="73" ht="15.75" customHeight="1">
      <c r="A73" s="55">
        <f t="shared" si="1"/>
        <v>73</v>
      </c>
      <c r="B73" s="1" t="str">
        <f>TEXT(Forward_Year_1,"yyyy-mm-dd")&amp;" "&amp;B31</f>
        <v>2020-12-31 Reported Net Income:</v>
      </c>
      <c r="C73" s="1"/>
      <c r="D73" s="340"/>
      <c r="E73" s="341"/>
      <c r="F73" s="341"/>
      <c r="G73" s="309">
        <f t="shared" si="92"/>
        <v>29.1248</v>
      </c>
      <c r="H73" s="1"/>
      <c r="I73" s="340"/>
      <c r="J73" s="341"/>
      <c r="K73" s="341"/>
      <c r="L73" s="309">
        <f t="shared" si="93"/>
        <v>1381.994</v>
      </c>
      <c r="M73" s="1"/>
      <c r="N73" s="340"/>
      <c r="O73" s="341"/>
      <c r="P73" s="341"/>
      <c r="Q73" s="309">
        <f t="shared" si="94"/>
        <v>542.33</v>
      </c>
      <c r="R73" s="1"/>
      <c r="S73" s="340"/>
      <c r="T73" s="341"/>
      <c r="U73" s="341"/>
      <c r="V73" s="309">
        <f t="shared" si="95"/>
        <v>274.616</v>
      </c>
      <c r="W73" s="1"/>
      <c r="X73" s="340"/>
      <c r="Y73" s="341"/>
      <c r="Z73" s="341"/>
      <c r="AA73" s="309">
        <f t="shared" si="96"/>
        <v>24819.08</v>
      </c>
      <c r="AB73" s="1"/>
      <c r="AC73" s="340"/>
      <c r="AD73" s="341"/>
      <c r="AE73" s="341"/>
      <c r="AF73" s="309">
        <f t="shared" si="97"/>
        <v>228750</v>
      </c>
      <c r="AG73" s="1"/>
      <c r="AH73" s="340"/>
      <c r="AI73" s="341"/>
      <c r="AJ73" s="341"/>
      <c r="AK73" s="309">
        <f t="shared" si="98"/>
        <v>1926.026</v>
      </c>
      <c r="AL73" s="1"/>
      <c r="AM73" s="340"/>
      <c r="AN73" s="341"/>
      <c r="AO73" s="341"/>
      <c r="AP73" s="309">
        <f t="shared" si="99"/>
        <v>66.64</v>
      </c>
      <c r="AQ73" s="1"/>
      <c r="AR73" s="340"/>
      <c r="AS73" s="341"/>
      <c r="AT73" s="341"/>
      <c r="AU73" s="309">
        <f t="shared" si="100"/>
        <v>88</v>
      </c>
      <c r="AV73" s="1"/>
      <c r="AW73" s="340"/>
      <c r="AX73" s="341"/>
      <c r="AY73" s="341"/>
      <c r="AZ73" s="309">
        <f t="shared" si="101"/>
        <v>789</v>
      </c>
      <c r="BA73" s="1"/>
      <c r="BB73" s="340"/>
      <c r="BC73" s="341"/>
      <c r="BD73" s="341"/>
      <c r="BE73" s="309">
        <f t="shared" si="102"/>
        <v>1575.034674</v>
      </c>
      <c r="BF73" s="1"/>
      <c r="BG73" s="1"/>
      <c r="BH73" s="1"/>
      <c r="BI73" s="1"/>
      <c r="BJ73" s="1"/>
      <c r="BK73" s="1"/>
      <c r="BL73" s="1"/>
      <c r="BM73" s="1"/>
      <c r="BN73" s="1"/>
      <c r="BO73" s="1"/>
      <c r="BP73" s="1"/>
      <c r="BQ73" s="1"/>
      <c r="BR73" s="1"/>
      <c r="BS73" s="1"/>
    </row>
    <row r="74" ht="15.75" customHeight="1">
      <c r="A74" s="55">
        <f t="shared" si="1"/>
        <v>74</v>
      </c>
      <c r="B74" s="1"/>
      <c r="C74" s="1"/>
      <c r="D74" s="340"/>
      <c r="E74" s="341"/>
      <c r="F74" s="341"/>
      <c r="G74" s="342"/>
      <c r="H74" s="1"/>
      <c r="I74" s="340"/>
      <c r="J74" s="341"/>
      <c r="K74" s="341"/>
      <c r="L74" s="342"/>
      <c r="M74" s="1"/>
      <c r="N74" s="340"/>
      <c r="O74" s="341"/>
      <c r="P74" s="341"/>
      <c r="Q74" s="342"/>
      <c r="R74" s="1"/>
      <c r="S74" s="340"/>
      <c r="T74" s="341"/>
      <c r="U74" s="341"/>
      <c r="V74" s="342"/>
      <c r="W74" s="1"/>
      <c r="X74" s="340"/>
      <c r="Y74" s="341"/>
      <c r="Z74" s="341"/>
      <c r="AA74" s="342"/>
      <c r="AB74" s="1"/>
      <c r="AC74" s="340"/>
      <c r="AD74" s="341"/>
      <c r="AE74" s="341"/>
      <c r="AF74" s="342"/>
      <c r="AG74" s="1"/>
      <c r="AH74" s="340"/>
      <c r="AI74" s="341"/>
      <c r="AJ74" s="341"/>
      <c r="AK74" s="342"/>
      <c r="AL74" s="1"/>
      <c r="AM74" s="340"/>
      <c r="AN74" s="341"/>
      <c r="AO74" s="341"/>
      <c r="AP74" s="342"/>
      <c r="AQ74" s="1"/>
      <c r="AR74" s="340"/>
      <c r="AS74" s="341"/>
      <c r="AT74" s="341"/>
      <c r="AU74" s="342"/>
      <c r="AV74" s="1"/>
      <c r="AW74" s="340"/>
      <c r="AX74" s="341"/>
      <c r="AY74" s="341"/>
      <c r="AZ74" s="342"/>
      <c r="BA74" s="1"/>
      <c r="BB74" s="340"/>
      <c r="BC74" s="341"/>
      <c r="BD74" s="341"/>
      <c r="BE74" s="342"/>
      <c r="BF74" s="1"/>
      <c r="BG74" s="1"/>
      <c r="BH74" s="1"/>
      <c r="BI74" s="1"/>
      <c r="BJ74" s="1"/>
      <c r="BK74" s="1"/>
      <c r="BL74" s="1"/>
      <c r="BM74" s="1"/>
      <c r="BN74" s="1"/>
      <c r="BO74" s="1"/>
      <c r="BP74" s="1"/>
      <c r="BQ74" s="1"/>
      <c r="BR74" s="1"/>
      <c r="BS74" s="1"/>
    </row>
    <row r="75" ht="15.75" customHeight="1">
      <c r="A75" s="55">
        <f t="shared" si="1"/>
        <v>75</v>
      </c>
      <c r="B75" s="1" t="str">
        <f>TEXT(Forward_Year_2,"yyyy-mm-dd")&amp;" "&amp;B29</f>
        <v>2021-12-31 Revenue:</v>
      </c>
      <c r="C75" s="1"/>
      <c r="D75" s="340"/>
      <c r="E75" s="341"/>
      <c r="F75" s="341"/>
      <c r="G75" s="300">
        <f t="shared" ref="G75:G77" si="103">+E29</f>
        <v>2781.68</v>
      </c>
      <c r="H75" s="1"/>
      <c r="I75" s="340"/>
      <c r="J75" s="341"/>
      <c r="K75" s="341"/>
      <c r="L75" s="300">
        <f t="shared" ref="L75:L77" si="104">+J29</f>
        <v>5376</v>
      </c>
      <c r="M75" s="1"/>
      <c r="N75" s="340"/>
      <c r="O75" s="341"/>
      <c r="P75" s="341"/>
      <c r="Q75" s="300">
        <f t="shared" ref="Q75:Q77" si="105">+O29</f>
        <v>2689</v>
      </c>
      <c r="R75" s="1"/>
      <c r="S75" s="340"/>
      <c r="T75" s="341"/>
      <c r="U75" s="341"/>
      <c r="V75" s="300">
        <f t="shared" ref="V75:V77" si="106">+T29</f>
        <v>2670</v>
      </c>
      <c r="W75" s="1"/>
      <c r="X75" s="340"/>
      <c r="Y75" s="341"/>
      <c r="Z75" s="341"/>
      <c r="AA75" s="300">
        <f t="shared" ref="AA75:AA77" si="107">+Y29</f>
        <v>331183.07</v>
      </c>
      <c r="AB75" s="1"/>
      <c r="AC75" s="340"/>
      <c r="AD75" s="341"/>
      <c r="AE75" s="341"/>
      <c r="AF75" s="300">
        <f t="shared" ref="AF75:AF77" si="108">+AD29</f>
        <v>1370000</v>
      </c>
      <c r="AG75" s="1"/>
      <c r="AH75" s="340"/>
      <c r="AI75" s="341"/>
      <c r="AJ75" s="341"/>
      <c r="AK75" s="300">
        <f t="shared" ref="AK75:AK77" si="109">+AI29</f>
        <v>2222.388</v>
      </c>
      <c r="AL75" s="1"/>
      <c r="AM75" s="340"/>
      <c r="AN75" s="341"/>
      <c r="AO75" s="341"/>
      <c r="AP75" s="300">
        <f t="shared" ref="AP75:AP77" si="110">+AN29</f>
        <v>794.05</v>
      </c>
      <c r="AQ75" s="1"/>
      <c r="AR75" s="340"/>
      <c r="AS75" s="341"/>
      <c r="AT75" s="341"/>
      <c r="AU75" s="300">
        <f t="shared" ref="AU75:AU77" si="111">+AS29</f>
        <v>282.99</v>
      </c>
      <c r="AV75" s="1"/>
      <c r="AW75" s="340"/>
      <c r="AX75" s="341"/>
      <c r="AY75" s="341"/>
      <c r="AZ75" s="300">
        <f t="shared" ref="AZ75:AZ77" si="112">+AX29</f>
        <v>2897</v>
      </c>
      <c r="BA75" s="1"/>
      <c r="BB75" s="340"/>
      <c r="BC75" s="341"/>
      <c r="BD75" s="341"/>
      <c r="BE75" s="300">
        <f t="shared" ref="BE75:BE77" si="113">+BC29</f>
        <v>7420</v>
      </c>
      <c r="BF75" s="1"/>
      <c r="BG75" s="1"/>
      <c r="BH75" s="1"/>
      <c r="BI75" s="1"/>
      <c r="BJ75" s="1"/>
      <c r="BK75" s="1"/>
      <c r="BL75" s="1"/>
      <c r="BM75" s="1"/>
      <c r="BN75" s="1"/>
      <c r="BO75" s="1"/>
      <c r="BP75" s="1"/>
      <c r="BQ75" s="1"/>
      <c r="BR75" s="1"/>
      <c r="BS75" s="1"/>
    </row>
    <row r="76" ht="15.75" customHeight="1">
      <c r="A76" s="55">
        <f t="shared" si="1"/>
        <v>76</v>
      </c>
      <c r="B76" s="1" t="str">
        <f>TEXT(Forward_Year_2,"yyyy-mm-dd")&amp;" "&amp;B30</f>
        <v>2021-12-31 EBITDA:</v>
      </c>
      <c r="C76" s="1"/>
      <c r="D76" s="340"/>
      <c r="E76" s="341"/>
      <c r="F76" s="341"/>
      <c r="G76" s="309">
        <f t="shared" si="103"/>
        <v>1388.66</v>
      </c>
      <c r="H76" s="1"/>
      <c r="I76" s="340"/>
      <c r="J76" s="341"/>
      <c r="K76" s="341"/>
      <c r="L76" s="309">
        <f t="shared" si="104"/>
        <v>1839</v>
      </c>
      <c r="M76" s="1"/>
      <c r="N76" s="340"/>
      <c r="O76" s="341"/>
      <c r="P76" s="341"/>
      <c r="Q76" s="309">
        <f t="shared" si="105"/>
        <v>667.67</v>
      </c>
      <c r="R76" s="1"/>
      <c r="S76" s="340"/>
      <c r="T76" s="341"/>
      <c r="U76" s="341"/>
      <c r="V76" s="309">
        <f t="shared" si="106"/>
        <v>477.13</v>
      </c>
      <c r="W76" s="1"/>
      <c r="X76" s="340"/>
      <c r="Y76" s="341"/>
      <c r="Z76" s="341"/>
      <c r="AA76" s="309">
        <f t="shared" si="107"/>
        <v>54460.89</v>
      </c>
      <c r="AB76" s="1"/>
      <c r="AC76" s="340"/>
      <c r="AD76" s="341"/>
      <c r="AE76" s="341"/>
      <c r="AF76" s="309">
        <f t="shared" si="108"/>
        <v>392070</v>
      </c>
      <c r="AG76" s="1"/>
      <c r="AH76" s="340"/>
      <c r="AI76" s="341"/>
      <c r="AJ76" s="341"/>
      <c r="AK76" s="309">
        <f t="shared" si="109"/>
        <v>1609.011</v>
      </c>
      <c r="AL76" s="1"/>
      <c r="AM76" s="340"/>
      <c r="AN76" s="341"/>
      <c r="AO76" s="341"/>
      <c r="AP76" s="309">
        <f t="shared" si="110"/>
        <v>125.6</v>
      </c>
      <c r="AQ76" s="1"/>
      <c r="AR76" s="340"/>
      <c r="AS76" s="341"/>
      <c r="AT76" s="341"/>
      <c r="AU76" s="309">
        <f t="shared" si="111"/>
        <v>123.7</v>
      </c>
      <c r="AV76" s="1"/>
      <c r="AW76" s="340"/>
      <c r="AX76" s="341"/>
      <c r="AY76" s="341"/>
      <c r="AZ76" s="309">
        <f t="shared" si="112"/>
        <v>1269</v>
      </c>
      <c r="BA76" s="1"/>
      <c r="BB76" s="340"/>
      <c r="BC76" s="341"/>
      <c r="BD76" s="341"/>
      <c r="BE76" s="309">
        <f t="shared" si="113"/>
        <v>2212.621359</v>
      </c>
      <c r="BF76" s="1"/>
      <c r="BG76" s="1"/>
      <c r="BH76" s="1"/>
      <c r="BI76" s="1"/>
      <c r="BJ76" s="1"/>
      <c r="BK76" s="1"/>
      <c r="BL76" s="1"/>
      <c r="BM76" s="1"/>
      <c r="BN76" s="1"/>
      <c r="BO76" s="1"/>
      <c r="BP76" s="1"/>
      <c r="BQ76" s="1"/>
      <c r="BR76" s="1"/>
      <c r="BS76" s="1"/>
    </row>
    <row r="77" ht="15.75" customHeight="1">
      <c r="A77" s="55">
        <f t="shared" si="1"/>
        <v>77</v>
      </c>
      <c r="B77" s="1" t="str">
        <f>TEXT(Forward_Year_2,"yyyy-mm-dd")&amp;" "&amp;B31</f>
        <v>2021-12-31 Reported Net Income:</v>
      </c>
      <c r="C77" s="1"/>
      <c r="D77" s="340"/>
      <c r="E77" s="341"/>
      <c r="F77" s="341"/>
      <c r="G77" s="309">
        <f t="shared" si="103"/>
        <v>463.0538</v>
      </c>
      <c r="H77" s="1"/>
      <c r="I77" s="340"/>
      <c r="J77" s="341"/>
      <c r="K77" s="341"/>
      <c r="L77" s="309">
        <f t="shared" si="104"/>
        <v>1445.91</v>
      </c>
      <c r="M77" s="1"/>
      <c r="N77" s="340"/>
      <c r="O77" s="341"/>
      <c r="P77" s="341"/>
      <c r="Q77" s="309">
        <f t="shared" si="105"/>
        <v>515.83</v>
      </c>
      <c r="R77" s="1"/>
      <c r="S77" s="340"/>
      <c r="T77" s="341"/>
      <c r="U77" s="341"/>
      <c r="V77" s="309">
        <f t="shared" si="106"/>
        <v>306.472</v>
      </c>
      <c r="W77" s="1"/>
      <c r="X77" s="340"/>
      <c r="Y77" s="341"/>
      <c r="Z77" s="341"/>
      <c r="AA77" s="309">
        <f t="shared" si="107"/>
        <v>33394.43</v>
      </c>
      <c r="AB77" s="1"/>
      <c r="AC77" s="340"/>
      <c r="AD77" s="341"/>
      <c r="AE77" s="341"/>
      <c r="AF77" s="309">
        <f t="shared" si="108"/>
        <v>282520</v>
      </c>
      <c r="AG77" s="1"/>
      <c r="AH77" s="340"/>
      <c r="AI77" s="341"/>
      <c r="AJ77" s="341"/>
      <c r="AK77" s="309">
        <f t="shared" si="109"/>
        <v>1382.982</v>
      </c>
      <c r="AL77" s="1"/>
      <c r="AM77" s="340"/>
      <c r="AN77" s="341"/>
      <c r="AO77" s="341"/>
      <c r="AP77" s="309">
        <f t="shared" si="110"/>
        <v>74.6</v>
      </c>
      <c r="AQ77" s="1"/>
      <c r="AR77" s="340"/>
      <c r="AS77" s="341"/>
      <c r="AT77" s="341"/>
      <c r="AU77" s="309">
        <f t="shared" si="111"/>
        <v>94.5</v>
      </c>
      <c r="AV77" s="1"/>
      <c r="AW77" s="340"/>
      <c r="AX77" s="341"/>
      <c r="AY77" s="341"/>
      <c r="AZ77" s="309">
        <f t="shared" si="112"/>
        <v>972</v>
      </c>
      <c r="BA77" s="1"/>
      <c r="BB77" s="340"/>
      <c r="BC77" s="341"/>
      <c r="BD77" s="341"/>
      <c r="BE77" s="309">
        <f t="shared" si="113"/>
        <v>1718.640777</v>
      </c>
      <c r="BF77" s="1"/>
      <c r="BG77" s="1"/>
      <c r="BH77" s="1"/>
      <c r="BI77" s="1"/>
      <c r="BJ77" s="1"/>
      <c r="BK77" s="1"/>
      <c r="BL77" s="1"/>
      <c r="BM77" s="1"/>
      <c r="BN77" s="1"/>
      <c r="BO77" s="1"/>
      <c r="BP77" s="1"/>
      <c r="BQ77" s="1"/>
      <c r="BR77" s="1"/>
      <c r="BS77" s="1"/>
    </row>
    <row r="78" ht="15.75" customHeight="1">
      <c r="A78" s="55">
        <f t="shared" si="1"/>
        <v>78</v>
      </c>
      <c r="B78" s="1"/>
      <c r="C78" s="1"/>
      <c r="D78" s="340"/>
      <c r="E78" s="341"/>
      <c r="F78" s="341"/>
      <c r="G78" s="342"/>
      <c r="H78" s="1"/>
      <c r="I78" s="340"/>
      <c r="J78" s="341"/>
      <c r="K78" s="341"/>
      <c r="L78" s="342"/>
      <c r="M78" s="1"/>
      <c r="N78" s="340"/>
      <c r="O78" s="341"/>
      <c r="P78" s="341"/>
      <c r="Q78" s="342"/>
      <c r="R78" s="1"/>
      <c r="S78" s="340"/>
      <c r="T78" s="341"/>
      <c r="U78" s="341"/>
      <c r="V78" s="342"/>
      <c r="W78" s="1"/>
      <c r="X78" s="340"/>
      <c r="Y78" s="341"/>
      <c r="Z78" s="341"/>
      <c r="AA78" s="342"/>
      <c r="AB78" s="1"/>
      <c r="AC78" s="340"/>
      <c r="AD78" s="341"/>
      <c r="AE78" s="341"/>
      <c r="AF78" s="342"/>
      <c r="AG78" s="1"/>
      <c r="AH78" s="340"/>
      <c r="AI78" s="341"/>
      <c r="AJ78" s="341"/>
      <c r="AK78" s="342"/>
      <c r="AL78" s="1"/>
      <c r="AM78" s="340"/>
      <c r="AN78" s="341"/>
      <c r="AO78" s="341"/>
      <c r="AP78" s="342"/>
      <c r="AQ78" s="1"/>
      <c r="AR78" s="340"/>
      <c r="AS78" s="341"/>
      <c r="AT78" s="341"/>
      <c r="AU78" s="342"/>
      <c r="AV78" s="1"/>
      <c r="AW78" s="340"/>
      <c r="AX78" s="341"/>
      <c r="AY78" s="341"/>
      <c r="AZ78" s="342"/>
      <c r="BA78" s="1"/>
      <c r="BB78" s="340"/>
      <c r="BC78" s="341"/>
      <c r="BD78" s="341"/>
      <c r="BE78" s="342"/>
      <c r="BF78" s="1"/>
      <c r="BG78" s="1"/>
      <c r="BH78" s="1"/>
      <c r="BI78" s="1"/>
      <c r="BJ78" s="1"/>
      <c r="BK78" s="1"/>
      <c r="BL78" s="1"/>
      <c r="BM78" s="1"/>
      <c r="BN78" s="1"/>
      <c r="BO78" s="1"/>
      <c r="BP78" s="1"/>
      <c r="BQ78" s="1"/>
      <c r="BR78" s="1"/>
      <c r="BS78" s="1"/>
    </row>
    <row r="79" ht="15.75" customHeight="1">
      <c r="A79" s="55">
        <f t="shared" si="1"/>
        <v>79</v>
      </c>
      <c r="B79" s="1" t="str">
        <f>TEXT(Forward_Year_3,"yyyy-mm-dd")&amp;" "&amp;B29</f>
        <v>2022-12-31 Revenue:</v>
      </c>
      <c r="C79" s="1"/>
      <c r="D79" s="340"/>
      <c r="E79" s="341"/>
      <c r="F79" s="341"/>
      <c r="G79" s="300">
        <f t="shared" ref="G79:G81" si="114">+F29</f>
        <v>2861.25</v>
      </c>
      <c r="H79" s="1"/>
      <c r="I79" s="340"/>
      <c r="J79" s="341"/>
      <c r="K79" s="341"/>
      <c r="L79" s="300">
        <f t="shared" ref="L79:L81" si="115">+K29</f>
        <v>5816</v>
      </c>
      <c r="M79" s="1"/>
      <c r="N79" s="340"/>
      <c r="O79" s="341"/>
      <c r="P79" s="341"/>
      <c r="Q79" s="300">
        <f t="shared" ref="Q79:Q81" si="116">+P29</f>
        <v>3469</v>
      </c>
      <c r="R79" s="1"/>
      <c r="S79" s="340"/>
      <c r="T79" s="341"/>
      <c r="U79" s="341"/>
      <c r="V79" s="300">
        <f t="shared" ref="V79:V81" si="117">+U29</f>
        <v>2890</v>
      </c>
      <c r="W79" s="1"/>
      <c r="X79" s="340"/>
      <c r="Y79" s="341"/>
      <c r="Z79" s="341"/>
      <c r="AA79" s="300">
        <f t="shared" ref="AA79:AA81" si="118">+Z29</f>
        <v>334287.62</v>
      </c>
      <c r="AB79" s="1"/>
      <c r="AC79" s="340"/>
      <c r="AD79" s="341"/>
      <c r="AE79" s="341"/>
      <c r="AF79" s="300">
        <f t="shared" ref="AF79:AF81" si="119">+AE29</f>
        <v>1333000</v>
      </c>
      <c r="AG79" s="1"/>
      <c r="AH79" s="340"/>
      <c r="AI79" s="341"/>
      <c r="AJ79" s="341"/>
      <c r="AK79" s="300">
        <f t="shared" ref="AK79:AK81" si="120">+AJ29</f>
        <v>1548</v>
      </c>
      <c r="AL79" s="1"/>
      <c r="AM79" s="340"/>
      <c r="AN79" s="341"/>
      <c r="AO79" s="341"/>
      <c r="AP79" s="300">
        <f t="shared" ref="AP79:AP81" si="121">+AO29</f>
        <v>821.38</v>
      </c>
      <c r="AQ79" s="1"/>
      <c r="AR79" s="340"/>
      <c r="AS79" s="341"/>
      <c r="AT79" s="341"/>
      <c r="AU79" s="300">
        <f t="shared" ref="AU79:AU81" si="122">+AT29</f>
        <v>268</v>
      </c>
      <c r="AV79" s="1"/>
      <c r="AW79" s="340"/>
      <c r="AX79" s="341"/>
      <c r="AY79" s="341"/>
      <c r="AZ79" s="300">
        <f t="shared" ref="AZ79:AZ81" si="123">+AY29</f>
        <v>3043</v>
      </c>
      <c r="BA79" s="1"/>
      <c r="BB79" s="340"/>
      <c r="BC79" s="341"/>
      <c r="BD79" s="341"/>
      <c r="BE79" s="300">
        <f t="shared" ref="BE79:BE81" si="124">+BD29</f>
        <v>8640</v>
      </c>
      <c r="BF79" s="1"/>
      <c r="BG79" s="1"/>
      <c r="BH79" s="1"/>
      <c r="BI79" s="1"/>
      <c r="BJ79" s="1"/>
      <c r="BK79" s="1"/>
      <c r="BL79" s="1"/>
      <c r="BM79" s="1"/>
      <c r="BN79" s="1"/>
      <c r="BO79" s="1"/>
      <c r="BP79" s="1"/>
      <c r="BQ79" s="1"/>
      <c r="BR79" s="1"/>
      <c r="BS79" s="1"/>
    </row>
    <row r="80" ht="15.75" customHeight="1">
      <c r="A80" s="55">
        <f t="shared" si="1"/>
        <v>80</v>
      </c>
      <c r="B80" s="1" t="str">
        <f>TEXT(Forward_Year_3,"yyyy-mm-dd")&amp;" "&amp;B30</f>
        <v>2022-12-31 EBITDA:</v>
      </c>
      <c r="C80" s="1"/>
      <c r="D80" s="340"/>
      <c r="E80" s="341"/>
      <c r="F80" s="341"/>
      <c r="G80" s="309">
        <f t="shared" si="114"/>
        <v>1580.5</v>
      </c>
      <c r="H80" s="1"/>
      <c r="I80" s="340"/>
      <c r="J80" s="341"/>
      <c r="K80" s="341"/>
      <c r="L80" s="309">
        <f t="shared" si="115"/>
        <v>2096</v>
      </c>
      <c r="M80" s="1"/>
      <c r="N80" s="340"/>
      <c r="O80" s="341"/>
      <c r="P80" s="341"/>
      <c r="Q80" s="309">
        <f t="shared" si="116"/>
        <v>880.27</v>
      </c>
      <c r="R80" s="1"/>
      <c r="S80" s="340"/>
      <c r="T80" s="341"/>
      <c r="U80" s="341"/>
      <c r="V80" s="309">
        <f t="shared" si="117"/>
        <v>546.19</v>
      </c>
      <c r="W80" s="1"/>
      <c r="X80" s="340"/>
      <c r="Y80" s="341"/>
      <c r="Z80" s="341"/>
      <c r="AA80" s="309">
        <f t="shared" si="118"/>
        <v>56378.89</v>
      </c>
      <c r="AB80" s="1"/>
      <c r="AC80" s="340"/>
      <c r="AD80" s="341"/>
      <c r="AE80" s="341"/>
      <c r="AF80" s="309">
        <f t="shared" si="119"/>
        <v>390150</v>
      </c>
      <c r="AG80" s="1"/>
      <c r="AH80" s="340"/>
      <c r="AI80" s="341"/>
      <c r="AJ80" s="341"/>
      <c r="AK80" s="309">
        <f t="shared" si="120"/>
        <v>987</v>
      </c>
      <c r="AL80" s="1"/>
      <c r="AM80" s="340"/>
      <c r="AN80" s="341"/>
      <c r="AO80" s="341"/>
      <c r="AP80" s="309">
        <f t="shared" si="121"/>
        <v>134.03</v>
      </c>
      <c r="AQ80" s="1"/>
      <c r="AR80" s="340"/>
      <c r="AS80" s="341"/>
      <c r="AT80" s="341"/>
      <c r="AU80" s="309">
        <f t="shared" si="122"/>
        <v>124.7</v>
      </c>
      <c r="AV80" s="1"/>
      <c r="AW80" s="340"/>
      <c r="AX80" s="341"/>
      <c r="AY80" s="341"/>
      <c r="AZ80" s="309">
        <f t="shared" si="123"/>
        <v>1296</v>
      </c>
      <c r="BA80" s="1"/>
      <c r="BB80" s="340"/>
      <c r="BC80" s="341"/>
      <c r="BD80" s="341"/>
      <c r="BE80" s="309">
        <f t="shared" si="124"/>
        <v>2576.421637</v>
      </c>
      <c r="BF80" s="1"/>
      <c r="BG80" s="1"/>
      <c r="BH80" s="1"/>
      <c r="BI80" s="1"/>
      <c r="BJ80" s="1"/>
      <c r="BK80" s="1"/>
      <c r="BL80" s="1"/>
      <c r="BM80" s="1"/>
      <c r="BN80" s="1"/>
      <c r="BO80" s="1"/>
      <c r="BP80" s="1"/>
      <c r="BQ80" s="1"/>
      <c r="BR80" s="1"/>
      <c r="BS80" s="1"/>
    </row>
    <row r="81" ht="15.75" customHeight="1">
      <c r="A81" s="55">
        <f t="shared" si="1"/>
        <v>81</v>
      </c>
      <c r="B81" s="1" t="str">
        <f>TEXT(Forward_Year_3,"yyyy-mm-dd")&amp;" "&amp;B31</f>
        <v>2022-12-31 Reported Net Income:</v>
      </c>
      <c r="C81" s="1"/>
      <c r="D81" s="340"/>
      <c r="E81" s="341"/>
      <c r="F81" s="341"/>
      <c r="G81" s="309">
        <f t="shared" si="114"/>
        <v>497.9556</v>
      </c>
      <c r="H81" s="1"/>
      <c r="I81" s="340"/>
      <c r="J81" s="341"/>
      <c r="K81" s="341"/>
      <c r="L81" s="309">
        <f t="shared" si="115"/>
        <v>1641.74</v>
      </c>
      <c r="M81" s="1"/>
      <c r="N81" s="340"/>
      <c r="O81" s="341"/>
      <c r="P81" s="341"/>
      <c r="Q81" s="309">
        <f t="shared" si="116"/>
        <v>653.96</v>
      </c>
      <c r="R81" s="1"/>
      <c r="S81" s="340"/>
      <c r="T81" s="341"/>
      <c r="U81" s="341"/>
      <c r="V81" s="309">
        <f t="shared" si="117"/>
        <v>456.75</v>
      </c>
      <c r="W81" s="1"/>
      <c r="X81" s="340"/>
      <c r="Y81" s="341"/>
      <c r="Z81" s="341"/>
      <c r="AA81" s="309">
        <f t="shared" si="118"/>
        <v>35298.15</v>
      </c>
      <c r="AB81" s="1"/>
      <c r="AC81" s="340"/>
      <c r="AD81" s="341"/>
      <c r="AE81" s="341"/>
      <c r="AF81" s="309">
        <f t="shared" si="119"/>
        <v>293270</v>
      </c>
      <c r="AG81" s="1"/>
      <c r="AH81" s="340"/>
      <c r="AI81" s="341"/>
      <c r="AJ81" s="341"/>
      <c r="AK81" s="309">
        <f t="shared" si="120"/>
        <v>880.01</v>
      </c>
      <c r="AL81" s="1"/>
      <c r="AM81" s="340"/>
      <c r="AN81" s="341"/>
      <c r="AO81" s="341"/>
      <c r="AP81" s="309">
        <f t="shared" si="121"/>
        <v>79.04</v>
      </c>
      <c r="AQ81" s="1"/>
      <c r="AR81" s="340"/>
      <c r="AS81" s="341"/>
      <c r="AT81" s="341"/>
      <c r="AU81" s="309">
        <f t="shared" si="122"/>
        <v>92.72</v>
      </c>
      <c r="AV81" s="1"/>
      <c r="AW81" s="340"/>
      <c r="AX81" s="341"/>
      <c r="AY81" s="341"/>
      <c r="AZ81" s="309">
        <f t="shared" si="123"/>
        <v>929.2</v>
      </c>
      <c r="BA81" s="1"/>
      <c r="BB81" s="340"/>
      <c r="BC81" s="341"/>
      <c r="BD81" s="341"/>
      <c r="BE81" s="309">
        <f t="shared" si="124"/>
        <v>2001.220527</v>
      </c>
      <c r="BF81" s="1"/>
      <c r="BG81" s="1"/>
      <c r="BH81" s="1"/>
      <c r="BI81" s="1"/>
      <c r="BJ81" s="1"/>
      <c r="BK81" s="1"/>
      <c r="BL81" s="1"/>
      <c r="BM81" s="1"/>
      <c r="BN81" s="1"/>
      <c r="BO81" s="1"/>
      <c r="BP81" s="1"/>
      <c r="BQ81" s="1"/>
      <c r="BR81" s="1"/>
      <c r="BS81" s="1"/>
    </row>
    <row r="82" ht="15.75" customHeight="1">
      <c r="A82" s="55">
        <f t="shared" si="1"/>
        <v>82</v>
      </c>
      <c r="B82" s="1"/>
      <c r="C82" s="1"/>
      <c r="D82" s="340"/>
      <c r="E82" s="341"/>
      <c r="F82" s="341"/>
      <c r="G82" s="342"/>
      <c r="H82" s="1"/>
      <c r="I82" s="340"/>
      <c r="J82" s="341"/>
      <c r="K82" s="341"/>
      <c r="L82" s="342"/>
      <c r="M82" s="1"/>
      <c r="N82" s="340"/>
      <c r="O82" s="341"/>
      <c r="P82" s="341"/>
      <c r="Q82" s="342"/>
      <c r="R82" s="1"/>
      <c r="S82" s="340"/>
      <c r="T82" s="341"/>
      <c r="U82" s="341"/>
      <c r="V82" s="342"/>
      <c r="W82" s="1"/>
      <c r="X82" s="340"/>
      <c r="Y82" s="341"/>
      <c r="Z82" s="341"/>
      <c r="AA82" s="342"/>
      <c r="AB82" s="1"/>
      <c r="AC82" s="340"/>
      <c r="AD82" s="341"/>
      <c r="AE82" s="341"/>
      <c r="AF82" s="342"/>
      <c r="AG82" s="1"/>
      <c r="AH82" s="340"/>
      <c r="AI82" s="341"/>
      <c r="AJ82" s="341"/>
      <c r="AK82" s="342"/>
      <c r="AL82" s="1"/>
      <c r="AM82" s="340"/>
      <c r="AN82" s="341"/>
      <c r="AO82" s="341"/>
      <c r="AP82" s="342"/>
      <c r="AQ82" s="1"/>
      <c r="AR82" s="340"/>
      <c r="AS82" s="341"/>
      <c r="AT82" s="341"/>
      <c r="AU82" s="342"/>
      <c r="AV82" s="1"/>
      <c r="AW82" s="340"/>
      <c r="AX82" s="341"/>
      <c r="AY82" s="341"/>
      <c r="AZ82" s="342"/>
      <c r="BA82" s="1"/>
      <c r="BB82" s="340"/>
      <c r="BC82" s="341"/>
      <c r="BD82" s="341"/>
      <c r="BE82" s="342"/>
      <c r="BF82" s="1"/>
      <c r="BG82" s="1"/>
      <c r="BH82" s="1"/>
      <c r="BI82" s="1"/>
      <c r="BJ82" s="1"/>
      <c r="BK82" s="1"/>
      <c r="BL82" s="1"/>
      <c r="BM82" s="1"/>
      <c r="BN82" s="1"/>
      <c r="BO82" s="1"/>
      <c r="BP82" s="1"/>
      <c r="BQ82" s="1"/>
      <c r="BR82" s="1"/>
      <c r="BS82" s="1"/>
    </row>
    <row r="83" ht="15.75" customHeight="1">
      <c r="A83" s="55">
        <f t="shared" si="1"/>
        <v>83</v>
      </c>
      <c r="B83" s="1" t="str">
        <f>TEXT(D64,"mm/dd/yyyy")&amp;" "&amp;B65</f>
        <v>LTM EV / Revenue:</v>
      </c>
      <c r="C83" s="1"/>
      <c r="D83" s="340"/>
      <c r="E83" s="341"/>
      <c r="F83" s="341"/>
      <c r="G83" s="377">
        <f t="shared" ref="G83:G85" si="125">+D65</f>
        <v>5.205861486</v>
      </c>
      <c r="H83" s="1"/>
      <c r="I83" s="340"/>
      <c r="J83" s="341"/>
      <c r="K83" s="341"/>
      <c r="L83" s="377">
        <f t="shared" ref="L83:L85" si="126">+I65</f>
        <v>5.332750606</v>
      </c>
      <c r="M83" s="1"/>
      <c r="N83" s="340"/>
      <c r="O83" s="341"/>
      <c r="P83" s="341"/>
      <c r="Q83" s="377">
        <f t="shared" ref="Q83:Q85" si="127">+N65</f>
        <v>3.687543559</v>
      </c>
      <c r="R83" s="1"/>
      <c r="S83" s="340"/>
      <c r="T83" s="341"/>
      <c r="U83" s="341"/>
      <c r="V83" s="377">
        <f t="shared" ref="V83:V85" si="128">+S65</f>
        <v>2.828442438</v>
      </c>
      <c r="W83" s="1"/>
      <c r="X83" s="340"/>
      <c r="Y83" s="341"/>
      <c r="Z83" s="341"/>
      <c r="AA83" s="377">
        <f t="shared" ref="AA83:AA85" si="129">+X65</f>
        <v>2.19851789</v>
      </c>
      <c r="AB83" s="1"/>
      <c r="AC83" s="340"/>
      <c r="AD83" s="341"/>
      <c r="AE83" s="341"/>
      <c r="AF83" s="377">
        <f t="shared" ref="AF83:AF85" si="130">+AC65</f>
        <v>3.942746303</v>
      </c>
      <c r="AG83" s="1"/>
      <c r="AH83" s="340"/>
      <c r="AI83" s="341"/>
      <c r="AJ83" s="341"/>
      <c r="AK83" s="377">
        <f t="shared" ref="AK83:AK85" si="131">+AH65</f>
        <v>67.50753159</v>
      </c>
      <c r="AL83" s="1"/>
      <c r="AM83" s="340"/>
      <c r="AN83" s="341"/>
      <c r="AO83" s="341"/>
      <c r="AP83" s="377" t="str">
        <f t="shared" ref="AP83:AP85" si="132">+AM65</f>
        <v>NM</v>
      </c>
      <c r="AQ83" s="1"/>
      <c r="AR83" s="340"/>
      <c r="AS83" s="341"/>
      <c r="AT83" s="341"/>
      <c r="AU83" s="377" t="str">
        <f t="shared" ref="AU83:AU85" si="133">+AR65</f>
        <v>NM</v>
      </c>
      <c r="AV83" s="1"/>
      <c r="AW83" s="340"/>
      <c r="AX83" s="341"/>
      <c r="AY83" s="341"/>
      <c r="AZ83" s="377">
        <f t="shared" ref="AZ83:AZ85" si="134">+AW65</f>
        <v>8.382969178</v>
      </c>
      <c r="BA83" s="1"/>
      <c r="BB83" s="340"/>
      <c r="BC83" s="341"/>
      <c r="BD83" s="341"/>
      <c r="BE83" s="377">
        <f t="shared" ref="BE83:BE85" si="135">+BB65</f>
        <v>6.90553244</v>
      </c>
      <c r="BF83" s="1"/>
      <c r="BG83" s="1"/>
      <c r="BH83" s="1"/>
      <c r="BI83" s="1"/>
      <c r="BJ83" s="1"/>
      <c r="BK83" s="1"/>
      <c r="BL83" s="1"/>
      <c r="BM83" s="1"/>
      <c r="BN83" s="1"/>
      <c r="BO83" s="1"/>
      <c r="BP83" s="1"/>
      <c r="BQ83" s="1"/>
      <c r="BR83" s="1"/>
      <c r="BS83" s="1"/>
    </row>
    <row r="84" ht="15.75" customHeight="1">
      <c r="A84" s="55">
        <f t="shared" si="1"/>
        <v>84</v>
      </c>
      <c r="B84" s="1" t="str">
        <f>TEXT(D64,"mm/dd/yyyy")&amp;" "&amp;B66</f>
        <v>LTM EV / EBITDA:</v>
      </c>
      <c r="C84" s="1"/>
      <c r="D84" s="340"/>
      <c r="E84" s="341"/>
      <c r="F84" s="341"/>
      <c r="G84" s="377">
        <f t="shared" si="125"/>
        <v>13.03116279</v>
      </c>
      <c r="H84" s="1"/>
      <c r="I84" s="340"/>
      <c r="J84" s="341"/>
      <c r="K84" s="341"/>
      <c r="L84" s="377">
        <f t="shared" si="126"/>
        <v>13.27155128</v>
      </c>
      <c r="M84" s="1"/>
      <c r="N84" s="340"/>
      <c r="O84" s="341"/>
      <c r="P84" s="341"/>
      <c r="Q84" s="377">
        <f t="shared" si="127"/>
        <v>17.97324902</v>
      </c>
      <c r="R84" s="1"/>
      <c r="S84" s="340"/>
      <c r="T84" s="341"/>
      <c r="U84" s="341"/>
      <c r="V84" s="377">
        <f t="shared" si="128"/>
        <v>19.30216437</v>
      </c>
      <c r="W84" s="1"/>
      <c r="X84" s="340"/>
      <c r="Y84" s="341"/>
      <c r="Z84" s="341"/>
      <c r="AA84" s="377">
        <f t="shared" si="129"/>
        <v>15.26101131</v>
      </c>
      <c r="AB84" s="1"/>
      <c r="AC84" s="340"/>
      <c r="AD84" s="341"/>
      <c r="AE84" s="341"/>
      <c r="AF84" s="377">
        <f t="shared" si="130"/>
        <v>16.51917213</v>
      </c>
      <c r="AG84" s="1"/>
      <c r="AH84" s="340"/>
      <c r="AI84" s="341"/>
      <c r="AJ84" s="341"/>
      <c r="AK84" s="377" t="str">
        <f t="shared" si="131"/>
        <v>NM</v>
      </c>
      <c r="AL84" s="1"/>
      <c r="AM84" s="340"/>
      <c r="AN84" s="341"/>
      <c r="AO84" s="341"/>
      <c r="AP84" s="377" t="str">
        <f t="shared" si="132"/>
        <v>NM</v>
      </c>
      <c r="AQ84" s="1"/>
      <c r="AR84" s="340"/>
      <c r="AS84" s="341"/>
      <c r="AT84" s="341"/>
      <c r="AU84" s="377">
        <f t="shared" si="133"/>
        <v>55.68579085</v>
      </c>
      <c r="AV84" s="1"/>
      <c r="AW84" s="340"/>
      <c r="AX84" s="341"/>
      <c r="AY84" s="341"/>
      <c r="AZ84" s="377">
        <f t="shared" si="134"/>
        <v>26.53915062</v>
      </c>
      <c r="BA84" s="1"/>
      <c r="BB84" s="340"/>
      <c r="BC84" s="341"/>
      <c r="BD84" s="341"/>
      <c r="BE84" s="377">
        <f t="shared" si="135"/>
        <v>23.15762274</v>
      </c>
      <c r="BF84" s="1"/>
      <c r="BG84" s="1"/>
      <c r="BH84" s="1"/>
      <c r="BI84" s="1"/>
      <c r="BJ84" s="1"/>
      <c r="BK84" s="1"/>
      <c r="BL84" s="1"/>
      <c r="BM84" s="1"/>
      <c r="BN84" s="1"/>
      <c r="BO84" s="1"/>
      <c r="BP84" s="1"/>
      <c r="BQ84" s="1"/>
      <c r="BR84" s="1"/>
      <c r="BS84" s="1"/>
    </row>
    <row r="85" ht="15.75" customHeight="1">
      <c r="A85" s="55">
        <f t="shared" si="1"/>
        <v>85</v>
      </c>
      <c r="B85" s="1" t="str">
        <f>TEXT(D64,"mm/dd/yyyy")&amp;" "&amp;B67</f>
        <v>LTM P / E:</v>
      </c>
      <c r="C85" s="1"/>
      <c r="D85" s="340"/>
      <c r="E85" s="341"/>
      <c r="F85" s="341"/>
      <c r="G85" s="377" t="str">
        <f t="shared" si="125"/>
        <v>NM</v>
      </c>
      <c r="H85" s="1"/>
      <c r="I85" s="340"/>
      <c r="J85" s="341"/>
      <c r="K85" s="341"/>
      <c r="L85" s="377">
        <f t="shared" si="126"/>
        <v>31.17008391</v>
      </c>
      <c r="M85" s="1"/>
      <c r="N85" s="340"/>
      <c r="O85" s="341"/>
      <c r="P85" s="341"/>
      <c r="Q85" s="377">
        <f t="shared" si="127"/>
        <v>37.59839042</v>
      </c>
      <c r="R85" s="1"/>
      <c r="S85" s="340"/>
      <c r="T85" s="341"/>
      <c r="U85" s="341"/>
      <c r="V85" s="377">
        <f t="shared" si="128"/>
        <v>39.73195164</v>
      </c>
      <c r="W85" s="1"/>
      <c r="X85" s="340"/>
      <c r="Y85" s="341"/>
      <c r="Z85" s="341"/>
      <c r="AA85" s="377">
        <f t="shared" si="129"/>
        <v>21.58457791</v>
      </c>
      <c r="AB85" s="1"/>
      <c r="AC85" s="340"/>
      <c r="AD85" s="341"/>
      <c r="AE85" s="341"/>
      <c r="AF85" s="377">
        <f t="shared" si="130"/>
        <v>21.85051848</v>
      </c>
      <c r="AG85" s="1"/>
      <c r="AH85" s="340"/>
      <c r="AI85" s="341"/>
      <c r="AJ85" s="341"/>
      <c r="AK85" s="377" t="str">
        <f t="shared" si="131"/>
        <v>NM</v>
      </c>
      <c r="AL85" s="1"/>
      <c r="AM85" s="340"/>
      <c r="AN85" s="341"/>
      <c r="AO85" s="341"/>
      <c r="AP85" s="377" t="str">
        <f t="shared" si="132"/>
        <v>NM</v>
      </c>
      <c r="AQ85" s="1"/>
      <c r="AR85" s="340"/>
      <c r="AS85" s="341"/>
      <c r="AT85" s="341"/>
      <c r="AU85" s="377" t="str">
        <f t="shared" si="133"/>
        <v>NM</v>
      </c>
      <c r="AV85" s="1"/>
      <c r="AW85" s="340"/>
      <c r="AX85" s="341"/>
      <c r="AY85" s="341"/>
      <c r="AZ85" s="377">
        <f t="shared" si="134"/>
        <v>35.8251138</v>
      </c>
      <c r="BA85" s="1"/>
      <c r="BB85" s="340"/>
      <c r="BC85" s="341"/>
      <c r="BD85" s="341"/>
      <c r="BE85" s="377">
        <f t="shared" si="135"/>
        <v>31.50365935</v>
      </c>
      <c r="BF85" s="1"/>
      <c r="BG85" s="1"/>
      <c r="BH85" s="1"/>
      <c r="BI85" s="1"/>
      <c r="BJ85" s="1"/>
      <c r="BK85" s="1"/>
      <c r="BL85" s="1"/>
      <c r="BM85" s="1"/>
      <c r="BN85" s="1"/>
      <c r="BO85" s="1"/>
      <c r="BP85" s="1"/>
      <c r="BQ85" s="1"/>
      <c r="BR85" s="1"/>
      <c r="BS85" s="1"/>
    </row>
    <row r="86" ht="15.75" customHeight="1">
      <c r="A86" s="55">
        <f t="shared" si="1"/>
        <v>86</v>
      </c>
      <c r="B86" s="1"/>
      <c r="C86" s="1"/>
      <c r="D86" s="340"/>
      <c r="E86" s="341"/>
      <c r="F86" s="341"/>
      <c r="G86" s="342"/>
      <c r="H86" s="1"/>
      <c r="I86" s="340"/>
      <c r="J86" s="341"/>
      <c r="K86" s="341"/>
      <c r="L86" s="342"/>
      <c r="M86" s="1"/>
      <c r="N86" s="340"/>
      <c r="O86" s="341"/>
      <c r="P86" s="341"/>
      <c r="Q86" s="342"/>
      <c r="R86" s="1"/>
      <c r="S86" s="340"/>
      <c r="T86" s="341"/>
      <c r="U86" s="341"/>
      <c r="V86" s="342"/>
      <c r="W86" s="1"/>
      <c r="X86" s="340"/>
      <c r="Y86" s="341"/>
      <c r="Z86" s="341"/>
      <c r="AA86" s="342"/>
      <c r="AB86" s="1"/>
      <c r="AC86" s="340"/>
      <c r="AD86" s="341"/>
      <c r="AE86" s="341"/>
      <c r="AF86" s="342"/>
      <c r="AG86" s="1"/>
      <c r="AH86" s="340"/>
      <c r="AI86" s="341"/>
      <c r="AJ86" s="341"/>
      <c r="AK86" s="342"/>
      <c r="AL86" s="1"/>
      <c r="AM86" s="340"/>
      <c r="AN86" s="341"/>
      <c r="AO86" s="341"/>
      <c r="AP86" s="342"/>
      <c r="AQ86" s="1"/>
      <c r="AR86" s="340"/>
      <c r="AS86" s="341"/>
      <c r="AT86" s="341"/>
      <c r="AU86" s="342"/>
      <c r="AV86" s="1"/>
      <c r="AW86" s="340"/>
      <c r="AX86" s="341"/>
      <c r="AY86" s="341"/>
      <c r="AZ86" s="342"/>
      <c r="BA86" s="1"/>
      <c r="BB86" s="340"/>
      <c r="BC86" s="341"/>
      <c r="BD86" s="341"/>
      <c r="BE86" s="342"/>
      <c r="BF86" s="1"/>
      <c r="BG86" s="1"/>
      <c r="BH86" s="1"/>
      <c r="BI86" s="1"/>
      <c r="BJ86" s="1"/>
      <c r="BK86" s="1"/>
      <c r="BL86" s="1"/>
      <c r="BM86" s="1"/>
      <c r="BN86" s="1"/>
      <c r="BO86" s="1"/>
      <c r="BP86" s="1"/>
      <c r="BQ86" s="1"/>
      <c r="BR86" s="1"/>
      <c r="BS86" s="1"/>
    </row>
    <row r="87" ht="15.75" customHeight="1">
      <c r="A87" s="55">
        <f t="shared" si="1"/>
        <v>87</v>
      </c>
      <c r="B87" s="1" t="str">
        <f>TEXT(Forward_Year_1,"yyyy-mm-dd")&amp;" "&amp;B65</f>
        <v>2020-12-31 EV / Revenue:</v>
      </c>
      <c r="C87" s="1"/>
      <c r="D87" s="340"/>
      <c r="E87" s="341"/>
      <c r="F87" s="341"/>
      <c r="G87" s="377">
        <f t="shared" ref="G87:G89" si="136">+E65</f>
        <v>6.336949966</v>
      </c>
      <c r="H87" s="1"/>
      <c r="I87" s="340"/>
      <c r="J87" s="341"/>
      <c r="K87" s="341"/>
      <c r="L87" s="377">
        <f t="shared" ref="L87:L89" si="137">+J65</f>
        <v>5.088110158</v>
      </c>
      <c r="M87" s="1"/>
      <c r="N87" s="340"/>
      <c r="O87" s="341"/>
      <c r="P87" s="341"/>
      <c r="Q87" s="377">
        <f t="shared" ref="Q87:Q89" si="138">+O65</f>
        <v>3.725744327</v>
      </c>
      <c r="R87" s="1"/>
      <c r="S87" s="340"/>
      <c r="T87" s="341"/>
      <c r="U87" s="341"/>
      <c r="V87" s="377">
        <f t="shared" ref="V87:V89" si="139">+T65</f>
        <v>2.486111111</v>
      </c>
      <c r="W87" s="1"/>
      <c r="X87" s="340"/>
      <c r="Y87" s="341"/>
      <c r="Z87" s="341"/>
      <c r="AA87" s="377">
        <f t="shared" ref="AA87:AA89" si="140">+Y65</f>
        <v>2.178885236</v>
      </c>
      <c r="AB87" s="1"/>
      <c r="AC87" s="340"/>
      <c r="AD87" s="341"/>
      <c r="AE87" s="341"/>
      <c r="AF87" s="377">
        <f t="shared" ref="AF87:AF89" si="141">+AD65</f>
        <v>3.764441436</v>
      </c>
      <c r="AG87" s="1"/>
      <c r="AH87" s="340"/>
      <c r="AI87" s="341"/>
      <c r="AJ87" s="341"/>
      <c r="AK87" s="377">
        <f t="shared" ref="AK87:AK89" si="142">+AI65</f>
        <v>9.475980475</v>
      </c>
      <c r="AL87" s="1"/>
      <c r="AM87" s="340"/>
      <c r="AN87" s="341"/>
      <c r="AO87" s="341"/>
      <c r="AP87" s="377" t="str">
        <f t="shared" ref="AP87:AP89" si="143">+AN65</f>
        <v>NM</v>
      </c>
      <c r="AQ87" s="1"/>
      <c r="AR87" s="340"/>
      <c r="AS87" s="341"/>
      <c r="AT87" s="341"/>
      <c r="AU87" s="377" t="str">
        <f t="shared" ref="AU87:AU89" si="144">+AS65</f>
        <v>NM</v>
      </c>
      <c r="AV87" s="1"/>
      <c r="AW87" s="340"/>
      <c r="AX87" s="341"/>
      <c r="AY87" s="341"/>
      <c r="AZ87" s="377" t="str">
        <f t="shared" ref="AZ87:AZ89" si="145">+AX65</f>
        <v>NM</v>
      </c>
      <c r="BA87" s="1"/>
      <c r="BB87" s="340"/>
      <c r="BC87" s="341"/>
      <c r="BD87" s="341"/>
      <c r="BE87" s="377">
        <f t="shared" ref="BE87:BE89" si="146">+BC65</f>
        <v>6.589705882</v>
      </c>
      <c r="BF87" s="1"/>
      <c r="BG87" s="1"/>
      <c r="BH87" s="1"/>
      <c r="BI87" s="1"/>
      <c r="BJ87" s="1"/>
      <c r="BK87" s="1"/>
      <c r="BL87" s="1"/>
      <c r="BM87" s="1"/>
      <c r="BN87" s="1"/>
      <c r="BO87" s="1"/>
      <c r="BP87" s="1"/>
      <c r="BQ87" s="1"/>
      <c r="BR87" s="1"/>
      <c r="BS87" s="1"/>
    </row>
    <row r="88" ht="15.75" customHeight="1">
      <c r="A88" s="55">
        <f t="shared" si="1"/>
        <v>88</v>
      </c>
      <c r="B88" s="1" t="str">
        <f>TEXT(Forward_Year_1,"yyyy-mm-dd")&amp;" "&amp;B66</f>
        <v>2020-12-31 EV / EBITDA:</v>
      </c>
      <c r="C88" s="1"/>
      <c r="D88" s="340"/>
      <c r="E88" s="341"/>
      <c r="F88" s="341"/>
      <c r="G88" s="377">
        <f t="shared" si="136"/>
        <v>13.73872147</v>
      </c>
      <c r="H88" s="1"/>
      <c r="I88" s="340"/>
      <c r="J88" s="341"/>
      <c r="K88" s="341"/>
      <c r="L88" s="377">
        <f t="shared" si="137"/>
        <v>14.82151348</v>
      </c>
      <c r="M88" s="1"/>
      <c r="N88" s="340"/>
      <c r="O88" s="341"/>
      <c r="P88" s="341"/>
      <c r="Q88" s="377">
        <f t="shared" si="138"/>
        <v>15.93835245</v>
      </c>
      <c r="R88" s="1"/>
      <c r="S88" s="340"/>
      <c r="T88" s="341"/>
      <c r="U88" s="341"/>
      <c r="V88" s="377">
        <f t="shared" si="139"/>
        <v>14.51474643</v>
      </c>
      <c r="W88" s="1"/>
      <c r="X88" s="340"/>
      <c r="Y88" s="341"/>
      <c r="Z88" s="341"/>
      <c r="AA88" s="377">
        <f t="shared" si="140"/>
        <v>13.83779599</v>
      </c>
      <c r="AB88" s="1"/>
      <c r="AC88" s="340"/>
      <c r="AD88" s="341"/>
      <c r="AE88" s="341"/>
      <c r="AF88" s="377">
        <f t="shared" si="141"/>
        <v>14.86420691</v>
      </c>
      <c r="AG88" s="1"/>
      <c r="AH88" s="340"/>
      <c r="AI88" s="341"/>
      <c r="AJ88" s="341"/>
      <c r="AK88" s="377">
        <f t="shared" si="142"/>
        <v>12.0027285</v>
      </c>
      <c r="AL88" s="1"/>
      <c r="AM88" s="340"/>
      <c r="AN88" s="341"/>
      <c r="AO88" s="341"/>
      <c r="AP88" s="377" t="str">
        <f t="shared" si="143"/>
        <v>NM</v>
      </c>
      <c r="AQ88" s="1"/>
      <c r="AR88" s="340"/>
      <c r="AS88" s="341"/>
      <c r="AT88" s="341"/>
      <c r="AU88" s="377" t="str">
        <f t="shared" si="144"/>
        <v>NM</v>
      </c>
      <c r="AV88" s="1"/>
      <c r="AW88" s="340"/>
      <c r="AX88" s="341"/>
      <c r="AY88" s="341"/>
      <c r="AZ88" s="377" t="str">
        <f t="shared" si="145"/>
        <v>NM</v>
      </c>
      <c r="BA88" s="1"/>
      <c r="BB88" s="340"/>
      <c r="BC88" s="341"/>
      <c r="BD88" s="341"/>
      <c r="BE88" s="377">
        <f t="shared" si="146"/>
        <v>22.09850205</v>
      </c>
      <c r="BF88" s="1"/>
      <c r="BG88" s="1"/>
      <c r="BH88" s="1"/>
      <c r="BI88" s="1"/>
      <c r="BJ88" s="1"/>
      <c r="BK88" s="1"/>
      <c r="BL88" s="1"/>
      <c r="BM88" s="1"/>
      <c r="BN88" s="1"/>
      <c r="BO88" s="1"/>
      <c r="BP88" s="1"/>
      <c r="BQ88" s="1"/>
      <c r="BR88" s="1"/>
      <c r="BS88" s="1"/>
    </row>
    <row r="89" ht="15.75" customHeight="1">
      <c r="A89" s="55">
        <f t="shared" si="1"/>
        <v>89</v>
      </c>
      <c r="B89" s="1" t="str">
        <f>TEXT(Forward_Year_1,"yyyy-mm-dd")&amp;" "&amp;B67</f>
        <v>2020-12-31 P / E:</v>
      </c>
      <c r="C89" s="1"/>
      <c r="D89" s="340"/>
      <c r="E89" s="341"/>
      <c r="F89" s="341"/>
      <c r="G89" s="377" t="str">
        <f t="shared" si="136"/>
        <v>NM</v>
      </c>
      <c r="H89" s="1"/>
      <c r="I89" s="340"/>
      <c r="J89" s="341"/>
      <c r="K89" s="341"/>
      <c r="L89" s="377">
        <f t="shared" si="137"/>
        <v>22.98296194</v>
      </c>
      <c r="M89" s="1"/>
      <c r="N89" s="340"/>
      <c r="O89" s="341"/>
      <c r="P89" s="341"/>
      <c r="Q89" s="377">
        <f t="shared" si="138"/>
        <v>23.15538952</v>
      </c>
      <c r="R89" s="1"/>
      <c r="S89" s="340"/>
      <c r="T89" s="341"/>
      <c r="U89" s="341"/>
      <c r="V89" s="377">
        <f t="shared" si="139"/>
        <v>29.31977743</v>
      </c>
      <c r="W89" s="1"/>
      <c r="X89" s="340"/>
      <c r="Y89" s="341"/>
      <c r="Z89" s="341"/>
      <c r="AA89" s="377">
        <f t="shared" si="140"/>
        <v>24.99277169</v>
      </c>
      <c r="AB89" s="1"/>
      <c r="AC89" s="340"/>
      <c r="AD89" s="341"/>
      <c r="AE89" s="341"/>
      <c r="AF89" s="377">
        <f t="shared" si="141"/>
        <v>21.16887783</v>
      </c>
      <c r="AG89" s="1"/>
      <c r="AH89" s="340"/>
      <c r="AI89" s="341"/>
      <c r="AJ89" s="341"/>
      <c r="AK89" s="377">
        <f t="shared" si="142"/>
        <v>15.49577212</v>
      </c>
      <c r="AL89" s="1"/>
      <c r="AM89" s="340"/>
      <c r="AN89" s="341"/>
      <c r="AO89" s="341"/>
      <c r="AP89" s="377" t="str">
        <f t="shared" si="143"/>
        <v>NM</v>
      </c>
      <c r="AQ89" s="1"/>
      <c r="AR89" s="340"/>
      <c r="AS89" s="341"/>
      <c r="AT89" s="341"/>
      <c r="AU89" s="377" t="str">
        <f t="shared" si="144"/>
        <v>NM</v>
      </c>
      <c r="AV89" s="1"/>
      <c r="AW89" s="340"/>
      <c r="AX89" s="341"/>
      <c r="AY89" s="341"/>
      <c r="AZ89" s="377" t="str">
        <f t="shared" si="145"/>
        <v>NM</v>
      </c>
      <c r="BA89" s="1"/>
      <c r="BB89" s="340"/>
      <c r="BC89" s="341"/>
      <c r="BD89" s="341"/>
      <c r="BE89" s="377">
        <f t="shared" si="146"/>
        <v>30.06283022</v>
      </c>
      <c r="BF89" s="1"/>
      <c r="BG89" s="1"/>
      <c r="BH89" s="1"/>
      <c r="BI89" s="1"/>
      <c r="BJ89" s="1"/>
      <c r="BK89" s="1"/>
      <c r="BL89" s="1"/>
      <c r="BM89" s="1"/>
      <c r="BN89" s="1"/>
      <c r="BO89" s="1"/>
      <c r="BP89" s="1"/>
      <c r="BQ89" s="1"/>
      <c r="BR89" s="1"/>
      <c r="BS89" s="1"/>
    </row>
    <row r="90" ht="15.75" customHeight="1">
      <c r="A90" s="55">
        <f t="shared" si="1"/>
        <v>90</v>
      </c>
      <c r="B90" s="1"/>
      <c r="C90" s="1"/>
      <c r="D90" s="340"/>
      <c r="E90" s="341"/>
      <c r="F90" s="341"/>
      <c r="G90" s="342"/>
      <c r="H90" s="1"/>
      <c r="I90" s="340"/>
      <c r="J90" s="341"/>
      <c r="K90" s="341"/>
      <c r="L90" s="342"/>
      <c r="M90" s="1"/>
      <c r="N90" s="340"/>
      <c r="O90" s="341"/>
      <c r="P90" s="341"/>
      <c r="Q90" s="342"/>
      <c r="R90" s="1"/>
      <c r="S90" s="340"/>
      <c r="T90" s="341"/>
      <c r="U90" s="341"/>
      <c r="V90" s="342"/>
      <c r="W90" s="1"/>
      <c r="X90" s="340"/>
      <c r="Y90" s="341"/>
      <c r="Z90" s="341"/>
      <c r="AA90" s="342"/>
      <c r="AB90" s="1"/>
      <c r="AC90" s="340"/>
      <c r="AD90" s="341"/>
      <c r="AE90" s="341"/>
      <c r="AF90" s="342"/>
      <c r="AG90" s="1"/>
      <c r="AH90" s="340"/>
      <c r="AI90" s="341"/>
      <c r="AJ90" s="341"/>
      <c r="AK90" s="342"/>
      <c r="AL90" s="1"/>
      <c r="AM90" s="340"/>
      <c r="AN90" s="341"/>
      <c r="AO90" s="341"/>
      <c r="AP90" s="342"/>
      <c r="AQ90" s="1"/>
      <c r="AR90" s="340"/>
      <c r="AS90" s="341"/>
      <c r="AT90" s="341"/>
      <c r="AU90" s="342"/>
      <c r="AV90" s="1"/>
      <c r="AW90" s="340"/>
      <c r="AX90" s="341"/>
      <c r="AY90" s="341"/>
      <c r="AZ90" s="342"/>
      <c r="BA90" s="1"/>
      <c r="BB90" s="340"/>
      <c r="BC90" s="341"/>
      <c r="BD90" s="341"/>
      <c r="BE90" s="342"/>
      <c r="BF90" s="1"/>
      <c r="BG90" s="1"/>
      <c r="BH90" s="1"/>
      <c r="BI90" s="1"/>
      <c r="BJ90" s="1"/>
      <c r="BK90" s="1"/>
      <c r="BL90" s="1"/>
      <c r="BM90" s="1"/>
      <c r="BN90" s="1"/>
      <c r="BO90" s="1"/>
      <c r="BP90" s="1"/>
      <c r="BQ90" s="1"/>
      <c r="BR90" s="1"/>
      <c r="BS90" s="1"/>
    </row>
    <row r="91" ht="15.75" customHeight="1">
      <c r="A91" s="55">
        <f t="shared" si="1"/>
        <v>91</v>
      </c>
      <c r="B91" s="1" t="str">
        <f>TEXT(Forward_Year_2,"yyyy-mm-dd")&amp;" "&amp;B65</f>
        <v>2021-12-31 EV / Revenue:</v>
      </c>
      <c r="C91" s="1"/>
      <c r="D91" s="340"/>
      <c r="E91" s="341"/>
      <c r="F91" s="341"/>
      <c r="G91" s="377">
        <f t="shared" ref="G91:G93" si="147">+F65</f>
        <v>3.622887931</v>
      </c>
      <c r="H91" s="1"/>
      <c r="I91" s="340"/>
      <c r="J91" s="341"/>
      <c r="K91" s="341"/>
      <c r="L91" s="377">
        <f t="shared" ref="L91:L93" si="148">+K65</f>
        <v>4.910177734</v>
      </c>
      <c r="M91" s="1"/>
      <c r="N91" s="340"/>
      <c r="O91" s="341"/>
      <c r="P91" s="341"/>
      <c r="Q91" s="377">
        <f t="shared" ref="Q91:Q93" si="149">+P65</f>
        <v>3.932191298</v>
      </c>
      <c r="R91" s="1"/>
      <c r="S91" s="340"/>
      <c r="T91" s="341"/>
      <c r="U91" s="341"/>
      <c r="V91" s="377">
        <f t="shared" ref="V91:V93" si="150">+U65</f>
        <v>2.346441948</v>
      </c>
      <c r="W91" s="1"/>
      <c r="X91" s="340"/>
      <c r="Y91" s="341"/>
      <c r="Z91" s="341"/>
      <c r="AA91" s="377">
        <f t="shared" ref="AA91:AA93" si="151">+Z65</f>
        <v>1.869984175</v>
      </c>
      <c r="AB91" s="1"/>
      <c r="AC91" s="340"/>
      <c r="AD91" s="341"/>
      <c r="AE91" s="341"/>
      <c r="AF91" s="377">
        <f t="shared" ref="AF91:AF93" si="152">+AE65</f>
        <v>3.528133433</v>
      </c>
      <c r="AG91" s="1"/>
      <c r="AH91" s="340"/>
      <c r="AI91" s="341"/>
      <c r="AJ91" s="341"/>
      <c r="AK91" s="377">
        <f t="shared" ref="AK91:AK93" si="153">+AJ65</f>
        <v>13.31749991</v>
      </c>
      <c r="AL91" s="1"/>
      <c r="AM91" s="340"/>
      <c r="AN91" s="341"/>
      <c r="AO91" s="341"/>
      <c r="AP91" s="377" t="str">
        <f t="shared" ref="AP91:AP93" si="154">+AO65</f>
        <v>NM</v>
      </c>
      <c r="AQ91" s="1"/>
      <c r="AR91" s="340"/>
      <c r="AS91" s="341"/>
      <c r="AT91" s="341"/>
      <c r="AU91" s="377" t="str">
        <f t="shared" ref="AU91:AU93" si="155">+AT65</f>
        <v>NM</v>
      </c>
      <c r="AV91" s="1"/>
      <c r="AW91" s="340"/>
      <c r="AX91" s="341"/>
      <c r="AY91" s="341"/>
      <c r="AZ91" s="377" t="str">
        <f t="shared" ref="AZ91:AZ93" si="156">+AY65</f>
        <v>NM</v>
      </c>
      <c r="BA91" s="1"/>
      <c r="BB91" s="340"/>
      <c r="BC91" s="341"/>
      <c r="BD91" s="341"/>
      <c r="BE91" s="377">
        <f t="shared" ref="BE91:BE93" si="157">+BD65</f>
        <v>6.039083558</v>
      </c>
      <c r="BF91" s="1"/>
      <c r="BG91" s="1"/>
      <c r="BH91" s="1"/>
      <c r="BI91" s="1"/>
      <c r="BJ91" s="1"/>
      <c r="BK91" s="1"/>
      <c r="BL91" s="1"/>
      <c r="BM91" s="1"/>
      <c r="BN91" s="1"/>
      <c r="BO91" s="1"/>
      <c r="BP91" s="1"/>
      <c r="BQ91" s="1"/>
      <c r="BR91" s="1"/>
      <c r="BS91" s="1"/>
    </row>
    <row r="92" ht="15.75" customHeight="1">
      <c r="A92" s="55">
        <f t="shared" si="1"/>
        <v>92</v>
      </c>
      <c r="B92" s="1" t="str">
        <f>TEXT(Forward_Year_2,"yyyy-mm-dd")&amp;" "&amp;B66</f>
        <v>2021-12-31 EV / EBITDA:</v>
      </c>
      <c r="C92" s="1"/>
      <c r="D92" s="340"/>
      <c r="E92" s="341"/>
      <c r="F92" s="341"/>
      <c r="G92" s="377">
        <f t="shared" si="147"/>
        <v>7.257150706</v>
      </c>
      <c r="H92" s="1"/>
      <c r="I92" s="340"/>
      <c r="J92" s="341"/>
      <c r="K92" s="341"/>
      <c r="L92" s="377">
        <f t="shared" si="148"/>
        <v>14.35405954</v>
      </c>
      <c r="M92" s="1"/>
      <c r="N92" s="340"/>
      <c r="O92" s="341"/>
      <c r="P92" s="341"/>
      <c r="Q92" s="377">
        <f t="shared" si="149"/>
        <v>15.83665943</v>
      </c>
      <c r="R92" s="1"/>
      <c r="S92" s="340"/>
      <c r="T92" s="341"/>
      <c r="U92" s="341"/>
      <c r="V92" s="377">
        <f t="shared" si="150"/>
        <v>13.13059334</v>
      </c>
      <c r="W92" s="1"/>
      <c r="X92" s="340"/>
      <c r="Y92" s="341"/>
      <c r="Z92" s="341"/>
      <c r="AA92" s="377">
        <f t="shared" si="151"/>
        <v>11.37159345</v>
      </c>
      <c r="AB92" s="1"/>
      <c r="AC92" s="340"/>
      <c r="AD92" s="341"/>
      <c r="AE92" s="341"/>
      <c r="AF92" s="377">
        <f t="shared" si="152"/>
        <v>12.32826486</v>
      </c>
      <c r="AG92" s="1"/>
      <c r="AH92" s="340"/>
      <c r="AI92" s="341"/>
      <c r="AJ92" s="341"/>
      <c r="AK92" s="377">
        <f t="shared" si="153"/>
        <v>18.39431303</v>
      </c>
      <c r="AL92" s="1"/>
      <c r="AM92" s="340"/>
      <c r="AN92" s="341"/>
      <c r="AO92" s="341"/>
      <c r="AP92" s="377" t="str">
        <f t="shared" si="154"/>
        <v>NM</v>
      </c>
      <c r="AQ92" s="1"/>
      <c r="AR92" s="340"/>
      <c r="AS92" s="341"/>
      <c r="AT92" s="341"/>
      <c r="AU92" s="377" t="str">
        <f t="shared" si="155"/>
        <v>NM</v>
      </c>
      <c r="AV92" s="1"/>
      <c r="AW92" s="340"/>
      <c r="AX92" s="341"/>
      <c r="AY92" s="341"/>
      <c r="AZ92" s="377" t="str">
        <f t="shared" si="156"/>
        <v>NM</v>
      </c>
      <c r="BA92" s="1"/>
      <c r="BB92" s="340"/>
      <c r="BC92" s="341"/>
      <c r="BD92" s="341"/>
      <c r="BE92" s="377">
        <f t="shared" si="157"/>
        <v>20.25199649</v>
      </c>
      <c r="BF92" s="1"/>
      <c r="BG92" s="1"/>
      <c r="BH92" s="1"/>
      <c r="BI92" s="1"/>
      <c r="BJ92" s="1"/>
      <c r="BK92" s="1"/>
      <c r="BL92" s="1"/>
      <c r="BM92" s="1"/>
      <c r="BN92" s="1"/>
      <c r="BO92" s="1"/>
      <c r="BP92" s="1"/>
      <c r="BQ92" s="1"/>
      <c r="BR92" s="1"/>
      <c r="BS92" s="1"/>
    </row>
    <row r="93" ht="15.75" customHeight="1">
      <c r="A93" s="55">
        <f t="shared" si="1"/>
        <v>93</v>
      </c>
      <c r="B93" s="1" t="str">
        <f>TEXT(Forward_Year_2,"yyyy-mm-dd")&amp;" "&amp;B67</f>
        <v>2021-12-31 P / E:</v>
      </c>
      <c r="C93" s="1"/>
      <c r="D93" s="361"/>
      <c r="E93" s="362"/>
      <c r="F93" s="362"/>
      <c r="G93" s="377">
        <f t="shared" si="147"/>
        <v>20.81434166</v>
      </c>
      <c r="H93" s="1"/>
      <c r="I93" s="361"/>
      <c r="J93" s="362"/>
      <c r="K93" s="362"/>
      <c r="L93" s="377">
        <f t="shared" si="148"/>
        <v>21.96700728</v>
      </c>
      <c r="M93" s="1"/>
      <c r="N93" s="361"/>
      <c r="O93" s="362"/>
      <c r="P93" s="362"/>
      <c r="Q93" s="377">
        <f t="shared" si="149"/>
        <v>24.34496326</v>
      </c>
      <c r="R93" s="1"/>
      <c r="S93" s="361"/>
      <c r="T93" s="362"/>
      <c r="U93" s="362"/>
      <c r="V93" s="377">
        <f t="shared" si="150"/>
        <v>26.27215537</v>
      </c>
      <c r="W93" s="1"/>
      <c r="X93" s="361"/>
      <c r="Y93" s="362"/>
      <c r="Z93" s="362"/>
      <c r="AA93" s="377">
        <f t="shared" si="151"/>
        <v>18.5748821</v>
      </c>
      <c r="AB93" s="1"/>
      <c r="AC93" s="361"/>
      <c r="AD93" s="362"/>
      <c r="AE93" s="362"/>
      <c r="AF93" s="377">
        <f t="shared" si="152"/>
        <v>17.13995754</v>
      </c>
      <c r="AG93" s="1"/>
      <c r="AH93" s="361"/>
      <c r="AI93" s="362"/>
      <c r="AJ93" s="362"/>
      <c r="AK93" s="377">
        <f t="shared" si="153"/>
        <v>21.58036764</v>
      </c>
      <c r="AL93" s="1"/>
      <c r="AM93" s="361"/>
      <c r="AN93" s="362"/>
      <c r="AO93" s="362"/>
      <c r="AP93" s="377" t="str">
        <f t="shared" si="154"/>
        <v>NM</v>
      </c>
      <c r="AQ93" s="1"/>
      <c r="AR93" s="361"/>
      <c r="AS93" s="362"/>
      <c r="AT93" s="362"/>
      <c r="AU93" s="377" t="str">
        <f t="shared" si="155"/>
        <v>NM</v>
      </c>
      <c r="AV93" s="1"/>
      <c r="AW93" s="361"/>
      <c r="AX93" s="362"/>
      <c r="AY93" s="362"/>
      <c r="AZ93" s="377" t="str">
        <f t="shared" si="156"/>
        <v>NM</v>
      </c>
      <c r="BA93" s="1"/>
      <c r="BB93" s="361"/>
      <c r="BC93" s="362"/>
      <c r="BD93" s="362"/>
      <c r="BE93" s="377">
        <f t="shared" si="157"/>
        <v>27.55084171</v>
      </c>
      <c r="BF93" s="1"/>
      <c r="BG93" s="1"/>
      <c r="BH93" s="1"/>
      <c r="BI93" s="1"/>
      <c r="BJ93" s="1"/>
      <c r="BK93" s="1"/>
      <c r="BL93" s="1"/>
      <c r="BM93" s="1"/>
      <c r="BN93" s="1"/>
      <c r="BO93" s="1"/>
      <c r="BP93" s="1"/>
      <c r="BQ93" s="1"/>
      <c r="BR93" s="1"/>
      <c r="BS93" s="1"/>
    </row>
    <row r="94" ht="15.75" customHeight="1">
      <c r="A94" s="55">
        <f t="shared" si="1"/>
        <v>94</v>
      </c>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row>
    <row r="95" ht="15.75" customHeight="1">
      <c r="A95" s="55">
        <f t="shared" si="1"/>
        <v>95</v>
      </c>
      <c r="B95" s="1" t="s">
        <v>309</v>
      </c>
      <c r="C95" s="1"/>
      <c r="D95" s="378" t="s">
        <v>310</v>
      </c>
      <c r="E95" s="1"/>
      <c r="F95" s="1"/>
      <c r="G95" s="1"/>
      <c r="H95" s="1"/>
      <c r="I95" s="378" t="s">
        <v>311</v>
      </c>
      <c r="J95" s="1"/>
      <c r="K95" s="1"/>
      <c r="L95" s="1"/>
      <c r="M95" s="1"/>
      <c r="N95" s="378" t="s">
        <v>312</v>
      </c>
      <c r="O95" s="1"/>
      <c r="P95" s="1"/>
      <c r="Q95" s="1"/>
      <c r="R95" s="1"/>
      <c r="S95" s="378" t="s">
        <v>313</v>
      </c>
      <c r="T95" s="1"/>
      <c r="U95" s="1"/>
      <c r="V95" s="1"/>
      <c r="W95" s="1"/>
      <c r="X95" s="378" t="s">
        <v>314</v>
      </c>
      <c r="Y95" s="1"/>
      <c r="Z95" s="1"/>
      <c r="AA95" s="1"/>
      <c r="AB95" s="1"/>
      <c r="AC95" s="378" t="s">
        <v>315</v>
      </c>
      <c r="AD95" s="1"/>
      <c r="AE95" s="1"/>
      <c r="AF95" s="1"/>
      <c r="AG95" s="1"/>
      <c r="AH95" s="378" t="s">
        <v>316</v>
      </c>
      <c r="AI95" s="1"/>
      <c r="AJ95" s="1"/>
      <c r="AK95" s="1"/>
      <c r="AL95" s="1"/>
      <c r="AM95" s="378" t="s">
        <v>317</v>
      </c>
      <c r="AN95" s="1"/>
      <c r="AO95" s="1"/>
      <c r="AP95" s="1"/>
      <c r="AQ95" s="1"/>
      <c r="AR95" s="378" t="s">
        <v>318</v>
      </c>
      <c r="AS95" s="1"/>
      <c r="AT95" s="1"/>
      <c r="AU95" s="1"/>
      <c r="AV95" s="1"/>
      <c r="AW95" s="378" t="s">
        <v>319</v>
      </c>
      <c r="AX95" s="1"/>
      <c r="AY95" s="1"/>
      <c r="AZ95" s="1"/>
      <c r="BA95" s="1"/>
      <c r="BB95" s="378" t="s">
        <v>320</v>
      </c>
      <c r="BC95" s="1"/>
      <c r="BD95" s="1"/>
      <c r="BE95" s="1"/>
      <c r="BF95" s="1"/>
      <c r="BG95" s="1"/>
      <c r="BH95" s="1"/>
      <c r="BI95" s="1"/>
      <c r="BJ95" s="1"/>
      <c r="BK95" s="1"/>
      <c r="BL95" s="1"/>
      <c r="BM95" s="1"/>
      <c r="BN95" s="1"/>
      <c r="BO95" s="1"/>
      <c r="BP95" s="1"/>
      <c r="BQ95" s="1"/>
      <c r="BR95" s="1"/>
      <c r="BS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row>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7">
    <mergeCell ref="AM33:AP33"/>
    <mergeCell ref="AR33:AU33"/>
    <mergeCell ref="AW33:AZ33"/>
    <mergeCell ref="BB33:BE33"/>
    <mergeCell ref="D33:G33"/>
    <mergeCell ref="I33:L33"/>
    <mergeCell ref="N33:Q33"/>
    <mergeCell ref="S33:V33"/>
    <mergeCell ref="X33:AA33"/>
    <mergeCell ref="AC33:AF33"/>
    <mergeCell ref="AH33:AK33"/>
    <mergeCell ref="AM57:AP57"/>
    <mergeCell ref="AR57:AU57"/>
    <mergeCell ref="AW57:AZ57"/>
    <mergeCell ref="BB57:BE57"/>
    <mergeCell ref="D57:G57"/>
    <mergeCell ref="I57:L57"/>
    <mergeCell ref="N57:Q57"/>
    <mergeCell ref="S57:V57"/>
    <mergeCell ref="X57:AA57"/>
    <mergeCell ref="AC57:AF57"/>
    <mergeCell ref="AH57:AK57"/>
    <mergeCell ref="AM63:AP63"/>
    <mergeCell ref="AR63:AU63"/>
    <mergeCell ref="AW63:AZ63"/>
    <mergeCell ref="BB63:BE63"/>
    <mergeCell ref="D63:G63"/>
    <mergeCell ref="I63:L63"/>
    <mergeCell ref="N63:Q63"/>
    <mergeCell ref="S63:V63"/>
    <mergeCell ref="X63:AA63"/>
    <mergeCell ref="AC63:AF63"/>
    <mergeCell ref="AH63:AK63"/>
    <mergeCell ref="AM3:AP3"/>
    <mergeCell ref="AR3:AU3"/>
    <mergeCell ref="AW3:AZ3"/>
    <mergeCell ref="BB3:BE3"/>
    <mergeCell ref="D3:G3"/>
    <mergeCell ref="I3:L3"/>
    <mergeCell ref="N3:Q3"/>
    <mergeCell ref="S3:V3"/>
    <mergeCell ref="X3:AA3"/>
    <mergeCell ref="AC3:AF3"/>
    <mergeCell ref="AH3:AK3"/>
    <mergeCell ref="AM16:AP16"/>
    <mergeCell ref="AR16:AU16"/>
    <mergeCell ref="AW16:AZ16"/>
    <mergeCell ref="BB16:BE16"/>
    <mergeCell ref="D16:G16"/>
    <mergeCell ref="I16:L16"/>
    <mergeCell ref="N16:Q16"/>
    <mergeCell ref="S16:V16"/>
    <mergeCell ref="X16:AA16"/>
    <mergeCell ref="AC16:AF16"/>
    <mergeCell ref="AH16:AK16"/>
    <mergeCell ref="AM27:AP27"/>
    <mergeCell ref="AR27:AU27"/>
    <mergeCell ref="AW27:AZ27"/>
    <mergeCell ref="BB27:BE27"/>
    <mergeCell ref="D27:G27"/>
    <mergeCell ref="I27:L27"/>
    <mergeCell ref="N27:Q27"/>
    <mergeCell ref="S27:V27"/>
    <mergeCell ref="X27:AA27"/>
    <mergeCell ref="AC27:AF27"/>
    <mergeCell ref="AH27:AK27"/>
    <mergeCell ref="AM69:AP69"/>
    <mergeCell ref="AR69:AU69"/>
    <mergeCell ref="AW69:AZ69"/>
    <mergeCell ref="BB69:BE69"/>
    <mergeCell ref="D69:G69"/>
    <mergeCell ref="I69:L69"/>
    <mergeCell ref="N69:Q69"/>
    <mergeCell ref="S69:V69"/>
    <mergeCell ref="X69:AA69"/>
    <mergeCell ref="AC69:AF69"/>
    <mergeCell ref="AH69:AK69"/>
  </mergeCells>
  <hyperlinks>
    <hyperlink r:id="rId2" ref="D95"/>
    <hyperlink r:id="rId3" ref="I95"/>
    <hyperlink r:id="rId4" ref="N95"/>
    <hyperlink r:id="rId5" ref="S95"/>
    <hyperlink r:id="rId6" ref="X95"/>
    <hyperlink r:id="rId7" ref="AC95"/>
    <hyperlink r:id="rId8" ref="AH95"/>
    <hyperlink r:id="rId9" ref="AM95"/>
    <hyperlink r:id="rId10" ref="AR95"/>
    <hyperlink r:id="rId11" ref="AW95"/>
    <hyperlink r:id="rId12" ref="BB95"/>
  </hyperlinks>
  <printOptions/>
  <pageMargins bottom="0.75" footer="0.0" header="0.0" left="0.7" right="0.7" top="0.75"/>
  <pageSetup orientation="landscape"/>
  <rowBreaks count="2" manualBreakCount="2">
    <brk id="56" man="1"/>
    <brk id="26" man="1"/>
  </rowBreaks>
  <colBreaks count="3" manualBreakCount="3">
    <brk id="32" man="1"/>
    <brk id="17" man="1"/>
    <brk id="47" man="1"/>
  </colBreaks>
  <drawing r:id="rId13"/>
  <legacyDrawing r:id="rId14"/>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 width="2.71"/>
    <col customWidth="1" min="3" max="13" width="12.71"/>
    <col customWidth="1" min="14" max="26" width="8.86"/>
  </cols>
  <sheetData>
    <row r="1" ht="15.75" customHeight="1">
      <c r="A1" s="1"/>
      <c r="B1" s="1"/>
      <c r="C1" s="1"/>
      <c r="D1" s="1"/>
      <c r="E1" s="1"/>
      <c r="F1" s="1"/>
      <c r="G1" s="1"/>
      <c r="H1" s="1"/>
      <c r="I1" s="1"/>
      <c r="J1" s="1"/>
      <c r="K1" s="1"/>
      <c r="L1" s="1"/>
      <c r="M1" s="1"/>
      <c r="N1" s="1"/>
      <c r="O1" s="1"/>
      <c r="P1" s="1"/>
      <c r="Q1" s="1"/>
      <c r="R1" s="1"/>
      <c r="S1" s="1"/>
      <c r="T1" s="1"/>
      <c r="U1" s="1"/>
      <c r="V1" s="1"/>
      <c r="W1" s="1"/>
      <c r="X1" s="1"/>
      <c r="Y1" s="1"/>
      <c r="Z1" s="1"/>
    </row>
    <row r="2" ht="15.75" customHeight="1">
      <c r="A2" s="1"/>
      <c r="B2" s="51" t="s">
        <v>254</v>
      </c>
      <c r="C2" s="126"/>
      <c r="D2" s="126"/>
      <c r="E2" s="126"/>
      <c r="F2" s="126"/>
      <c r="G2" s="126"/>
      <c r="H2" s="126"/>
      <c r="I2" s="126"/>
      <c r="J2" s="126"/>
      <c r="K2" s="126"/>
      <c r="L2" s="126"/>
      <c r="M2" s="126"/>
      <c r="N2" s="1"/>
      <c r="O2" s="1"/>
      <c r="P2" s="1"/>
      <c r="Q2" s="1"/>
      <c r="R2" s="1"/>
      <c r="S2" s="1"/>
      <c r="T2" s="1"/>
      <c r="U2" s="1"/>
      <c r="V2" s="1"/>
      <c r="W2" s="1"/>
      <c r="X2" s="1"/>
      <c r="Y2" s="1"/>
      <c r="Z2" s="1"/>
    </row>
    <row r="3" ht="15.75" customHeight="1">
      <c r="A3" s="1"/>
      <c r="B3" s="82"/>
      <c r="C3" s="82"/>
      <c r="D3" s="82"/>
      <c r="E3" s="82"/>
      <c r="F3" s="82"/>
      <c r="G3" s="82"/>
      <c r="H3" s="82"/>
      <c r="I3" s="82"/>
      <c r="J3" s="82"/>
      <c r="K3" s="82"/>
      <c r="L3" s="82"/>
      <c r="M3" s="82"/>
      <c r="N3" s="1"/>
      <c r="O3" s="1"/>
      <c r="P3" s="1"/>
      <c r="Q3" s="1"/>
      <c r="R3" s="1"/>
      <c r="S3" s="1"/>
      <c r="T3" s="1"/>
      <c r="U3" s="1"/>
      <c r="V3" s="1"/>
      <c r="W3" s="1"/>
      <c r="X3" s="1"/>
      <c r="Y3" s="1"/>
      <c r="Z3" s="1"/>
    </row>
    <row r="4" ht="15.75" customHeight="1">
      <c r="A4" s="1"/>
      <c r="B4" s="4" t="s">
        <v>255</v>
      </c>
      <c r="C4" s="1"/>
      <c r="D4" s="1"/>
      <c r="E4" s="321"/>
      <c r="F4" s="1"/>
      <c r="G4" s="1"/>
      <c r="H4" s="1"/>
      <c r="I4" s="1"/>
      <c r="J4" s="1"/>
      <c r="K4" s="1"/>
      <c r="L4" s="1"/>
      <c r="M4" s="1"/>
      <c r="N4" s="1"/>
      <c r="O4" s="1"/>
      <c r="P4" s="1"/>
      <c r="Q4" s="1"/>
      <c r="R4" s="1"/>
      <c r="S4" s="1"/>
      <c r="T4" s="1"/>
      <c r="U4" s="1"/>
      <c r="V4" s="1"/>
      <c r="W4" s="1"/>
      <c r="X4" s="1"/>
      <c r="Y4" s="1"/>
      <c r="Z4" s="1"/>
    </row>
    <row r="5" ht="15.75" customHeight="1">
      <c r="A5" s="1"/>
      <c r="B5" s="1"/>
      <c r="C5" s="1"/>
      <c r="D5" s="1"/>
      <c r="E5" s="1"/>
      <c r="F5" s="1"/>
      <c r="G5" s="1"/>
      <c r="H5" s="1"/>
      <c r="I5" s="1"/>
      <c r="J5" s="1"/>
      <c r="K5" s="1"/>
      <c r="L5" s="1"/>
      <c r="M5" s="1"/>
      <c r="N5" s="1"/>
      <c r="O5" s="1"/>
      <c r="P5" s="1"/>
      <c r="Q5" s="1"/>
      <c r="R5" s="1"/>
      <c r="S5" s="1"/>
      <c r="T5" s="1"/>
      <c r="U5" s="1"/>
      <c r="V5" s="1"/>
      <c r="W5" s="1"/>
      <c r="X5" s="1"/>
      <c r="Y5" s="1"/>
      <c r="Z5" s="1"/>
    </row>
    <row r="6" ht="15.75" customHeight="1">
      <c r="A6" s="1"/>
      <c r="B6" s="4" t="s">
        <v>257</v>
      </c>
      <c r="C6" s="1"/>
      <c r="D6" s="1"/>
      <c r="E6" s="321" t="s">
        <v>220</v>
      </c>
      <c r="F6" s="1"/>
      <c r="G6" s="1"/>
      <c r="H6" s="1"/>
      <c r="I6" s="1"/>
      <c r="J6" s="1"/>
      <c r="K6" s="1"/>
      <c r="L6" s="1"/>
      <c r="M6" s="1"/>
      <c r="N6" s="1"/>
      <c r="O6" s="1"/>
      <c r="P6" s="1"/>
      <c r="Q6" s="1"/>
      <c r="R6" s="1"/>
      <c r="S6" s="1"/>
      <c r="T6" s="1"/>
      <c r="U6" s="1"/>
      <c r="V6" s="1"/>
      <c r="W6" s="1"/>
      <c r="X6" s="1"/>
      <c r="Y6" s="1"/>
      <c r="Z6" s="1"/>
    </row>
    <row r="7" ht="15.75" customHeight="1">
      <c r="A7" s="1"/>
      <c r="B7" s="4" t="s">
        <v>258</v>
      </c>
      <c r="C7" s="1"/>
      <c r="D7" s="1"/>
      <c r="E7" s="322">
        <f>EOMONTH(Hist_Year,12)</f>
        <v>44196</v>
      </c>
      <c r="F7" s="1"/>
      <c r="G7" s="1"/>
      <c r="H7" s="1"/>
      <c r="I7" s="1"/>
      <c r="J7" s="1"/>
      <c r="K7" s="1"/>
      <c r="L7" s="1"/>
      <c r="M7" s="1"/>
      <c r="N7" s="1"/>
      <c r="O7" s="1"/>
      <c r="P7" s="1"/>
      <c r="Q7" s="1"/>
      <c r="R7" s="1"/>
      <c r="S7" s="1"/>
      <c r="T7" s="1"/>
      <c r="U7" s="1"/>
      <c r="V7" s="1"/>
      <c r="W7" s="1"/>
      <c r="X7" s="1"/>
      <c r="Y7" s="1"/>
      <c r="Z7" s="1"/>
    </row>
    <row r="8" ht="15.75" customHeight="1">
      <c r="A8" s="1"/>
      <c r="B8" s="4" t="s">
        <v>259</v>
      </c>
      <c r="C8" s="1"/>
      <c r="D8" s="1"/>
      <c r="E8" s="322">
        <f>EOMONTH(Forward_Year_1,12)</f>
        <v>44561</v>
      </c>
      <c r="F8" s="1"/>
      <c r="G8" s="1"/>
      <c r="H8" s="1"/>
      <c r="I8" s="1"/>
      <c r="J8" s="1"/>
      <c r="K8" s="1"/>
      <c r="L8" s="1"/>
      <c r="M8" s="1"/>
      <c r="N8" s="1"/>
      <c r="O8" s="1"/>
      <c r="P8" s="1"/>
      <c r="Q8" s="1"/>
      <c r="R8" s="1"/>
      <c r="S8" s="1"/>
      <c r="T8" s="1"/>
      <c r="U8" s="1"/>
      <c r="V8" s="1"/>
      <c r="W8" s="1"/>
      <c r="X8" s="1"/>
      <c r="Y8" s="1"/>
      <c r="Z8" s="1"/>
    </row>
    <row r="9" ht="15.75" customHeight="1">
      <c r="A9" s="1"/>
      <c r="B9" s="4" t="s">
        <v>261</v>
      </c>
      <c r="C9" s="1"/>
      <c r="D9" s="1"/>
      <c r="E9" s="322">
        <f>EOMONTH(Forward_Year_2,12)</f>
        <v>44926</v>
      </c>
      <c r="F9" s="1"/>
      <c r="G9" s="1"/>
      <c r="H9" s="1"/>
      <c r="I9" s="1"/>
      <c r="J9" s="1"/>
      <c r="K9" s="1"/>
      <c r="L9" s="1"/>
      <c r="M9" s="1"/>
      <c r="N9" s="1"/>
      <c r="O9" s="1"/>
      <c r="P9" s="1"/>
      <c r="Q9" s="1"/>
      <c r="R9" s="1"/>
      <c r="S9" s="1"/>
      <c r="T9" s="1"/>
      <c r="U9" s="1"/>
      <c r="V9" s="1"/>
      <c r="W9" s="1"/>
      <c r="X9" s="1"/>
      <c r="Y9" s="1"/>
      <c r="Z9" s="1"/>
    </row>
    <row r="10" ht="15.75" customHeight="1">
      <c r="A10" s="1"/>
      <c r="B10" s="4"/>
      <c r="C10" s="1"/>
      <c r="D10" s="1"/>
      <c r="E10" s="325"/>
      <c r="F10" s="1"/>
      <c r="G10" s="1"/>
      <c r="H10" s="1"/>
      <c r="I10" s="1"/>
      <c r="J10" s="1"/>
      <c r="K10" s="1"/>
      <c r="L10" s="321"/>
      <c r="M10" s="1"/>
      <c r="N10" s="1"/>
      <c r="O10" s="1"/>
      <c r="P10" s="1"/>
      <c r="Q10" s="1"/>
      <c r="R10" s="1"/>
      <c r="S10" s="1"/>
      <c r="T10" s="1"/>
      <c r="U10" s="1"/>
      <c r="V10" s="1"/>
      <c r="W10" s="1"/>
      <c r="X10" s="1"/>
      <c r="Y10" s="1"/>
      <c r="Z10" s="1"/>
    </row>
    <row r="11" ht="15.75" customHeight="1">
      <c r="A11" s="1"/>
      <c r="B11" s="4" t="s">
        <v>262</v>
      </c>
      <c r="C11" s="1"/>
      <c r="D11" s="1"/>
      <c r="E11" s="325"/>
      <c r="F11" s="1"/>
      <c r="G11" s="1"/>
      <c r="H11" s="4"/>
      <c r="I11" s="1"/>
      <c r="J11" s="1"/>
      <c r="K11" s="1"/>
      <c r="L11" s="321"/>
      <c r="M11" s="1"/>
      <c r="N11" s="1"/>
      <c r="O11" s="1"/>
      <c r="P11" s="1"/>
      <c r="Q11" s="1"/>
      <c r="R11" s="1"/>
      <c r="S11" s="1"/>
      <c r="T11" s="1"/>
      <c r="U11" s="1"/>
      <c r="V11" s="1"/>
      <c r="W11" s="1"/>
      <c r="X11" s="1"/>
      <c r="Y11" s="1"/>
      <c r="Z11" s="1"/>
    </row>
    <row r="12" ht="15.75" customHeight="1">
      <c r="A12" s="1"/>
      <c r="B12" s="4"/>
      <c r="C12" s="1"/>
      <c r="D12" s="1"/>
      <c r="E12" s="325"/>
      <c r="F12" s="1"/>
      <c r="G12" s="1"/>
      <c r="H12" s="1"/>
      <c r="I12" s="1"/>
      <c r="J12" s="1"/>
      <c r="K12" s="1"/>
      <c r="L12" s="321"/>
      <c r="M12" s="1"/>
      <c r="N12" s="1"/>
      <c r="O12" s="1"/>
      <c r="P12" s="1"/>
      <c r="Q12" s="1"/>
      <c r="R12" s="1"/>
      <c r="S12" s="1"/>
      <c r="T12" s="1"/>
      <c r="U12" s="1"/>
      <c r="V12" s="1"/>
      <c r="W12" s="1"/>
      <c r="X12" s="1"/>
      <c r="Y12" s="1"/>
      <c r="Z12" s="1"/>
    </row>
    <row r="13" ht="15.75" customHeight="1">
      <c r="A13" s="1"/>
      <c r="B13" s="4" t="s">
        <v>113</v>
      </c>
      <c r="C13" s="1"/>
      <c r="D13" s="1"/>
      <c r="E13" s="1"/>
      <c r="F13" s="326">
        <v>2.0</v>
      </c>
      <c r="G13" s="1"/>
      <c r="H13" s="4"/>
      <c r="I13" s="1"/>
      <c r="J13" s="1"/>
      <c r="K13" s="1"/>
      <c r="L13" s="326"/>
      <c r="M13" s="1"/>
      <c r="N13" s="1"/>
      <c r="O13" s="1"/>
      <c r="P13" s="1"/>
      <c r="Q13" s="1"/>
      <c r="R13" s="1"/>
      <c r="S13" s="1"/>
      <c r="T13" s="1"/>
      <c r="U13" s="1"/>
      <c r="V13" s="1"/>
      <c r="W13" s="1"/>
      <c r="X13" s="1"/>
      <c r="Y13" s="1"/>
      <c r="Z13" s="1"/>
    </row>
    <row r="14" ht="15.75" customHeight="1">
      <c r="A14" s="1"/>
      <c r="B14" s="4" t="s">
        <v>263</v>
      </c>
      <c r="C14" s="1"/>
      <c r="D14" s="1"/>
      <c r="E14" s="1"/>
      <c r="F14" s="326">
        <v>34.0</v>
      </c>
      <c r="G14" s="1"/>
      <c r="H14" s="4"/>
      <c r="I14" s="1"/>
      <c r="J14" s="1"/>
      <c r="K14" s="1"/>
      <c r="L14" s="326"/>
      <c r="M14" s="1"/>
      <c r="N14" s="1"/>
      <c r="O14" s="1"/>
      <c r="P14" s="1"/>
      <c r="Q14" s="1"/>
      <c r="R14" s="1"/>
      <c r="S14" s="1"/>
      <c r="T14" s="1"/>
      <c r="U14" s="1"/>
      <c r="V14" s="1"/>
      <c r="W14" s="1"/>
      <c r="X14" s="1"/>
      <c r="Y14" s="1"/>
      <c r="Z14" s="1"/>
    </row>
    <row r="15" ht="15.75" customHeight="1">
      <c r="A15" s="1"/>
      <c r="B15" s="4" t="s">
        <v>264</v>
      </c>
      <c r="C15" s="1"/>
      <c r="D15" s="1"/>
      <c r="E15" s="1"/>
      <c r="F15" s="326">
        <v>59.0</v>
      </c>
      <c r="G15" s="1"/>
      <c r="H15" s="4"/>
      <c r="I15" s="1"/>
      <c r="J15" s="1"/>
      <c r="K15" s="1"/>
      <c r="L15" s="326"/>
      <c r="M15" s="1"/>
      <c r="N15" s="1"/>
      <c r="O15" s="1"/>
      <c r="P15" s="1"/>
      <c r="Q15" s="1"/>
      <c r="R15" s="1"/>
      <c r="S15" s="1"/>
      <c r="T15" s="1"/>
      <c r="U15" s="1"/>
      <c r="V15" s="1"/>
      <c r="W15" s="1"/>
      <c r="X15" s="1"/>
      <c r="Y15" s="1"/>
      <c r="Z15" s="1"/>
    </row>
    <row r="16" ht="15.75" customHeight="1">
      <c r="A16" s="1"/>
      <c r="B16" s="4" t="s">
        <v>265</v>
      </c>
      <c r="C16" s="1"/>
      <c r="D16" s="1"/>
      <c r="E16" s="1"/>
      <c r="F16" s="326">
        <v>60.0</v>
      </c>
      <c r="G16" s="1"/>
      <c r="H16" s="4"/>
      <c r="I16" s="1"/>
      <c r="J16" s="1"/>
      <c r="K16" s="1"/>
      <c r="L16" s="326"/>
      <c r="M16" s="1"/>
      <c r="N16" s="1"/>
      <c r="O16" s="1"/>
      <c r="P16" s="1"/>
      <c r="Q16" s="1"/>
      <c r="R16" s="1"/>
      <c r="S16" s="1"/>
      <c r="T16" s="1"/>
      <c r="U16" s="1"/>
      <c r="V16" s="1"/>
      <c r="W16" s="1"/>
      <c r="X16" s="1"/>
      <c r="Y16" s="1"/>
      <c r="Z16" s="1"/>
    </row>
    <row r="17" ht="15.75" customHeight="1">
      <c r="A17" s="1"/>
      <c r="B17" s="4" t="s">
        <v>266</v>
      </c>
      <c r="C17" s="1"/>
      <c r="D17" s="1"/>
      <c r="E17" s="1"/>
      <c r="F17" s="326">
        <v>6.0</v>
      </c>
      <c r="G17" s="1"/>
      <c r="H17" s="4"/>
      <c r="I17" s="1"/>
      <c r="J17" s="1"/>
      <c r="K17" s="1"/>
      <c r="L17" s="326"/>
      <c r="M17" s="1"/>
      <c r="N17" s="1"/>
      <c r="O17" s="1"/>
      <c r="P17" s="1"/>
      <c r="Q17" s="1"/>
      <c r="R17" s="1"/>
      <c r="S17" s="1"/>
      <c r="T17" s="1"/>
      <c r="U17" s="1"/>
      <c r="V17" s="1"/>
      <c r="W17" s="1"/>
      <c r="X17" s="1"/>
      <c r="Y17" s="1"/>
      <c r="Z17" s="1"/>
    </row>
    <row r="18" ht="15.75" customHeight="1">
      <c r="A18" s="1"/>
      <c r="B18" s="4" t="s">
        <v>267</v>
      </c>
      <c r="C18" s="1"/>
      <c r="D18" s="1"/>
      <c r="E18" s="1"/>
      <c r="F18" s="326">
        <v>71.0</v>
      </c>
      <c r="G18" s="1"/>
      <c r="H18" s="4"/>
      <c r="I18" s="1"/>
      <c r="J18" s="1"/>
      <c r="K18" s="1"/>
      <c r="L18" s="326"/>
      <c r="M18" s="1"/>
      <c r="N18" s="1"/>
      <c r="O18" s="1"/>
      <c r="P18" s="1"/>
      <c r="Q18" s="1"/>
      <c r="R18" s="1"/>
      <c r="S18" s="1"/>
      <c r="T18" s="1"/>
      <c r="U18" s="1"/>
      <c r="V18" s="1"/>
      <c r="W18" s="1"/>
      <c r="X18" s="1"/>
      <c r="Y18" s="1"/>
      <c r="Z18" s="1"/>
    </row>
    <row r="19" ht="15.75" customHeight="1">
      <c r="A19" s="1"/>
      <c r="B19" s="4" t="s">
        <v>268</v>
      </c>
      <c r="C19" s="1"/>
      <c r="D19" s="1"/>
      <c r="E19" s="1"/>
      <c r="F19" s="326">
        <v>75.0</v>
      </c>
      <c r="G19" s="1"/>
      <c r="H19" s="4"/>
      <c r="I19" s="1"/>
      <c r="J19" s="1"/>
      <c r="K19" s="1"/>
      <c r="L19" s="326"/>
      <c r="M19" s="1"/>
      <c r="N19" s="1"/>
      <c r="O19" s="1"/>
      <c r="P19" s="1"/>
      <c r="Q19" s="1"/>
      <c r="R19" s="1"/>
      <c r="S19" s="1"/>
      <c r="T19" s="1"/>
      <c r="U19" s="1"/>
      <c r="V19" s="1"/>
      <c r="W19" s="1"/>
      <c r="X19" s="1"/>
      <c r="Y19" s="1"/>
      <c r="Z19" s="1"/>
    </row>
    <row r="20" ht="15.75" customHeight="1">
      <c r="A20" s="1"/>
      <c r="B20" s="4" t="s">
        <v>270</v>
      </c>
      <c r="C20" s="1"/>
      <c r="D20" s="1"/>
      <c r="E20" s="1"/>
      <c r="F20" s="326">
        <v>12.0</v>
      </c>
      <c r="G20" s="1"/>
      <c r="H20" s="4"/>
      <c r="I20" s="1"/>
      <c r="J20" s="1"/>
      <c r="K20" s="1"/>
      <c r="L20" s="326"/>
      <c r="M20" s="1"/>
      <c r="N20" s="1"/>
      <c r="O20" s="1"/>
      <c r="P20" s="1"/>
      <c r="Q20" s="1"/>
      <c r="R20" s="1"/>
      <c r="S20" s="1"/>
      <c r="T20" s="1"/>
      <c r="U20" s="1"/>
      <c r="V20" s="1"/>
      <c r="W20" s="1"/>
      <c r="X20" s="1"/>
      <c r="Y20" s="1"/>
      <c r="Z20" s="1"/>
    </row>
    <row r="21" ht="15.75" customHeight="1">
      <c r="A21" s="1"/>
      <c r="B21" s="4" t="s">
        <v>271</v>
      </c>
      <c r="C21" s="1"/>
      <c r="D21" s="1"/>
      <c r="E21" s="1"/>
      <c r="F21" s="326">
        <v>72.0</v>
      </c>
      <c r="G21" s="1"/>
      <c r="H21" s="4"/>
      <c r="I21" s="1"/>
      <c r="J21" s="1"/>
      <c r="K21" s="1"/>
      <c r="L21" s="326"/>
      <c r="M21" s="1"/>
      <c r="N21" s="1"/>
      <c r="O21" s="1"/>
      <c r="P21" s="1"/>
      <c r="Q21" s="1"/>
      <c r="R21" s="1"/>
      <c r="S21" s="1"/>
      <c r="T21" s="1"/>
      <c r="U21" s="1"/>
      <c r="V21" s="1"/>
      <c r="W21" s="1"/>
      <c r="X21" s="1"/>
      <c r="Y21" s="1"/>
      <c r="Z21" s="1"/>
    </row>
    <row r="22" ht="15.75" customHeight="1">
      <c r="A22" s="1"/>
      <c r="B22" s="4" t="s">
        <v>272</v>
      </c>
      <c r="C22" s="1"/>
      <c r="D22" s="1"/>
      <c r="E22" s="1"/>
      <c r="F22" s="326">
        <v>76.0</v>
      </c>
      <c r="G22" s="1"/>
      <c r="H22" s="4"/>
      <c r="I22" s="1"/>
      <c r="J22" s="1"/>
      <c r="K22" s="1"/>
      <c r="L22" s="326"/>
      <c r="M22" s="1"/>
      <c r="N22" s="1"/>
      <c r="O22" s="1"/>
      <c r="P22" s="1"/>
      <c r="Q22" s="1"/>
      <c r="R22" s="1"/>
      <c r="S22" s="1"/>
      <c r="T22" s="1"/>
      <c r="U22" s="1"/>
      <c r="V22" s="1"/>
      <c r="W22" s="1"/>
      <c r="X22" s="1"/>
      <c r="Y22" s="1"/>
      <c r="Z22" s="1"/>
    </row>
    <row r="23" ht="15.75" customHeight="1">
      <c r="A23" s="1"/>
      <c r="B23" s="4" t="s">
        <v>273</v>
      </c>
      <c r="C23" s="1"/>
      <c r="D23" s="1"/>
      <c r="E23" s="1"/>
      <c r="F23" s="326">
        <v>7.0</v>
      </c>
      <c r="G23" s="1"/>
      <c r="H23" s="4"/>
      <c r="I23" s="1"/>
      <c r="J23" s="1"/>
      <c r="K23" s="1"/>
      <c r="L23" s="326"/>
      <c r="M23" s="1"/>
      <c r="N23" s="1"/>
      <c r="O23" s="1"/>
      <c r="P23" s="1"/>
      <c r="Q23" s="1"/>
      <c r="R23" s="1"/>
      <c r="S23" s="1"/>
      <c r="T23" s="1"/>
      <c r="U23" s="1"/>
      <c r="V23" s="1"/>
      <c r="W23" s="1"/>
      <c r="X23" s="1"/>
      <c r="Y23" s="1"/>
      <c r="Z23" s="1"/>
    </row>
    <row r="24" ht="15.75" customHeight="1">
      <c r="A24" s="1"/>
      <c r="B24" s="4" t="s">
        <v>274</v>
      </c>
      <c r="C24" s="1"/>
      <c r="D24" s="1"/>
      <c r="E24" s="1"/>
      <c r="F24" s="326">
        <v>73.0</v>
      </c>
      <c r="G24" s="1"/>
      <c r="H24" s="4"/>
      <c r="I24" s="1"/>
      <c r="J24" s="1"/>
      <c r="K24" s="1"/>
      <c r="L24" s="326"/>
      <c r="M24" s="1"/>
      <c r="N24" s="1"/>
      <c r="O24" s="1"/>
      <c r="P24" s="1"/>
      <c r="Q24" s="1"/>
      <c r="R24" s="1"/>
      <c r="S24" s="1"/>
      <c r="T24" s="1"/>
      <c r="U24" s="1"/>
      <c r="V24" s="1"/>
      <c r="W24" s="1"/>
      <c r="X24" s="1"/>
      <c r="Y24" s="1"/>
      <c r="Z24" s="1"/>
    </row>
    <row r="25" ht="15.75" customHeight="1">
      <c r="A25" s="1"/>
      <c r="B25" s="4" t="s">
        <v>275</v>
      </c>
      <c r="C25" s="1"/>
      <c r="D25" s="1"/>
      <c r="E25" s="1"/>
      <c r="F25" s="326">
        <v>77.0</v>
      </c>
      <c r="G25" s="1"/>
      <c r="H25" s="4"/>
      <c r="I25" s="1"/>
      <c r="J25" s="1"/>
      <c r="K25" s="1"/>
      <c r="L25" s="326"/>
      <c r="M25" s="1"/>
      <c r="N25" s="1"/>
      <c r="O25" s="1"/>
      <c r="P25" s="1"/>
      <c r="Q25" s="1"/>
      <c r="R25" s="1"/>
      <c r="S25" s="1"/>
      <c r="T25" s="1"/>
      <c r="U25" s="1"/>
      <c r="V25" s="1"/>
      <c r="W25" s="1"/>
      <c r="X25" s="1"/>
      <c r="Y25" s="1"/>
      <c r="Z25" s="1"/>
    </row>
    <row r="26" ht="15.75" customHeight="1">
      <c r="A26" s="1"/>
      <c r="B26" s="4" t="s">
        <v>276</v>
      </c>
      <c r="C26" s="1"/>
      <c r="D26" s="1"/>
      <c r="E26" s="1"/>
      <c r="F26" s="1">
        <v>83.0</v>
      </c>
      <c r="G26" s="1"/>
      <c r="H26" s="4"/>
      <c r="I26" s="1"/>
      <c r="J26" s="1"/>
      <c r="K26" s="1"/>
      <c r="L26" s="326"/>
      <c r="M26" s="1"/>
      <c r="N26" s="1"/>
      <c r="O26" s="1"/>
      <c r="P26" s="1"/>
      <c r="Q26" s="1"/>
      <c r="R26" s="1"/>
      <c r="S26" s="1"/>
      <c r="T26" s="1"/>
      <c r="U26" s="1"/>
      <c r="V26" s="1"/>
      <c r="W26" s="1"/>
      <c r="X26" s="1"/>
      <c r="Y26" s="1"/>
      <c r="Z26" s="1"/>
    </row>
    <row r="27" ht="15.75" customHeight="1">
      <c r="A27" s="1"/>
      <c r="B27" s="4" t="s">
        <v>277</v>
      </c>
      <c r="C27" s="1"/>
      <c r="D27" s="1"/>
      <c r="E27" s="1"/>
      <c r="F27" s="326">
        <v>87.0</v>
      </c>
      <c r="G27" s="1"/>
      <c r="H27" s="1"/>
      <c r="I27" s="1"/>
      <c r="J27" s="1"/>
      <c r="K27" s="1"/>
      <c r="L27" s="326"/>
      <c r="M27" s="1"/>
      <c r="N27" s="1"/>
      <c r="O27" s="1"/>
      <c r="P27" s="1"/>
      <c r="Q27" s="1"/>
      <c r="R27" s="1"/>
      <c r="S27" s="1"/>
      <c r="T27" s="1"/>
      <c r="U27" s="1"/>
      <c r="V27" s="1"/>
      <c r="W27" s="1"/>
      <c r="X27" s="1"/>
      <c r="Y27" s="1"/>
      <c r="Z27" s="1"/>
    </row>
    <row r="28" ht="15.75" customHeight="1">
      <c r="A28" s="1"/>
      <c r="B28" s="4" t="s">
        <v>278</v>
      </c>
      <c r="C28" s="1"/>
      <c r="D28" s="1"/>
      <c r="E28" s="1"/>
      <c r="F28" s="326">
        <v>91.0</v>
      </c>
      <c r="G28" s="1"/>
      <c r="H28" s="1"/>
      <c r="I28" s="1"/>
      <c r="J28" s="1"/>
      <c r="K28" s="1"/>
      <c r="L28" s="326"/>
      <c r="M28" s="1"/>
      <c r="N28" s="1"/>
      <c r="O28" s="1"/>
      <c r="P28" s="1"/>
      <c r="Q28" s="1"/>
      <c r="R28" s="1"/>
      <c r="S28" s="1"/>
      <c r="T28" s="1"/>
      <c r="U28" s="1"/>
      <c r="V28" s="1"/>
      <c r="W28" s="1"/>
      <c r="X28" s="1"/>
      <c r="Y28" s="1"/>
      <c r="Z28" s="1"/>
    </row>
    <row r="29" ht="15.75" customHeight="1">
      <c r="A29" s="1"/>
      <c r="B29" s="4" t="s">
        <v>279</v>
      </c>
      <c r="C29" s="1"/>
      <c r="D29" s="1"/>
      <c r="E29" s="1"/>
      <c r="F29" s="326">
        <v>84.0</v>
      </c>
      <c r="G29" s="1"/>
      <c r="H29" s="1"/>
      <c r="I29" s="1"/>
      <c r="J29" s="1"/>
      <c r="K29" s="1"/>
      <c r="L29" s="326"/>
      <c r="M29" s="1"/>
      <c r="N29" s="1"/>
      <c r="O29" s="1"/>
      <c r="P29" s="1"/>
      <c r="Q29" s="1"/>
      <c r="R29" s="1"/>
      <c r="S29" s="1"/>
      <c r="T29" s="1"/>
      <c r="U29" s="1"/>
      <c r="V29" s="1"/>
      <c r="W29" s="1"/>
      <c r="X29" s="1"/>
      <c r="Y29" s="1"/>
      <c r="Z29" s="1"/>
    </row>
    <row r="30" ht="15.75" customHeight="1">
      <c r="A30" s="1"/>
      <c r="B30" s="4" t="s">
        <v>280</v>
      </c>
      <c r="C30" s="1"/>
      <c r="D30" s="1"/>
      <c r="E30" s="1"/>
      <c r="F30" s="326">
        <v>88.0</v>
      </c>
      <c r="G30" s="1"/>
      <c r="H30" s="1"/>
      <c r="I30" s="1"/>
      <c r="J30" s="1"/>
      <c r="K30" s="1"/>
      <c r="L30" s="326"/>
      <c r="M30" s="1"/>
      <c r="N30" s="1"/>
      <c r="O30" s="1"/>
      <c r="P30" s="1"/>
      <c r="Q30" s="1"/>
      <c r="R30" s="1"/>
      <c r="S30" s="1"/>
      <c r="T30" s="1"/>
      <c r="U30" s="1"/>
      <c r="V30" s="1"/>
      <c r="W30" s="1"/>
      <c r="X30" s="1"/>
      <c r="Y30" s="1"/>
      <c r="Z30" s="1"/>
    </row>
    <row r="31" ht="15.75" customHeight="1">
      <c r="A31" s="1"/>
      <c r="B31" s="4" t="s">
        <v>281</v>
      </c>
      <c r="C31" s="1"/>
      <c r="D31" s="1"/>
      <c r="E31" s="1"/>
      <c r="F31" s="326">
        <v>92.0</v>
      </c>
      <c r="G31" s="1"/>
      <c r="H31" s="1"/>
      <c r="I31" s="1"/>
      <c r="J31" s="1"/>
      <c r="K31" s="1"/>
      <c r="L31" s="326"/>
      <c r="M31" s="1"/>
      <c r="N31" s="1"/>
      <c r="O31" s="1"/>
      <c r="P31" s="1"/>
      <c r="Q31" s="1"/>
      <c r="R31" s="1"/>
      <c r="S31" s="1"/>
      <c r="T31" s="1"/>
      <c r="U31" s="1"/>
      <c r="V31" s="1"/>
      <c r="W31" s="1"/>
      <c r="X31" s="1"/>
      <c r="Y31" s="1"/>
      <c r="Z31" s="1"/>
    </row>
    <row r="32" ht="15.75" customHeight="1">
      <c r="A32" s="1"/>
      <c r="B32" s="4" t="s">
        <v>282</v>
      </c>
      <c r="C32" s="1"/>
      <c r="D32" s="1"/>
      <c r="E32" s="1"/>
      <c r="F32" s="326">
        <v>85.0</v>
      </c>
      <c r="G32" s="1"/>
      <c r="H32" s="1"/>
      <c r="I32" s="1"/>
      <c r="J32" s="1"/>
      <c r="K32" s="1"/>
      <c r="L32" s="326"/>
      <c r="M32" s="1"/>
      <c r="N32" s="1"/>
      <c r="O32" s="1"/>
      <c r="P32" s="1"/>
      <c r="Q32" s="1"/>
      <c r="R32" s="1"/>
      <c r="S32" s="1"/>
      <c r="T32" s="1"/>
      <c r="U32" s="1"/>
      <c r="V32" s="1"/>
      <c r="W32" s="1"/>
      <c r="X32" s="1"/>
      <c r="Y32" s="1"/>
      <c r="Z32" s="1"/>
    </row>
    <row r="33" ht="15.75" customHeight="1">
      <c r="A33" s="1"/>
      <c r="B33" s="4" t="s">
        <v>283</v>
      </c>
      <c r="C33" s="1"/>
      <c r="D33" s="1"/>
      <c r="E33" s="1"/>
      <c r="F33" s="1">
        <v>89.0</v>
      </c>
      <c r="G33" s="1"/>
      <c r="H33" s="1"/>
      <c r="I33" s="1"/>
      <c r="J33" s="1"/>
      <c r="K33" s="1"/>
      <c r="L33" s="1"/>
      <c r="M33" s="1"/>
      <c r="N33" s="1"/>
      <c r="O33" s="1"/>
      <c r="P33" s="1"/>
      <c r="Q33" s="1"/>
      <c r="R33" s="1"/>
      <c r="S33" s="1"/>
      <c r="T33" s="1"/>
      <c r="U33" s="1"/>
      <c r="V33" s="1"/>
      <c r="W33" s="1"/>
      <c r="X33" s="1"/>
      <c r="Y33" s="1"/>
      <c r="Z33" s="1"/>
    </row>
    <row r="34" ht="15.75" customHeight="1">
      <c r="A34" s="1"/>
      <c r="B34" s="4" t="s">
        <v>284</v>
      </c>
      <c r="C34" s="1"/>
      <c r="D34" s="1"/>
      <c r="E34" s="1"/>
      <c r="F34" s="1">
        <v>93.0</v>
      </c>
      <c r="G34" s="1"/>
      <c r="H34" s="1"/>
      <c r="I34" s="1"/>
      <c r="J34" s="1"/>
      <c r="K34" s="1"/>
      <c r="L34" s="1"/>
      <c r="M34" s="1"/>
      <c r="N34" s="1"/>
      <c r="O34" s="1"/>
      <c r="P34" s="1"/>
      <c r="Q34" s="1"/>
      <c r="R34" s="1"/>
      <c r="S34" s="1"/>
      <c r="T34" s="1"/>
      <c r="U34" s="1"/>
      <c r="V34" s="1"/>
      <c r="W34" s="1"/>
      <c r="X34" s="1"/>
      <c r="Y34" s="1"/>
      <c r="Z34" s="1"/>
    </row>
    <row r="35" ht="15.75" customHeight="1">
      <c r="A35" s="1"/>
      <c r="B35" s="4" t="s">
        <v>285</v>
      </c>
      <c r="C35" s="1"/>
      <c r="D35" s="1"/>
      <c r="E35" s="1"/>
      <c r="F35" s="1">
        <v>61.0</v>
      </c>
      <c r="G35" s="1"/>
      <c r="H35" s="1"/>
      <c r="I35" s="1"/>
      <c r="J35" s="1"/>
      <c r="K35" s="1"/>
      <c r="L35" s="1"/>
      <c r="M35" s="1"/>
      <c r="N35" s="1"/>
      <c r="O35" s="1"/>
      <c r="P35" s="1"/>
      <c r="Q35" s="1"/>
      <c r="R35" s="1"/>
      <c r="S35" s="1"/>
      <c r="T35" s="1"/>
      <c r="U35" s="1"/>
      <c r="V35" s="1"/>
      <c r="W35" s="1"/>
      <c r="X35" s="1"/>
      <c r="Y35" s="1"/>
      <c r="Z35" s="1"/>
    </row>
    <row r="36" ht="15.75" customHeight="1">
      <c r="A36" s="1"/>
      <c r="B36" s="4" t="s">
        <v>28</v>
      </c>
      <c r="C36" s="1"/>
      <c r="D36" s="1"/>
      <c r="E36" s="1"/>
      <c r="F36" s="1">
        <v>21.0</v>
      </c>
      <c r="G36" s="1"/>
      <c r="H36" s="1"/>
      <c r="I36" s="1"/>
      <c r="J36" s="1"/>
      <c r="K36" s="1"/>
      <c r="L36" s="1"/>
      <c r="M36" s="1"/>
      <c r="N36" s="1"/>
      <c r="O36" s="1"/>
      <c r="P36" s="1"/>
      <c r="Q36" s="1"/>
      <c r="R36" s="1"/>
      <c r="S36" s="1"/>
      <c r="T36" s="1"/>
      <c r="U36" s="1"/>
      <c r="V36" s="1"/>
      <c r="W36" s="1"/>
      <c r="X36" s="1"/>
      <c r="Y36" s="1"/>
      <c r="Z36" s="1"/>
    </row>
    <row r="37" ht="15.75" customHeight="1">
      <c r="A37" s="1"/>
      <c r="B37" s="4" t="s">
        <v>286</v>
      </c>
      <c r="C37" s="1"/>
      <c r="D37" s="1"/>
      <c r="E37" s="1"/>
      <c r="F37" s="1">
        <v>22.0</v>
      </c>
      <c r="G37" s="1"/>
      <c r="H37" s="1"/>
      <c r="I37" s="1"/>
      <c r="J37" s="1"/>
      <c r="K37" s="1"/>
      <c r="L37" s="1"/>
      <c r="M37" s="1"/>
      <c r="N37" s="1"/>
      <c r="O37" s="1"/>
      <c r="P37" s="1"/>
      <c r="Q37" s="1"/>
      <c r="R37" s="1"/>
      <c r="S37" s="1"/>
      <c r="T37" s="1"/>
      <c r="U37" s="1"/>
      <c r="V37" s="1"/>
      <c r="W37" s="1"/>
      <c r="X37" s="1"/>
      <c r="Y37" s="1"/>
      <c r="Z37" s="1"/>
    </row>
    <row r="38" ht="15.75" customHeight="1">
      <c r="A38" s="1"/>
      <c r="B38" s="4" t="s">
        <v>34</v>
      </c>
      <c r="C38" s="1"/>
      <c r="D38" s="1"/>
      <c r="E38" s="1"/>
      <c r="F38" s="1">
        <v>14.0</v>
      </c>
      <c r="G38" s="1"/>
      <c r="H38" s="1"/>
      <c r="I38" s="1"/>
      <c r="J38" s="1"/>
      <c r="K38" s="1"/>
      <c r="L38" s="1"/>
      <c r="M38" s="1"/>
      <c r="N38" s="1"/>
      <c r="O38" s="1"/>
      <c r="P38" s="1"/>
      <c r="Q38" s="1"/>
      <c r="R38" s="1"/>
      <c r="S38" s="1"/>
      <c r="T38" s="1"/>
      <c r="U38" s="1"/>
      <c r="V38" s="1"/>
      <c r="W38" s="1"/>
      <c r="X38" s="1"/>
      <c r="Y38" s="1"/>
      <c r="Z38" s="1"/>
    </row>
    <row r="39" ht="15.75" customHeight="1">
      <c r="A39" s="1"/>
      <c r="B39" s="4"/>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scale="82"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2014-03-07T00:48:59Z</dcterms:created>
  <dc:creator>BIWS</dc:creator>
</cp:coreProperties>
</file>