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G:\Shared drives\Pompeu Investment Club\2020\Equity Research\"/>
    </mc:Choice>
  </mc:AlternateContent>
  <xr:revisionPtr revIDLastSave="0" documentId="13_ncr:1_{82DCAD38-0626-4764-A978-007594C3B6A6}" xr6:coauthVersionLast="45" xr6:coauthVersionMax="45" xr10:uidLastSave="{00000000-0000-0000-0000-000000000000}"/>
  <bookViews>
    <workbookView xWindow="-120" yWindow="-120" windowWidth="29040" windowHeight="16440" activeTab="5" xr2:uid="{00000000-000D-0000-FFFF-FFFF00000000}"/>
  </bookViews>
  <sheets>
    <sheet name="ValGraph" sheetId="1" r:id="rId1"/>
    <sheet name="ValSum" sheetId="2" r:id="rId2"/>
    <sheet name="Public Comps" sheetId="3" r:id="rId3"/>
    <sheet name="Public-Comps-Data" sheetId="4" r:id="rId4"/>
    <sheet name="Inputs" sheetId="5" r:id="rId5"/>
    <sheet name="ATVI-DCF" sheetId="6" r:id="rId6"/>
    <sheet name="H1-Results" sheetId="7" r:id="rId7"/>
    <sheet name="WACC" sheetId="8" r:id="rId8"/>
  </sheets>
  <definedNames>
    <definedName name="Basic_Shares">'Public-Comps-Data'!$BE$35</definedName>
    <definedName name="Company_Name">'ATVI-DCF'!$D$7</definedName>
    <definedName name="Comps_Range">'Public-Comps-Data'!$D$1:$BE$93</definedName>
    <definedName name="Cost_of_Debt">WACC!$F$8</definedName>
    <definedName name="Cost_of_Preferred">WACC!$F$9</definedName>
    <definedName name="Equity_Risk_Premium">WACC!$F$7</definedName>
    <definedName name="Final_Discount_Rate">'ATVI-DCF'!$D$145</definedName>
    <definedName name="Forward_Year_1">Inputs!$E$7</definedName>
    <definedName name="Forward_Year_2">Inputs!$E$8</definedName>
    <definedName name="Forward_Year_3">Inputs!$E$9</definedName>
    <definedName name="FYear_1_Name" localSheetId="4">Inputs!$B$7</definedName>
    <definedName name="FYear_2_Name" localSheetId="4">Inputs!$B$8</definedName>
    <definedName name="FYear_3_Name" localSheetId="4">Inputs!$B$9</definedName>
    <definedName name="Hist_Year">'ATVI-DCF'!$J$7</definedName>
    <definedName name="Initial_Discount_Rate">'ATVI-DCF'!$D$143</definedName>
    <definedName name="JZP110_Risk_Adjustment_Factor">'ATVI-DCF'!$D$17</definedName>
    <definedName name="LTM">Inputs!$E$6</definedName>
    <definedName name="LTM_Name">Inputs!$B$6</definedName>
    <definedName name="Next_Year">'ATVI-DCF'!$J$8</definedName>
    <definedName name="Num_Years">'ATVI-DCF'!$D$147</definedName>
    <definedName name="Risk_Free_Rate">WACC!$F$6</definedName>
    <definedName name="Scenario">'ATVI-DCF'!$D$14</definedName>
    <definedName name="Share_Price">'ATVI-DCF'!$D$11</definedName>
    <definedName name="Stub_Period">'ATVI-DCF'!$D$149</definedName>
    <definedName name="Tax_Rate">'ATVI-DCF'!$D$12</definedName>
    <definedName name="Terminal_Growth_Rate">'ATVI-DCF'!$N$144</definedName>
    <definedName name="Terminal_Multiple">'ATVI-DCF'!$I$144</definedName>
    <definedName name="Ticker">'ATVI-DCF'!$D$8</definedName>
    <definedName name="Units">'ATVI-DCF'!$D$9</definedName>
    <definedName name="Valuation_Date">'ATVI-DCF'!$J$10</definedName>
    <definedName name="Vyxeos_Risk_Adjustment_Factor">'ATVI-DCF'!$D$16</definedName>
    <definedName name="WACC">WACC!$L$46</definedName>
    <definedName name="Year_Remaining_Pct">'ATVI-DCF'!$D$150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35" i="6" l="1"/>
  <c r="L135" i="6" s="1"/>
  <c r="J135" i="6"/>
  <c r="I135" i="6"/>
  <c r="I196" i="6" s="1"/>
  <c r="K133" i="6"/>
  <c r="O197" i="6"/>
  <c r="N197" i="6"/>
  <c r="M197" i="6"/>
  <c r="L197" i="6"/>
  <c r="K197" i="6"/>
  <c r="J197" i="6"/>
  <c r="I197" i="6"/>
  <c r="K196" i="6"/>
  <c r="J196" i="6"/>
  <c r="E196" i="6"/>
  <c r="F196" i="6"/>
  <c r="G196" i="6"/>
  <c r="H196" i="6"/>
  <c r="E197" i="6"/>
  <c r="F197" i="6"/>
  <c r="G197" i="6"/>
  <c r="H197" i="6"/>
  <c r="J132" i="6"/>
  <c r="K132" i="6"/>
  <c r="K190" i="6" s="1"/>
  <c r="J130" i="6"/>
  <c r="K130" i="6"/>
  <c r="L130" i="6"/>
  <c r="M130" i="6"/>
  <c r="N130" i="6"/>
  <c r="O130" i="6"/>
  <c r="P130" i="6"/>
  <c r="Q130" i="6"/>
  <c r="R130" i="6"/>
  <c r="J128" i="6"/>
  <c r="K128" i="6"/>
  <c r="L128" i="6"/>
  <c r="M128" i="6"/>
  <c r="N128" i="6"/>
  <c r="O128" i="6"/>
  <c r="P128" i="6"/>
  <c r="Q128" i="6"/>
  <c r="R128" i="6"/>
  <c r="J126" i="6"/>
  <c r="K126" i="6"/>
  <c r="L126" i="6"/>
  <c r="M126" i="6"/>
  <c r="N126" i="6"/>
  <c r="O126" i="6"/>
  <c r="P126" i="6"/>
  <c r="Q126" i="6"/>
  <c r="R126" i="6"/>
  <c r="I190" i="6"/>
  <c r="J190" i="6"/>
  <c r="I132" i="6"/>
  <c r="I130" i="6"/>
  <c r="I128" i="6"/>
  <c r="I126" i="6"/>
  <c r="L134" i="6"/>
  <c r="M134" i="6" s="1"/>
  <c r="N134" i="6" s="1"/>
  <c r="P134" i="6" s="1"/>
  <c r="Q134" i="6" s="1"/>
  <c r="R134" i="6" s="1"/>
  <c r="R197" i="6" s="1"/>
  <c r="J134" i="6"/>
  <c r="I134" i="6"/>
  <c r="K129" i="6"/>
  <c r="L129" i="6"/>
  <c r="M129" i="6" s="1"/>
  <c r="N129" i="6" s="1"/>
  <c r="O129" i="6" s="1"/>
  <c r="P129" i="6" s="1"/>
  <c r="Q129" i="6" s="1"/>
  <c r="R129" i="6" s="1"/>
  <c r="J129" i="6"/>
  <c r="I129" i="6"/>
  <c r="E131" i="6"/>
  <c r="E129" i="6"/>
  <c r="E127" i="6"/>
  <c r="H81" i="6"/>
  <c r="G81" i="6"/>
  <c r="F81" i="6"/>
  <c r="H80" i="6"/>
  <c r="G80" i="6"/>
  <c r="F80" i="6"/>
  <c r="E80" i="6"/>
  <c r="F227" i="6"/>
  <c r="G227" i="6"/>
  <c r="H227" i="6"/>
  <c r="E227" i="6"/>
  <c r="F190" i="6"/>
  <c r="G190" i="6"/>
  <c r="H190" i="6"/>
  <c r="E190" i="6"/>
  <c r="E133" i="6"/>
  <c r="E135" i="6"/>
  <c r="L196" i="6" l="1"/>
  <c r="M135" i="6"/>
  <c r="P197" i="6"/>
  <c r="Q197" i="6"/>
  <c r="G21" i="4"/>
  <c r="M196" i="6" l="1"/>
  <c r="N135" i="6"/>
  <c r="C34" i="8"/>
  <c r="C33" i="8"/>
  <c r="B30" i="8"/>
  <c r="C28" i="8"/>
  <c r="G24" i="8"/>
  <c r="G22" i="8"/>
  <c r="B22" i="8"/>
  <c r="K21" i="8"/>
  <c r="G21" i="8"/>
  <c r="E21" i="8"/>
  <c r="K20" i="8"/>
  <c r="G20" i="8"/>
  <c r="K19" i="8"/>
  <c r="G19" i="8"/>
  <c r="K18" i="8"/>
  <c r="G18" i="8"/>
  <c r="B18" i="8"/>
  <c r="K17" i="8"/>
  <c r="G17" i="8"/>
  <c r="E17" i="8"/>
  <c r="K16" i="8"/>
  <c r="G16" i="8"/>
  <c r="K15" i="8"/>
  <c r="G15" i="8"/>
  <c r="B15" i="8"/>
  <c r="K11" i="8"/>
  <c r="I11" i="8"/>
  <c r="G11" i="8"/>
  <c r="G23" i="8" s="1"/>
  <c r="E11" i="8"/>
  <c r="D11" i="8"/>
  <c r="D24" i="8" s="1"/>
  <c r="B11" i="8"/>
  <c r="B21" i="8" s="1"/>
  <c r="B3" i="8"/>
  <c r="B2" i="8"/>
  <c r="I33" i="7"/>
  <c r="I20" i="7"/>
  <c r="I21" i="7" s="1"/>
  <c r="I9" i="7"/>
  <c r="I8" i="7"/>
  <c r="B3" i="7"/>
  <c r="B2" i="7"/>
  <c r="D268" i="6"/>
  <c r="F267" i="6"/>
  <c r="G267" i="6" s="1"/>
  <c r="H267" i="6" s="1"/>
  <c r="I267" i="6" s="1"/>
  <c r="J267" i="6" s="1"/>
  <c r="K267" i="6" s="1"/>
  <c r="L267" i="6" s="1"/>
  <c r="M267" i="6" s="1"/>
  <c r="D255" i="6"/>
  <c r="D269" i="6" s="1"/>
  <c r="G253" i="6"/>
  <c r="H253" i="6" s="1"/>
  <c r="I253" i="6" s="1"/>
  <c r="J253" i="6" s="1"/>
  <c r="K253" i="6" s="1"/>
  <c r="L253" i="6" s="1"/>
  <c r="M253" i="6" s="1"/>
  <c r="F253" i="6"/>
  <c r="I235" i="6"/>
  <c r="H224" i="6"/>
  <c r="G224" i="6"/>
  <c r="F224" i="6"/>
  <c r="E224" i="6"/>
  <c r="R212" i="6"/>
  <c r="Q212" i="6"/>
  <c r="P212" i="6"/>
  <c r="O212" i="6"/>
  <c r="N212" i="6"/>
  <c r="M212" i="6"/>
  <c r="L212" i="6"/>
  <c r="K212" i="6"/>
  <c r="J212" i="6"/>
  <c r="I212" i="6"/>
  <c r="H212" i="6"/>
  <c r="G212" i="6"/>
  <c r="F212" i="6"/>
  <c r="E212" i="6"/>
  <c r="S211" i="6"/>
  <c r="M198" i="6"/>
  <c r="M115" i="6" s="1"/>
  <c r="L198" i="6"/>
  <c r="L115" i="6" s="1"/>
  <c r="K198" i="6"/>
  <c r="K115" i="6" s="1"/>
  <c r="J198" i="6"/>
  <c r="J115" i="6" s="1"/>
  <c r="I198" i="6"/>
  <c r="H198" i="6"/>
  <c r="G198" i="6"/>
  <c r="F198" i="6"/>
  <c r="E198" i="6"/>
  <c r="H185" i="6"/>
  <c r="G185" i="6"/>
  <c r="F185" i="6"/>
  <c r="E185" i="6"/>
  <c r="D182" i="6"/>
  <c r="K179" i="6"/>
  <c r="L178" i="6"/>
  <c r="N178" i="6" s="1"/>
  <c r="K178" i="6"/>
  <c r="G178" i="6"/>
  <c r="I178" i="6" s="1"/>
  <c r="M177" i="6"/>
  <c r="L177" i="6"/>
  <c r="K177" i="6"/>
  <c r="H177" i="6"/>
  <c r="G177" i="6"/>
  <c r="M176" i="6"/>
  <c r="L176" i="6"/>
  <c r="K176" i="6"/>
  <c r="H176" i="6"/>
  <c r="G176" i="6"/>
  <c r="N175" i="6"/>
  <c r="M175" i="6"/>
  <c r="L175" i="6"/>
  <c r="K175" i="6"/>
  <c r="M174" i="6"/>
  <c r="K172" i="6"/>
  <c r="K171" i="6"/>
  <c r="K169" i="6"/>
  <c r="K167" i="6"/>
  <c r="N166" i="6"/>
  <c r="K166" i="6"/>
  <c r="I166" i="6"/>
  <c r="N165" i="6"/>
  <c r="K165" i="6"/>
  <c r="I165" i="6"/>
  <c r="N164" i="6"/>
  <c r="K164" i="6"/>
  <c r="I164" i="6"/>
  <c r="N163" i="6"/>
  <c r="K163" i="6"/>
  <c r="I163" i="6"/>
  <c r="K162" i="6"/>
  <c r="N161" i="6"/>
  <c r="K161" i="6"/>
  <c r="I161" i="6"/>
  <c r="N160" i="6"/>
  <c r="K160" i="6"/>
  <c r="I160" i="6"/>
  <c r="N159" i="6"/>
  <c r="K159" i="6"/>
  <c r="I159" i="6"/>
  <c r="N158" i="6"/>
  <c r="K158" i="6"/>
  <c r="I158" i="6"/>
  <c r="K156" i="6"/>
  <c r="K154" i="6"/>
  <c r="K153" i="6"/>
  <c r="K152" i="6"/>
  <c r="K149" i="6"/>
  <c r="I238" i="6"/>
  <c r="K147" i="6"/>
  <c r="F147" i="6"/>
  <c r="K146" i="6"/>
  <c r="F146" i="6"/>
  <c r="K145" i="6"/>
  <c r="N144" i="6" s="1" a="1"/>
  <c r="N144" i="6" s="1"/>
  <c r="F145" i="6"/>
  <c r="S235" i="6"/>
  <c r="I121" i="6"/>
  <c r="J121" i="6" s="1"/>
  <c r="K121" i="6" s="1"/>
  <c r="L121" i="6" s="1"/>
  <c r="M121" i="6" s="1"/>
  <c r="I114" i="6"/>
  <c r="J114" i="6" s="1"/>
  <c r="K114" i="6" s="1"/>
  <c r="I112" i="6"/>
  <c r="J112" i="6" s="1"/>
  <c r="K112" i="6" s="1"/>
  <c r="K104" i="6"/>
  <c r="J104" i="6"/>
  <c r="I104" i="6"/>
  <c r="D101" i="6"/>
  <c r="H96" i="6"/>
  <c r="H186" i="6" s="1"/>
  <c r="G96" i="6"/>
  <c r="G186" i="6" s="1"/>
  <c r="F96" i="6"/>
  <c r="F186" i="6" s="1"/>
  <c r="E96" i="6"/>
  <c r="E186" i="6" s="1"/>
  <c r="C93" i="6"/>
  <c r="C92" i="6"/>
  <c r="C91" i="6"/>
  <c r="Q90" i="6" s="1" a="1"/>
  <c r="Q90" i="6" s="1"/>
  <c r="R85" i="6" a="1"/>
  <c r="R85" i="6" s="1"/>
  <c r="Q85" i="6" a="1"/>
  <c r="Q85" i="6" s="1"/>
  <c r="P85" i="6" a="1"/>
  <c r="P85" i="6" s="1"/>
  <c r="O85" i="6" a="1"/>
  <c r="O85" i="6" s="1"/>
  <c r="N85" i="6" a="1"/>
  <c r="N85" i="6" s="1"/>
  <c r="M85" i="6" a="1"/>
  <c r="M85" i="6" s="1"/>
  <c r="L85" i="6" a="1"/>
  <c r="L85" i="6" s="1"/>
  <c r="K85" i="6" a="1"/>
  <c r="K85" i="6" s="1"/>
  <c r="J85" i="6" a="1"/>
  <c r="J85" i="6" s="1"/>
  <c r="I85" i="6" a="1"/>
  <c r="I85" i="6" s="1"/>
  <c r="C77" i="6"/>
  <c r="C76" i="6"/>
  <c r="C75" i="6"/>
  <c r="P74" i="6" s="1" a="1"/>
  <c r="P74" i="6" s="1"/>
  <c r="P80" i="6" s="1"/>
  <c r="P185" i="6" s="1"/>
  <c r="H68" i="6"/>
  <c r="G68" i="6"/>
  <c r="F68" i="6"/>
  <c r="E68" i="6"/>
  <c r="E69" i="6" s="1"/>
  <c r="C65" i="6"/>
  <c r="C64" i="6"/>
  <c r="C63" i="6"/>
  <c r="P62" i="6" s="1" a="1"/>
  <c r="P62" i="6" s="1"/>
  <c r="R57" i="6" a="1"/>
  <c r="R57" i="6" s="1"/>
  <c r="Q57" i="6" a="1"/>
  <c r="Q57" i="6" s="1"/>
  <c r="P57" i="6" a="1"/>
  <c r="P57" i="6" s="1"/>
  <c r="O57" i="6" a="1"/>
  <c r="O57" i="6" s="1"/>
  <c r="N57" i="6" a="1"/>
  <c r="N57" i="6" s="1"/>
  <c r="M57" i="6" a="1"/>
  <c r="M57" i="6" s="1"/>
  <c r="L57" i="6" a="1"/>
  <c r="L57" i="6" s="1"/>
  <c r="K57" i="6" a="1"/>
  <c r="K57" i="6" s="1"/>
  <c r="J57" i="6" a="1"/>
  <c r="J57" i="6" s="1"/>
  <c r="I57" i="6" a="1"/>
  <c r="I57" i="6" s="1"/>
  <c r="H52" i="6"/>
  <c r="G52" i="6"/>
  <c r="F52" i="6"/>
  <c r="E52" i="6"/>
  <c r="E53" i="6" s="1"/>
  <c r="C49" i="6"/>
  <c r="C48" i="6"/>
  <c r="C47" i="6"/>
  <c r="R41" i="6" a="1"/>
  <c r="R41" i="6" s="1"/>
  <c r="Q41" i="6" a="1"/>
  <c r="Q41" i="6" s="1"/>
  <c r="P41" i="6" a="1"/>
  <c r="P41" i="6" s="1"/>
  <c r="O41" i="6" a="1"/>
  <c r="O41" i="6" s="1"/>
  <c r="N41" i="6" a="1"/>
  <c r="N41" i="6" s="1"/>
  <c r="M41" i="6" a="1"/>
  <c r="M41" i="6" s="1"/>
  <c r="L41" i="6" a="1"/>
  <c r="L41" i="6" s="1"/>
  <c r="K41" i="6" a="1"/>
  <c r="K41" i="6" s="1"/>
  <c r="J41" i="6" a="1"/>
  <c r="J41" i="6" s="1"/>
  <c r="I41" i="6" a="1"/>
  <c r="I41" i="6" s="1"/>
  <c r="H36" i="6"/>
  <c r="G36" i="6"/>
  <c r="F36" i="6"/>
  <c r="E36" i="6"/>
  <c r="C33" i="6"/>
  <c r="C32" i="6"/>
  <c r="C31" i="6"/>
  <c r="O30" i="6" s="1" a="1"/>
  <c r="O30" i="6" s="1"/>
  <c r="K30" i="6" a="1"/>
  <c r="K30" i="6" s="1"/>
  <c r="R25" i="6" a="1"/>
  <c r="R25" i="6" s="1"/>
  <c r="Q25" i="6" a="1"/>
  <c r="Q25" i="6" s="1"/>
  <c r="P25" i="6" a="1"/>
  <c r="P25" i="6" s="1"/>
  <c r="O25" i="6" a="1"/>
  <c r="O25" i="6" s="1"/>
  <c r="N25" i="6" a="1"/>
  <c r="N25" i="6" s="1"/>
  <c r="M25" i="6" a="1"/>
  <c r="M25" i="6" s="1"/>
  <c r="L25" i="6" a="1"/>
  <c r="L25" i="6" s="1"/>
  <c r="K25" i="6" a="1"/>
  <c r="K25" i="6" s="1"/>
  <c r="J25" i="6" a="1"/>
  <c r="J25" i="6" s="1"/>
  <c r="I25" i="6" a="1"/>
  <c r="I25" i="6" s="1"/>
  <c r="H20" i="6"/>
  <c r="H22" i="6" s="1"/>
  <c r="J8" i="6"/>
  <c r="B2" i="6"/>
  <c r="E7" i="5"/>
  <c r="B88" i="4" s="1"/>
  <c r="V89" i="4"/>
  <c r="V88" i="4"/>
  <c r="BE83" i="4"/>
  <c r="BE81" i="4"/>
  <c r="AZ81" i="4"/>
  <c r="AU81" i="4"/>
  <c r="AP81" i="4"/>
  <c r="AK81" i="4"/>
  <c r="AF81" i="4"/>
  <c r="AA81" i="4"/>
  <c r="V81" i="4"/>
  <c r="Q81" i="4"/>
  <c r="L81" i="4"/>
  <c r="G81" i="4"/>
  <c r="BE80" i="4"/>
  <c r="AZ80" i="4"/>
  <c r="AU80" i="4"/>
  <c r="AP80" i="4"/>
  <c r="AK80" i="4"/>
  <c r="AF80" i="4"/>
  <c r="AA80" i="4"/>
  <c r="V80" i="4"/>
  <c r="Q80" i="4"/>
  <c r="L80" i="4"/>
  <c r="G80" i="4"/>
  <c r="BE79" i="4"/>
  <c r="AZ79" i="4"/>
  <c r="AU79" i="4"/>
  <c r="AP79" i="4"/>
  <c r="AK79" i="4"/>
  <c r="AF79" i="4"/>
  <c r="AA79" i="4"/>
  <c r="V79" i="4"/>
  <c r="Q79" i="4"/>
  <c r="L79" i="4"/>
  <c r="BE77" i="4"/>
  <c r="AZ77" i="4"/>
  <c r="AP77" i="4"/>
  <c r="AK77" i="4"/>
  <c r="AF77" i="4"/>
  <c r="AA77" i="4"/>
  <c r="V77" i="4"/>
  <c r="Q77" i="4"/>
  <c r="L77" i="4"/>
  <c r="BE76" i="4"/>
  <c r="AZ76" i="4"/>
  <c r="AU76" i="4"/>
  <c r="AP76" i="4"/>
  <c r="AK76" i="4"/>
  <c r="AF76" i="4"/>
  <c r="AA76" i="4"/>
  <c r="V76" i="4"/>
  <c r="Q76" i="4"/>
  <c r="L76" i="4"/>
  <c r="G76" i="4"/>
  <c r="BE75" i="4"/>
  <c r="AZ75" i="4"/>
  <c r="AP75" i="4"/>
  <c r="AK75" i="4"/>
  <c r="AF75" i="4"/>
  <c r="AA75" i="4"/>
  <c r="V75" i="4"/>
  <c r="Q75" i="4"/>
  <c r="L75" i="4"/>
  <c r="BE73" i="4"/>
  <c r="AZ73" i="4"/>
  <c r="AP73" i="4"/>
  <c r="AK73" i="4"/>
  <c r="AF73" i="4"/>
  <c r="AA73" i="4"/>
  <c r="V73" i="4"/>
  <c r="Q73" i="4"/>
  <c r="L73" i="4"/>
  <c r="BE72" i="4"/>
  <c r="AZ72" i="4"/>
  <c r="AU72" i="4"/>
  <c r="AP72" i="4"/>
  <c r="AK72" i="4"/>
  <c r="AF72" i="4"/>
  <c r="AA72" i="4"/>
  <c r="V72" i="4"/>
  <c r="Q72" i="4"/>
  <c r="L72" i="4"/>
  <c r="G72" i="4"/>
  <c r="BE71" i="4"/>
  <c r="AZ71" i="4"/>
  <c r="AP71" i="4"/>
  <c r="AK71" i="4"/>
  <c r="AF71" i="4"/>
  <c r="AA71" i="4"/>
  <c r="V71" i="4"/>
  <c r="Q71" i="4"/>
  <c r="L71" i="4"/>
  <c r="G71" i="4"/>
  <c r="BE67" i="4"/>
  <c r="BD67" i="4"/>
  <c r="BE93" i="4" s="1"/>
  <c r="BC67" i="4"/>
  <c r="BE89" i="4" s="1"/>
  <c r="AU67" i="4"/>
  <c r="AO67" i="4"/>
  <c r="AP93" i="4" s="1"/>
  <c r="AM67" i="4"/>
  <c r="AP85" i="4" s="1"/>
  <c r="V67" i="4"/>
  <c r="U67" i="4"/>
  <c r="V93" i="4" s="1"/>
  <c r="T67" i="4"/>
  <c r="Q67" i="4"/>
  <c r="P67" i="4"/>
  <c r="Q93" i="4" s="1"/>
  <c r="G67" i="4"/>
  <c r="F67" i="4"/>
  <c r="G93" i="4" s="1"/>
  <c r="BE66" i="4"/>
  <c r="BD66" i="4"/>
  <c r="BE92" i="4" s="1"/>
  <c r="BC66" i="4"/>
  <c r="BE88" i="4" s="1"/>
  <c r="V66" i="4"/>
  <c r="U66" i="4"/>
  <c r="V92" i="4" s="1"/>
  <c r="T66" i="4"/>
  <c r="G66" i="4"/>
  <c r="D66" i="4"/>
  <c r="G84" i="4" s="1"/>
  <c r="BE65" i="4"/>
  <c r="BD65" i="4"/>
  <c r="BE91" i="4" s="1"/>
  <c r="BC65" i="4"/>
  <c r="BE87" i="4" s="1"/>
  <c r="BB65" i="4"/>
  <c r="V65" i="4"/>
  <c r="U65" i="4"/>
  <c r="V91" i="4" s="1"/>
  <c r="T65" i="4"/>
  <c r="V87" i="4" s="1"/>
  <c r="G65" i="4"/>
  <c r="D65" i="4"/>
  <c r="G83" i="4" s="1"/>
  <c r="G32" i="3" s="1"/>
  <c r="BE64" i="4"/>
  <c r="BD64" i="4"/>
  <c r="BC64" i="4"/>
  <c r="BB64" i="4"/>
  <c r="AZ64" i="4"/>
  <c r="AY64" i="4"/>
  <c r="AX64" i="4"/>
  <c r="AW64" i="4"/>
  <c r="AU64" i="4"/>
  <c r="AT64" i="4"/>
  <c r="AS64" i="4"/>
  <c r="AR64" i="4"/>
  <c r="AP64" i="4"/>
  <c r="AO64" i="4"/>
  <c r="AN64" i="4"/>
  <c r="AM64" i="4"/>
  <c r="AK64" i="4"/>
  <c r="AJ64" i="4"/>
  <c r="AI64" i="4"/>
  <c r="AH64" i="4"/>
  <c r="AF64" i="4"/>
  <c r="AE64" i="4"/>
  <c r="AD64" i="4"/>
  <c r="AC64" i="4"/>
  <c r="AA64" i="4"/>
  <c r="Z64" i="4"/>
  <c r="Y64" i="4"/>
  <c r="X64" i="4"/>
  <c r="V64" i="4"/>
  <c r="U64" i="4"/>
  <c r="T64" i="4"/>
  <c r="S64" i="4"/>
  <c r="Q64" i="4"/>
  <c r="P64" i="4"/>
  <c r="O64" i="4"/>
  <c r="N64" i="4"/>
  <c r="L64" i="4"/>
  <c r="K64" i="4"/>
  <c r="J64" i="4"/>
  <c r="I64" i="4"/>
  <c r="G64" i="4"/>
  <c r="F64" i="4"/>
  <c r="E64" i="4"/>
  <c r="D64" i="4"/>
  <c r="AU61" i="4"/>
  <c r="AU60" i="4"/>
  <c r="AP60" i="4"/>
  <c r="AN65" i="4" s="1"/>
  <c r="AP87" i="4" s="1"/>
  <c r="G60" i="4"/>
  <c r="BG59" i="4"/>
  <c r="AQ59" i="4"/>
  <c r="AP59" i="4"/>
  <c r="AP67" i="4" s="1"/>
  <c r="Q59" i="4"/>
  <c r="BE53" i="4"/>
  <c r="AZ53" i="4"/>
  <c r="AU53" i="4"/>
  <c r="AP53" i="4"/>
  <c r="AK53" i="4"/>
  <c r="AF53" i="4"/>
  <c r="AA53" i="4"/>
  <c r="AA55" i="4" s="1"/>
  <c r="AA59" i="4" s="1"/>
  <c r="V53" i="4"/>
  <c r="Q53" i="4"/>
  <c r="L53" i="4"/>
  <c r="G53" i="4"/>
  <c r="AZ50" i="4"/>
  <c r="AU50" i="4"/>
  <c r="AU55" i="4" s="1"/>
  <c r="AU59" i="4" s="1"/>
  <c r="AP50" i="4"/>
  <c r="AK50" i="4"/>
  <c r="AF50" i="4"/>
  <c r="AA50" i="4"/>
  <c r="V50" i="4"/>
  <c r="Q50" i="4"/>
  <c r="L50" i="4"/>
  <c r="G50" i="4"/>
  <c r="AZ49" i="4"/>
  <c r="AU49" i="4"/>
  <c r="AP49" i="4"/>
  <c r="AK49" i="4"/>
  <c r="AF49" i="4"/>
  <c r="AA49" i="4"/>
  <c r="V49" i="4"/>
  <c r="Q49" i="4"/>
  <c r="L49" i="4"/>
  <c r="G49" i="4"/>
  <c r="AZ46" i="4"/>
  <c r="AU46" i="4"/>
  <c r="AP46" i="4"/>
  <c r="AK46" i="4"/>
  <c r="AF46" i="4"/>
  <c r="AA46" i="4"/>
  <c r="V46" i="4"/>
  <c r="Q46" i="4"/>
  <c r="L46" i="4"/>
  <c r="G46" i="4"/>
  <c r="AZ45" i="4"/>
  <c r="AU45" i="4"/>
  <c r="AP45" i="4"/>
  <c r="AK45" i="4"/>
  <c r="AF45" i="4"/>
  <c r="AA45" i="4"/>
  <c r="V45" i="4"/>
  <c r="Q45" i="4"/>
  <c r="L45" i="4"/>
  <c r="G45" i="4"/>
  <c r="AZ44" i="4"/>
  <c r="AU44" i="4"/>
  <c r="AP44" i="4"/>
  <c r="AK44" i="4"/>
  <c r="AF44" i="4"/>
  <c r="AA44" i="4"/>
  <c r="V44" i="4"/>
  <c r="Q44" i="4"/>
  <c r="L44" i="4"/>
  <c r="G44" i="4"/>
  <c r="AZ43" i="4"/>
  <c r="AU43" i="4"/>
  <c r="AP43" i="4"/>
  <c r="AK43" i="4"/>
  <c r="AF43" i="4"/>
  <c r="AA43" i="4"/>
  <c r="V43" i="4"/>
  <c r="Q43" i="4"/>
  <c r="L43" i="4"/>
  <c r="G43" i="4"/>
  <c r="AZ42" i="4"/>
  <c r="AU42" i="4"/>
  <c r="AP42" i="4"/>
  <c r="AK42" i="4"/>
  <c r="AF42" i="4"/>
  <c r="AA42" i="4"/>
  <c r="V42" i="4"/>
  <c r="Q42" i="4"/>
  <c r="L42" i="4"/>
  <c r="G42" i="4"/>
  <c r="AZ41" i="4"/>
  <c r="AU41" i="4"/>
  <c r="AP41" i="4"/>
  <c r="AK41" i="4"/>
  <c r="AF41" i="4"/>
  <c r="AA41" i="4"/>
  <c r="V41" i="4"/>
  <c r="Q41" i="4"/>
  <c r="L41" i="4"/>
  <c r="G41" i="4"/>
  <c r="AZ40" i="4"/>
  <c r="AU40" i="4"/>
  <c r="AP40" i="4"/>
  <c r="AK40" i="4"/>
  <c r="AF40" i="4"/>
  <c r="AA40" i="4"/>
  <c r="V40" i="4"/>
  <c r="Q40" i="4"/>
  <c r="L40" i="4"/>
  <c r="G40" i="4"/>
  <c r="AZ39" i="4"/>
  <c r="AU39" i="4"/>
  <c r="AP39" i="4"/>
  <c r="AK39" i="4"/>
  <c r="AF39" i="4"/>
  <c r="AA39" i="4"/>
  <c r="V39" i="4"/>
  <c r="Q39" i="4"/>
  <c r="L39" i="4"/>
  <c r="G39" i="4"/>
  <c r="AZ38" i="4"/>
  <c r="AU38" i="4"/>
  <c r="AP38" i="4"/>
  <c r="AK38" i="4"/>
  <c r="AF38" i="4"/>
  <c r="AA38" i="4"/>
  <c r="V38" i="4"/>
  <c r="Q38" i="4"/>
  <c r="L38" i="4"/>
  <c r="G38" i="4"/>
  <c r="AU35" i="4"/>
  <c r="BE34" i="4"/>
  <c r="AS31" i="4"/>
  <c r="AU77" i="4" s="1"/>
  <c r="AR31" i="4"/>
  <c r="AU73" i="4" s="1"/>
  <c r="F31" i="4"/>
  <c r="E31" i="4"/>
  <c r="G77" i="4" s="1"/>
  <c r="D31" i="4"/>
  <c r="E67" i="4" s="1"/>
  <c r="G89" i="4" s="1"/>
  <c r="F30" i="4"/>
  <c r="E30" i="4"/>
  <c r="D30" i="4"/>
  <c r="AS29" i="4"/>
  <c r="AU75" i="4" s="1"/>
  <c r="AR29" i="4"/>
  <c r="AU71" i="4" s="1"/>
  <c r="F29" i="4"/>
  <c r="G79" i="4" s="1"/>
  <c r="E29" i="4"/>
  <c r="G75" i="4" s="1"/>
  <c r="D29" i="4"/>
  <c r="AU25" i="4"/>
  <c r="Q23" i="4"/>
  <c r="G23" i="4"/>
  <c r="AZ21" i="4"/>
  <c r="AU21" i="4"/>
  <c r="V21" i="4"/>
  <c r="E15" i="8"/>
  <c r="AU18" i="4"/>
  <c r="G18" i="4"/>
  <c r="G17" i="4"/>
  <c r="AZ14" i="4"/>
  <c r="AP14" i="4"/>
  <c r="K22" i="8" s="1"/>
  <c r="BD12" i="4"/>
  <c r="BC12" i="4"/>
  <c r="BB12" i="4"/>
  <c r="AX12" i="4"/>
  <c r="AW12" i="4"/>
  <c r="AS12" i="4"/>
  <c r="AR12" i="4"/>
  <c r="AP12" i="4"/>
  <c r="AN12" i="4"/>
  <c r="AM12" i="4"/>
  <c r="AI12" i="4"/>
  <c r="AH12" i="4"/>
  <c r="AF12" i="4"/>
  <c r="AE12" i="4"/>
  <c r="AD12" i="4"/>
  <c r="AC12" i="4"/>
  <c r="Z12" i="4"/>
  <c r="Y12" i="4"/>
  <c r="X12" i="4"/>
  <c r="V12" i="4"/>
  <c r="S66" i="4" s="1"/>
  <c r="V84" i="4" s="1"/>
  <c r="T12" i="4"/>
  <c r="S12" i="4"/>
  <c r="P12" i="4"/>
  <c r="O12" i="4"/>
  <c r="N12" i="4"/>
  <c r="K12" i="4"/>
  <c r="J12" i="4"/>
  <c r="I12" i="4"/>
  <c r="G12" i="4"/>
  <c r="F12" i="4"/>
  <c r="E12" i="4"/>
  <c r="D12" i="4"/>
  <c r="BE11" i="4"/>
  <c r="AZ11" i="4"/>
  <c r="AY11" i="4"/>
  <c r="AT11" i="4"/>
  <c r="AU11" i="4" s="1"/>
  <c r="AU12" i="4" s="1"/>
  <c r="AK11" i="4"/>
  <c r="AF11" i="4"/>
  <c r="AA11" i="4"/>
  <c r="V11" i="4"/>
  <c r="L11" i="4"/>
  <c r="G11" i="4"/>
  <c r="BE10" i="4"/>
  <c r="BE12" i="4" s="1"/>
  <c r="BB66" i="4" s="1"/>
  <c r="BE84" i="4" s="1"/>
  <c r="AZ10" i="4"/>
  <c r="AU10" i="4"/>
  <c r="AK10" i="4"/>
  <c r="AK12" i="4" s="1"/>
  <c r="AF10" i="4"/>
  <c r="AA10" i="4"/>
  <c r="AA12" i="4" s="1"/>
  <c r="V10" i="4"/>
  <c r="L10" i="4"/>
  <c r="G10" i="4"/>
  <c r="BE9" i="4"/>
  <c r="AZ9" i="4"/>
  <c r="AZ12" i="4" s="1"/>
  <c r="AY9" i="4"/>
  <c r="AY12" i="4" s="1"/>
  <c r="AU9" i="4"/>
  <c r="AK9" i="4"/>
  <c r="V9" i="4"/>
  <c r="L9" i="4"/>
  <c r="L12" i="4" s="1"/>
  <c r="G9" i="4"/>
  <c r="BE7" i="4"/>
  <c r="BB67" i="4" s="1"/>
  <c r="BE85" i="4" s="1"/>
  <c r="AZ7" i="4"/>
  <c r="AY7" i="4"/>
  <c r="AU7" i="4"/>
  <c r="AK7" i="4"/>
  <c r="V7" i="4"/>
  <c r="S67" i="4" s="1"/>
  <c r="V85" i="4" s="1"/>
  <c r="Q7" i="4"/>
  <c r="L7" i="4"/>
  <c r="G7" i="4"/>
  <c r="D67" i="4" s="1"/>
  <c r="G85" i="4" s="1"/>
  <c r="F7" i="4"/>
  <c r="BE6" i="4"/>
  <c r="AY6" i="4"/>
  <c r="AZ6" i="4" s="1"/>
  <c r="G18" i="3" s="1"/>
  <c r="AU6" i="4"/>
  <c r="AK6" i="4"/>
  <c r="G15" i="3" s="1"/>
  <c r="V6" i="4"/>
  <c r="S65" i="4" s="1"/>
  <c r="V83" i="4" s="1"/>
  <c r="G35" i="3" s="1"/>
  <c r="L6" i="4"/>
  <c r="G6" i="4"/>
  <c r="F6" i="4"/>
  <c r="BE4" i="4"/>
  <c r="AZ4" i="4"/>
  <c r="AU4" i="4"/>
  <c r="AP4" i="4"/>
  <c r="AK4" i="4"/>
  <c r="AF4" i="4"/>
  <c r="AA4" i="4"/>
  <c r="V4" i="4"/>
  <c r="Q4" i="4"/>
  <c r="L4" i="4"/>
  <c r="G4" i="4"/>
  <c r="BE2" i="4"/>
  <c r="A2" i="4"/>
  <c r="A3" i="4" s="1"/>
  <c r="A4" i="4" s="1"/>
  <c r="A5" i="4" s="1"/>
  <c r="A6" i="4" s="1"/>
  <c r="A7" i="4" s="1"/>
  <c r="A8" i="4" s="1"/>
  <c r="A9" i="4" s="1"/>
  <c r="A10" i="4" s="1"/>
  <c r="A11" i="4" s="1"/>
  <c r="A12" i="4" s="1"/>
  <c r="A13" i="4" s="1"/>
  <c r="A14" i="4" s="1"/>
  <c r="A15" i="4" s="1"/>
  <c r="A16" i="4" s="1"/>
  <c r="A17" i="4" s="1"/>
  <c r="A18" i="4" s="1"/>
  <c r="A19" i="4" s="1"/>
  <c r="A20" i="4" s="1"/>
  <c r="A21" i="4" s="1"/>
  <c r="A22" i="4" s="1"/>
  <c r="A23" i="4" s="1"/>
  <c r="A24" i="4" s="1"/>
  <c r="A25" i="4" s="1"/>
  <c r="A26" i="4" s="1"/>
  <c r="A27" i="4" s="1"/>
  <c r="A28" i="4" s="1"/>
  <c r="A29" i="4" s="1"/>
  <c r="A30" i="4" s="1"/>
  <c r="A31" i="4" s="1"/>
  <c r="A32" i="4" s="1"/>
  <c r="A33" i="4" s="1"/>
  <c r="A34" i="4" s="1"/>
  <c r="A35" i="4" s="1"/>
  <c r="A36" i="4" s="1"/>
  <c r="A37" i="4" s="1"/>
  <c r="A38" i="4" s="1"/>
  <c r="A39" i="4" s="1"/>
  <c r="A40" i="4" s="1"/>
  <c r="A41" i="4" s="1"/>
  <c r="A42" i="4" s="1"/>
  <c r="A43" i="4" s="1"/>
  <c r="A44" i="4" s="1"/>
  <c r="A45" i="4" s="1"/>
  <c r="A46" i="4" s="1"/>
  <c r="A47" i="4" s="1"/>
  <c r="A48" i="4" s="1"/>
  <c r="A49" i="4" s="1"/>
  <c r="A50" i="4" s="1"/>
  <c r="A51" i="4" s="1"/>
  <c r="A52" i="4" s="1"/>
  <c r="A53" i="4" s="1"/>
  <c r="A54" i="4" s="1"/>
  <c r="A55" i="4" s="1"/>
  <c r="A56" i="4" s="1"/>
  <c r="A57" i="4" s="1"/>
  <c r="A58" i="4" s="1"/>
  <c r="A59" i="4" s="1"/>
  <c r="A60" i="4" s="1"/>
  <c r="A61" i="4" s="1"/>
  <c r="A62" i="4" s="1"/>
  <c r="A63" i="4" s="1"/>
  <c r="A64" i="4" s="1"/>
  <c r="A65" i="4" s="1"/>
  <c r="A66" i="4" s="1"/>
  <c r="A67" i="4" s="1"/>
  <c r="A68" i="4" s="1"/>
  <c r="A69" i="4" s="1"/>
  <c r="A70" i="4" s="1"/>
  <c r="A71" i="4" s="1"/>
  <c r="A72" i="4" s="1"/>
  <c r="A73" i="4" s="1"/>
  <c r="A74" i="4" s="1"/>
  <c r="A75" i="4" s="1"/>
  <c r="A76" i="4" s="1"/>
  <c r="A77" i="4" s="1"/>
  <c r="A78" i="4" s="1"/>
  <c r="A79" i="4" s="1"/>
  <c r="A80" i="4" s="1"/>
  <c r="A81" i="4" s="1"/>
  <c r="A82" i="4" s="1"/>
  <c r="A83" i="4" s="1"/>
  <c r="A84" i="4" s="1"/>
  <c r="A85" i="4" s="1"/>
  <c r="A86" i="4" s="1"/>
  <c r="A87" i="4" s="1"/>
  <c r="A88" i="4" s="1"/>
  <c r="A89" i="4" s="1"/>
  <c r="A90" i="4" s="1"/>
  <c r="A91" i="4" s="1"/>
  <c r="A92" i="4" s="1"/>
  <c r="A93" i="4" s="1"/>
  <c r="A94" i="4" s="1"/>
  <c r="A95" i="4" s="1"/>
  <c r="BE1" i="4"/>
  <c r="C49" i="3"/>
  <c r="C41" i="3"/>
  <c r="F40" i="3"/>
  <c r="C40" i="3"/>
  <c r="C39" i="3"/>
  <c r="C38" i="3"/>
  <c r="C37" i="3"/>
  <c r="C36" i="3"/>
  <c r="O35" i="3"/>
  <c r="N35" i="3"/>
  <c r="J35" i="3"/>
  <c r="E35" i="3"/>
  <c r="D35" i="3"/>
  <c r="C35" i="3"/>
  <c r="C34" i="3"/>
  <c r="C33" i="3"/>
  <c r="O32" i="3"/>
  <c r="N32" i="3"/>
  <c r="E32" i="3"/>
  <c r="D32" i="3"/>
  <c r="C32" i="3"/>
  <c r="M31" i="3"/>
  <c r="K31" i="3"/>
  <c r="J31" i="3"/>
  <c r="G31" i="3"/>
  <c r="O28" i="3"/>
  <c r="N28" i="3"/>
  <c r="M28" i="3"/>
  <c r="L28" i="3"/>
  <c r="K28" i="3"/>
  <c r="J28" i="3"/>
  <c r="I28" i="3"/>
  <c r="H28" i="3"/>
  <c r="G28" i="3"/>
  <c r="F28" i="3"/>
  <c r="E28" i="3"/>
  <c r="E40" i="3" s="1"/>
  <c r="D28" i="3"/>
  <c r="B28" i="3"/>
  <c r="C26" i="3"/>
  <c r="O18" i="3"/>
  <c r="N18" i="3"/>
  <c r="M18" i="3"/>
  <c r="O17" i="3"/>
  <c r="G17" i="3"/>
  <c r="G16" i="3"/>
  <c r="O15" i="3"/>
  <c r="M15" i="3"/>
  <c r="L15" i="3"/>
  <c r="D15" i="3"/>
  <c r="O14" i="3"/>
  <c r="N14" i="3"/>
  <c r="M14" i="3"/>
  <c r="G14" i="3"/>
  <c r="O13" i="3"/>
  <c r="G13" i="3"/>
  <c r="O12" i="3"/>
  <c r="L12" i="3"/>
  <c r="K12" i="3"/>
  <c r="G12" i="3"/>
  <c r="D12" i="3"/>
  <c r="B12" i="3"/>
  <c r="O11" i="3"/>
  <c r="M11" i="3"/>
  <c r="L11" i="3"/>
  <c r="K11" i="3"/>
  <c r="G11" i="3"/>
  <c r="E11" i="3"/>
  <c r="D11" i="3"/>
  <c r="B11" i="3"/>
  <c r="O10" i="3"/>
  <c r="N10" i="3"/>
  <c r="M10" i="3"/>
  <c r="G10" i="3"/>
  <c r="O9" i="3"/>
  <c r="M9" i="3"/>
  <c r="H9" i="3"/>
  <c r="G9" i="3"/>
  <c r="E9" i="3"/>
  <c r="R8" i="3"/>
  <c r="M8" i="3"/>
  <c r="K8" i="3"/>
  <c r="J8" i="3"/>
  <c r="G8" i="3"/>
  <c r="O5" i="3"/>
  <c r="O16" i="3" s="1"/>
  <c r="N5" i="3"/>
  <c r="N11" i="3" s="1"/>
  <c r="M5" i="3"/>
  <c r="M17" i="3" s="1"/>
  <c r="L5" i="3"/>
  <c r="L18" i="3" s="1"/>
  <c r="K5" i="3"/>
  <c r="K15" i="3" s="1"/>
  <c r="J5" i="3"/>
  <c r="J13" i="3" s="1"/>
  <c r="I5" i="3"/>
  <c r="I13" i="3" s="1"/>
  <c r="H5" i="3"/>
  <c r="G5" i="3"/>
  <c r="F5" i="3"/>
  <c r="E5" i="3"/>
  <c r="E17" i="3" s="1"/>
  <c r="D5" i="3"/>
  <c r="D18" i="3" s="1"/>
  <c r="B5" i="3"/>
  <c r="B3" i="3"/>
  <c r="M68" i="2"/>
  <c r="I68" i="2"/>
  <c r="C48" i="2"/>
  <c r="E48" i="2" s="1"/>
  <c r="D47" i="2"/>
  <c r="C47" i="2"/>
  <c r="D46" i="2"/>
  <c r="C46" i="2"/>
  <c r="M38" i="2"/>
  <c r="M71" i="2" s="1"/>
  <c r="L38" i="2"/>
  <c r="L71" i="2" s="1"/>
  <c r="K38" i="2"/>
  <c r="K71" i="2" s="1"/>
  <c r="J38" i="2"/>
  <c r="J71" i="2" s="1"/>
  <c r="I38" i="2"/>
  <c r="I71" i="2" s="1"/>
  <c r="M37" i="2"/>
  <c r="L37" i="2"/>
  <c r="L68" i="2" s="1"/>
  <c r="K37" i="2"/>
  <c r="K68" i="2" s="1"/>
  <c r="J37" i="2"/>
  <c r="J68" i="2" s="1"/>
  <c r="I37" i="2"/>
  <c r="E36" i="2"/>
  <c r="E35" i="2"/>
  <c r="E34" i="2"/>
  <c r="E33" i="2"/>
  <c r="E32" i="2"/>
  <c r="E31" i="2"/>
  <c r="E30" i="2"/>
  <c r="E29" i="2"/>
  <c r="E28" i="2"/>
  <c r="M23" i="2"/>
  <c r="M34" i="1" s="1"/>
  <c r="L23" i="2"/>
  <c r="L34" i="1" s="1"/>
  <c r="K23" i="2"/>
  <c r="K34" i="1" s="1"/>
  <c r="J23" i="2"/>
  <c r="J34" i="1" s="1"/>
  <c r="I23" i="2"/>
  <c r="I34" i="1" s="1"/>
  <c r="N34" i="1" s="1"/>
  <c r="M20" i="2"/>
  <c r="L20" i="2"/>
  <c r="L37" i="1" s="1"/>
  <c r="K20" i="2"/>
  <c r="J20" i="2"/>
  <c r="J37" i="1" s="1"/>
  <c r="I20" i="2"/>
  <c r="I37" i="1" s="1"/>
  <c r="N37" i="1" s="1"/>
  <c r="M19" i="2"/>
  <c r="L19" i="2"/>
  <c r="K19" i="2"/>
  <c r="J19" i="2"/>
  <c r="I19" i="2"/>
  <c r="M18" i="2"/>
  <c r="L18" i="2"/>
  <c r="K18" i="2"/>
  <c r="J18" i="2"/>
  <c r="I18" i="2"/>
  <c r="B18" i="2"/>
  <c r="B39" i="1" s="1"/>
  <c r="M17" i="2"/>
  <c r="M40" i="1" s="1"/>
  <c r="R40" i="1" s="1"/>
  <c r="L17" i="2"/>
  <c r="L40" i="1" s="1"/>
  <c r="Q40" i="1" s="1"/>
  <c r="K17" i="2"/>
  <c r="J17" i="2"/>
  <c r="I17" i="2"/>
  <c r="M16" i="2"/>
  <c r="L16" i="2"/>
  <c r="K16" i="2"/>
  <c r="J16" i="2"/>
  <c r="I16" i="2"/>
  <c r="I41" i="1" s="1"/>
  <c r="M15" i="2"/>
  <c r="L15" i="2"/>
  <c r="L42" i="1" s="1"/>
  <c r="K15" i="2"/>
  <c r="K42" i="1" s="1"/>
  <c r="P42" i="1" s="1"/>
  <c r="J15" i="2"/>
  <c r="I15" i="2"/>
  <c r="B15" i="2"/>
  <c r="B42" i="1" s="1"/>
  <c r="M14" i="2"/>
  <c r="M43" i="1" s="1"/>
  <c r="R43" i="1" s="1"/>
  <c r="L14" i="2"/>
  <c r="K14" i="2"/>
  <c r="J14" i="2"/>
  <c r="I14" i="2"/>
  <c r="I43" i="1" s="1"/>
  <c r="M13" i="2"/>
  <c r="L13" i="2"/>
  <c r="L44" i="1" s="1"/>
  <c r="Q44" i="1" s="1"/>
  <c r="K13" i="2"/>
  <c r="J13" i="2"/>
  <c r="J44" i="1" s="1"/>
  <c r="P44" i="1" s="1"/>
  <c r="I13" i="2"/>
  <c r="I44" i="1" s="1"/>
  <c r="M12" i="2"/>
  <c r="L12" i="2"/>
  <c r="K12" i="2"/>
  <c r="J12" i="2"/>
  <c r="I12" i="2"/>
  <c r="B12" i="2"/>
  <c r="B45" i="1" s="1"/>
  <c r="B5" i="2"/>
  <c r="B3" i="2"/>
  <c r="B2" i="2"/>
  <c r="N45" i="1"/>
  <c r="M45" i="1"/>
  <c r="R45" i="1" s="1"/>
  <c r="L45" i="1"/>
  <c r="Q45" i="1" s="1"/>
  <c r="K45" i="1"/>
  <c r="P45" i="1" s="1"/>
  <c r="J45" i="1"/>
  <c r="O45" i="1" s="1"/>
  <c r="I45" i="1"/>
  <c r="M44" i="1"/>
  <c r="K44" i="1"/>
  <c r="Q43" i="1"/>
  <c r="P43" i="1"/>
  <c r="L43" i="1"/>
  <c r="K43" i="1"/>
  <c r="J43" i="1"/>
  <c r="M42" i="1"/>
  <c r="J42" i="1"/>
  <c r="O42" i="1" s="1"/>
  <c r="I42" i="1"/>
  <c r="N42" i="1" s="1"/>
  <c r="M41" i="1"/>
  <c r="R41" i="1" s="1"/>
  <c r="L41" i="1"/>
  <c r="Q41" i="1" s="1"/>
  <c r="K41" i="1"/>
  <c r="P41" i="1" s="1"/>
  <c r="J41" i="1"/>
  <c r="P40" i="1"/>
  <c r="O40" i="1"/>
  <c r="N40" i="1"/>
  <c r="K40" i="1"/>
  <c r="J40" i="1"/>
  <c r="I40" i="1"/>
  <c r="R39" i="1"/>
  <c r="M39" i="1"/>
  <c r="L39" i="1"/>
  <c r="K39" i="1"/>
  <c r="Q39" i="1" s="1"/>
  <c r="J39" i="1"/>
  <c r="O39" i="1" s="1"/>
  <c r="I39" i="1"/>
  <c r="N39" i="1" s="1"/>
  <c r="P38" i="1"/>
  <c r="O38" i="1"/>
  <c r="N38" i="1"/>
  <c r="M38" i="1"/>
  <c r="R38" i="1" s="1"/>
  <c r="L38" i="1"/>
  <c r="Q38" i="1" s="1"/>
  <c r="K38" i="1"/>
  <c r="J38" i="1"/>
  <c r="I38" i="1"/>
  <c r="M37" i="1"/>
  <c r="K37" i="1"/>
  <c r="O135" i="6" l="1"/>
  <c r="N196" i="6"/>
  <c r="N198" i="6" s="1"/>
  <c r="N115" i="6" s="1"/>
  <c r="E184" i="6"/>
  <c r="E187" i="6" s="1"/>
  <c r="E134" i="6" s="1"/>
  <c r="L30" i="6" a="1"/>
  <c r="L30" i="6" s="1"/>
  <c r="E97" i="6"/>
  <c r="K113" i="6"/>
  <c r="N30" i="6" a="1"/>
  <c r="N30" i="6" s="1"/>
  <c r="Q30" i="6" a="1"/>
  <c r="Q30" i="6" s="1"/>
  <c r="Q36" i="6" s="1"/>
  <c r="B13" i="2"/>
  <c r="B44" i="1" s="1"/>
  <c r="F69" i="6"/>
  <c r="H53" i="6"/>
  <c r="B19" i="2"/>
  <c r="B38" i="1" s="1"/>
  <c r="I62" i="6" a="1"/>
  <c r="I62" i="6" s="1"/>
  <c r="J30" i="6" a="1"/>
  <c r="J30" i="6" s="1"/>
  <c r="J62" i="6" a="1"/>
  <c r="J62" i="6" s="1"/>
  <c r="R62" i="6" a="1"/>
  <c r="R62" i="6" s="1"/>
  <c r="R68" i="6" s="1"/>
  <c r="K62" i="6" a="1"/>
  <c r="K62" i="6" s="1"/>
  <c r="M26" i="3"/>
  <c r="L62" i="6" a="1"/>
  <c r="L62" i="6" s="1"/>
  <c r="M62" i="6" a="1"/>
  <c r="M62" i="6" s="1"/>
  <c r="N62" i="6" a="1"/>
  <c r="N62" i="6" s="1"/>
  <c r="J90" i="6" a="1"/>
  <c r="J90" i="6" s="1"/>
  <c r="R34" i="1"/>
  <c r="O62" i="6" a="1"/>
  <c r="O62" i="6" s="1"/>
  <c r="O68" i="6" s="1"/>
  <c r="N90" i="6" a="1"/>
  <c r="N90" i="6" s="1"/>
  <c r="N96" i="6" s="1"/>
  <c r="N186" i="6" s="1"/>
  <c r="D256" i="6"/>
  <c r="D257" i="6" s="1"/>
  <c r="D271" i="6" s="1"/>
  <c r="Q62" i="6" a="1"/>
  <c r="Q62" i="6" s="1"/>
  <c r="Q68" i="6" s="1"/>
  <c r="R90" i="6" a="1"/>
  <c r="R90" i="6" s="1"/>
  <c r="AP66" i="4"/>
  <c r="G20" i="6"/>
  <c r="F20" i="6" s="1"/>
  <c r="N68" i="6"/>
  <c r="I20" i="6"/>
  <c r="I22" i="6" s="1"/>
  <c r="J36" i="6"/>
  <c r="N31" i="3"/>
  <c r="N8" i="3"/>
  <c r="F26" i="3"/>
  <c r="I68" i="6"/>
  <c r="I69" i="6" s="1"/>
  <c r="O34" i="1"/>
  <c r="B16" i="2"/>
  <c r="B41" i="1" s="1"/>
  <c r="S8" i="3"/>
  <c r="L26" i="3"/>
  <c r="E26" i="3"/>
  <c r="H31" i="3"/>
  <c r="H8" i="3"/>
  <c r="K49" i="3"/>
  <c r="B73" i="4"/>
  <c r="O36" i="6"/>
  <c r="M30" i="6" a="1"/>
  <c r="M30" i="6" s="1"/>
  <c r="G53" i="6"/>
  <c r="G26" i="3"/>
  <c r="D49" i="3"/>
  <c r="I113" i="6"/>
  <c r="M49" i="3"/>
  <c r="M36" i="6"/>
  <c r="Q96" i="6"/>
  <c r="F97" i="6"/>
  <c r="D258" i="6"/>
  <c r="D272" i="6" s="1"/>
  <c r="J113" i="6"/>
  <c r="N49" i="3"/>
  <c r="P34" i="1"/>
  <c r="G69" i="6"/>
  <c r="R96" i="6"/>
  <c r="R186" i="6" s="1"/>
  <c r="AM65" i="4"/>
  <c r="AP83" i="4" s="1"/>
  <c r="Q12" i="3"/>
  <c r="R13" i="3"/>
  <c r="I115" i="6"/>
  <c r="R37" i="1"/>
  <c r="Q37" i="1"/>
  <c r="O43" i="1"/>
  <c r="N43" i="1"/>
  <c r="Q42" i="1"/>
  <c r="R42" i="1"/>
  <c r="O44" i="1"/>
  <c r="N44" i="1"/>
  <c r="O37" i="1"/>
  <c r="P37" i="1"/>
  <c r="N41" i="1"/>
  <c r="O41" i="1"/>
  <c r="O24" i="3"/>
  <c r="O23" i="3"/>
  <c r="O22" i="3"/>
  <c r="O21" i="3"/>
  <c r="O20" i="3"/>
  <c r="Q34" i="1"/>
  <c r="P39" i="1"/>
  <c r="J9" i="3"/>
  <c r="J16" i="3"/>
  <c r="R16" i="3" s="1"/>
  <c r="B35" i="3"/>
  <c r="B32" i="3"/>
  <c r="B34" i="3"/>
  <c r="K35" i="3"/>
  <c r="BE49" i="4"/>
  <c r="BE50" i="4"/>
  <c r="BE40" i="4"/>
  <c r="BE42" i="4"/>
  <c r="BE44" i="4"/>
  <c r="BE46" i="4"/>
  <c r="BE39" i="4"/>
  <c r="BE41" i="4"/>
  <c r="BE43" i="4"/>
  <c r="BE45" i="4"/>
  <c r="I15" i="3"/>
  <c r="I11" i="3"/>
  <c r="I18" i="3"/>
  <c r="T18" i="3" s="1"/>
  <c r="I14" i="3"/>
  <c r="I10" i="3"/>
  <c r="I17" i="3"/>
  <c r="B38" i="3"/>
  <c r="R44" i="1"/>
  <c r="H16" i="3"/>
  <c r="H12" i="3"/>
  <c r="H15" i="3"/>
  <c r="S15" i="3" s="1"/>
  <c r="H11" i="3"/>
  <c r="S11" i="3" s="1"/>
  <c r="H26" i="3"/>
  <c r="H18" i="3"/>
  <c r="H10" i="3"/>
  <c r="H14" i="3"/>
  <c r="Q15" i="3"/>
  <c r="D40" i="3"/>
  <c r="D34" i="3"/>
  <c r="D36" i="3"/>
  <c r="L35" i="3"/>
  <c r="AR67" i="4"/>
  <c r="AU85" i="4" s="1"/>
  <c r="AS67" i="4"/>
  <c r="AU89" i="4" s="1"/>
  <c r="AT67" i="4"/>
  <c r="AU93" i="4" s="1"/>
  <c r="M40" i="3"/>
  <c r="F36" i="3"/>
  <c r="J15" i="3"/>
  <c r="R15" i="3" s="1"/>
  <c r="J11" i="3"/>
  <c r="R11" i="3" s="1"/>
  <c r="J18" i="3"/>
  <c r="R18" i="3" s="1"/>
  <c r="J14" i="3"/>
  <c r="R14" i="3" s="1"/>
  <c r="J10" i="3"/>
  <c r="R10" i="3" s="1"/>
  <c r="J17" i="3"/>
  <c r="R17" i="3" s="1"/>
  <c r="N40" i="3"/>
  <c r="B18" i="3"/>
  <c r="B14" i="3"/>
  <c r="B10" i="3"/>
  <c r="B17" i="3"/>
  <c r="B13" i="3"/>
  <c r="B9" i="3"/>
  <c r="B16" i="3"/>
  <c r="K18" i="3"/>
  <c r="Q18" i="3" s="1"/>
  <c r="K14" i="3"/>
  <c r="K10" i="3"/>
  <c r="K17" i="3"/>
  <c r="K13" i="3"/>
  <c r="K9" i="3"/>
  <c r="K16" i="3"/>
  <c r="Q11" i="3"/>
  <c r="H17" i="3"/>
  <c r="O40" i="3"/>
  <c r="B41" i="3"/>
  <c r="BE38" i="4"/>
  <c r="AK55" i="4"/>
  <c r="AK59" i="4" s="1"/>
  <c r="E38" i="3" s="1"/>
  <c r="D38" i="3"/>
  <c r="G24" i="3"/>
  <c r="G23" i="3"/>
  <c r="G22" i="3"/>
  <c r="G21" i="3"/>
  <c r="G20" i="3"/>
  <c r="I12" i="3"/>
  <c r="B39" i="3"/>
  <c r="D41" i="3"/>
  <c r="J12" i="3"/>
  <c r="R12" i="3" s="1"/>
  <c r="B15" i="3"/>
  <c r="V55" i="4"/>
  <c r="AT65" i="4"/>
  <c r="AU91" i="4" s="1"/>
  <c r="I40" i="3" s="1"/>
  <c r="AS65" i="4"/>
  <c r="AU87" i="4" s="1"/>
  <c r="H40" i="3" s="1"/>
  <c r="AT66" i="4"/>
  <c r="AU92" i="4" s="1"/>
  <c r="L40" i="3" s="1"/>
  <c r="AS66" i="4"/>
  <c r="AU88" i="4" s="1"/>
  <c r="AU65" i="4"/>
  <c r="AU66" i="4"/>
  <c r="AR65" i="4"/>
  <c r="AU83" i="4" s="1"/>
  <c r="G40" i="3" s="1"/>
  <c r="AR66" i="4"/>
  <c r="AU84" i="4" s="1"/>
  <c r="F17" i="3"/>
  <c r="F13" i="3"/>
  <c r="F9" i="3"/>
  <c r="F16" i="3"/>
  <c r="F12" i="3"/>
  <c r="N17" i="3"/>
  <c r="N13" i="3"/>
  <c r="N16" i="3"/>
  <c r="N12" i="3"/>
  <c r="N15" i="3"/>
  <c r="I9" i="3"/>
  <c r="H13" i="3"/>
  <c r="P13" i="3" s="1"/>
  <c r="I16" i="3"/>
  <c r="N26" i="3"/>
  <c r="AZ55" i="4"/>
  <c r="AZ59" i="4" s="1"/>
  <c r="E41" i="3" s="1"/>
  <c r="I19" i="8"/>
  <c r="X67" i="4"/>
  <c r="AA85" i="4" s="1"/>
  <c r="Y67" i="4"/>
  <c r="AA89" i="4" s="1"/>
  <c r="N36" i="3" s="1"/>
  <c r="AA60" i="4"/>
  <c r="AA67" i="4"/>
  <c r="Z67" i="4"/>
  <c r="AA93" i="4" s="1"/>
  <c r="F182" i="6"/>
  <c r="E20" i="6"/>
  <c r="F101" i="6"/>
  <c r="F83" i="6"/>
  <c r="F71" i="6"/>
  <c r="F22" i="6"/>
  <c r="F55" i="6"/>
  <c r="O26" i="3"/>
  <c r="F32" i="3"/>
  <c r="B33" i="3"/>
  <c r="F35" i="3"/>
  <c r="M36" i="3"/>
  <c r="H39" i="3"/>
  <c r="M39" i="3"/>
  <c r="E49" i="3"/>
  <c r="O49" i="3"/>
  <c r="AF55" i="4"/>
  <c r="AF59" i="4" s="1"/>
  <c r="G184" i="6"/>
  <c r="G187" i="6" s="1"/>
  <c r="G37" i="6"/>
  <c r="D16" i="3"/>
  <c r="L16" i="3"/>
  <c r="D33" i="3"/>
  <c r="D39" i="3"/>
  <c r="F49" i="3"/>
  <c r="E33" i="8"/>
  <c r="B28" i="8"/>
  <c r="K36" i="6"/>
  <c r="E12" i="3"/>
  <c r="M12" i="3"/>
  <c r="E16" i="3"/>
  <c r="M16" i="3"/>
  <c r="I26" i="3"/>
  <c r="E36" i="3"/>
  <c r="O36" i="3"/>
  <c r="E39" i="3"/>
  <c r="O39" i="3"/>
  <c r="G49" i="3"/>
  <c r="B83" i="4"/>
  <c r="B84" i="4"/>
  <c r="B85" i="4"/>
  <c r="G73" i="4"/>
  <c r="N9" i="3" s="1"/>
  <c r="L36" i="6"/>
  <c r="D9" i="3"/>
  <c r="L9" i="3"/>
  <c r="D13" i="3"/>
  <c r="L13" i="3"/>
  <c r="D17" i="3"/>
  <c r="L17" i="3"/>
  <c r="B26" i="3"/>
  <c r="J26" i="3"/>
  <c r="O34" i="3"/>
  <c r="B37" i="3"/>
  <c r="F39" i="3"/>
  <c r="K40" i="3"/>
  <c r="H49" i="3"/>
  <c r="F65" i="4"/>
  <c r="G91" i="4" s="1"/>
  <c r="I32" i="3" s="1"/>
  <c r="E65" i="4"/>
  <c r="G87" i="4" s="1"/>
  <c r="H32" i="3" s="1"/>
  <c r="F66" i="4"/>
  <c r="G92" i="4" s="1"/>
  <c r="L32" i="3" s="1"/>
  <c r="E66" i="4"/>
  <c r="G88" i="4" s="1"/>
  <c r="E13" i="3"/>
  <c r="M13" i="3"/>
  <c r="K26" i="3"/>
  <c r="D37" i="3"/>
  <c r="G39" i="3"/>
  <c r="I49" i="3"/>
  <c r="L55" i="4"/>
  <c r="L59" i="4" s="1"/>
  <c r="N67" i="4"/>
  <c r="Q85" i="4" s="1"/>
  <c r="M34" i="3" s="1"/>
  <c r="Q60" i="4"/>
  <c r="F11" i="3" s="1"/>
  <c r="O67" i="4"/>
  <c r="Q89" i="4" s="1"/>
  <c r="N34" i="3" s="1"/>
  <c r="F39" i="6"/>
  <c r="D10" i="3"/>
  <c r="L10" i="3"/>
  <c r="D14" i="3"/>
  <c r="L14" i="3"/>
  <c r="D26" i="3"/>
  <c r="K32" i="3"/>
  <c r="J32" i="3"/>
  <c r="M32" i="3"/>
  <c r="E34" i="3"/>
  <c r="I35" i="3"/>
  <c r="H35" i="3"/>
  <c r="M35" i="3"/>
  <c r="L49" i="3"/>
  <c r="AN66" i="4"/>
  <c r="AP88" i="4" s="1"/>
  <c r="K39" i="3" s="1"/>
  <c r="AM66" i="4"/>
  <c r="AP84" i="4" s="1"/>
  <c r="J39" i="3" s="1"/>
  <c r="AP65" i="4"/>
  <c r="AO65" i="4"/>
  <c r="AP91" i="4" s="1"/>
  <c r="I39" i="3" s="1"/>
  <c r="AO66" i="4"/>
  <c r="AP92" i="4" s="1"/>
  <c r="L39" i="3" s="1"/>
  <c r="E188" i="6"/>
  <c r="E192" i="6"/>
  <c r="E228" i="6"/>
  <c r="L68" i="6"/>
  <c r="P30" i="6" a="1"/>
  <c r="P30" i="6" s="1"/>
  <c r="P36" i="6" s="1"/>
  <c r="M68" i="6"/>
  <c r="N69" i="6" s="1"/>
  <c r="J96" i="6"/>
  <c r="G182" i="6"/>
  <c r="G55" i="6"/>
  <c r="G101" i="6"/>
  <c r="G83" i="6"/>
  <c r="G22" i="6"/>
  <c r="G71" i="6"/>
  <c r="N36" i="6"/>
  <c r="H184" i="6"/>
  <c r="H187" i="6" s="1"/>
  <c r="H37" i="6"/>
  <c r="G39" i="6"/>
  <c r="O46" i="6" a="1"/>
  <c r="O46" i="6" s="1"/>
  <c r="O52" i="6" s="1"/>
  <c r="K46" i="6" a="1"/>
  <c r="K46" i="6" s="1"/>
  <c r="K52" i="6" s="1"/>
  <c r="R46" i="6" a="1"/>
  <c r="R46" i="6" s="1"/>
  <c r="R52" i="6" s="1"/>
  <c r="N46" i="6" a="1"/>
  <c r="N46" i="6" s="1"/>
  <c r="N52" i="6" s="1"/>
  <c r="J46" i="6" a="1"/>
  <c r="J46" i="6" s="1"/>
  <c r="J52" i="6" s="1"/>
  <c r="Q46" i="6" a="1"/>
  <c r="Q46" i="6" s="1"/>
  <c r="Q52" i="6" s="1"/>
  <c r="M46" i="6" a="1"/>
  <c r="M46" i="6" s="1"/>
  <c r="M52" i="6" s="1"/>
  <c r="I46" i="6" a="1"/>
  <c r="I46" i="6" s="1"/>
  <c r="I52" i="6" s="1"/>
  <c r="I53" i="6" s="1"/>
  <c r="P46" i="6" a="1"/>
  <c r="P46" i="6" s="1"/>
  <c r="P52" i="6" s="1"/>
  <c r="L46" i="6" a="1"/>
  <c r="L46" i="6" s="1"/>
  <c r="L52" i="6" s="1"/>
  <c r="L53" i="6" s="1"/>
  <c r="AN67" i="4"/>
  <c r="AP89" i="4" s="1"/>
  <c r="N39" i="3" s="1"/>
  <c r="B72" i="4"/>
  <c r="H182" i="6"/>
  <c r="H101" i="6"/>
  <c r="H83" i="6"/>
  <c r="H71" i="6"/>
  <c r="I30" i="6" a="1"/>
  <c r="I30" i="6" s="1"/>
  <c r="I36" i="6" s="1"/>
  <c r="R30" i="6" a="1"/>
  <c r="R30" i="6" s="1"/>
  <c r="R36" i="6" s="1"/>
  <c r="H39" i="6"/>
  <c r="P68" i="6"/>
  <c r="I55" i="6"/>
  <c r="E37" i="6"/>
  <c r="B36" i="3"/>
  <c r="B40" i="3"/>
  <c r="J40" i="3"/>
  <c r="B49" i="3"/>
  <c r="J49" i="3"/>
  <c r="B89" i="4"/>
  <c r="E8" i="5"/>
  <c r="F37" i="6"/>
  <c r="J68" i="6"/>
  <c r="J69" i="6" s="1"/>
  <c r="L112" i="6"/>
  <c r="B71" i="4"/>
  <c r="B87" i="4"/>
  <c r="F53" i="6"/>
  <c r="H55" i="6"/>
  <c r="K68" i="6"/>
  <c r="H69" i="6"/>
  <c r="N121" i="6"/>
  <c r="I74" i="6" a="1"/>
  <c r="I74" i="6" s="1"/>
  <c r="I80" i="6" s="1"/>
  <c r="M74" i="6" a="1"/>
  <c r="M74" i="6" s="1"/>
  <c r="M80" i="6" s="1"/>
  <c r="Q74" i="6" a="1"/>
  <c r="Q74" i="6" s="1"/>
  <c r="Q80" i="6" s="1"/>
  <c r="D259" i="6"/>
  <c r="K90" i="6" a="1"/>
  <c r="K90" i="6" s="1"/>
  <c r="K96" i="6" s="1"/>
  <c r="O90" i="6" a="1"/>
  <c r="O90" i="6" s="1"/>
  <c r="O96" i="6" s="1"/>
  <c r="E225" i="6"/>
  <c r="I22" i="8"/>
  <c r="I18" i="8"/>
  <c r="I21" i="8"/>
  <c r="J21" i="8" s="1"/>
  <c r="I17" i="8"/>
  <c r="J17" i="8" s="1"/>
  <c r="I24" i="8"/>
  <c r="I20" i="8"/>
  <c r="J74" i="6" a="1"/>
  <c r="J74" i="6" s="1"/>
  <c r="J80" i="6" s="1"/>
  <c r="N74" i="6" a="1"/>
  <c r="N74" i="6" s="1"/>
  <c r="N80" i="6" s="1"/>
  <c r="R74" i="6" a="1"/>
  <c r="R74" i="6" s="1"/>
  <c r="R80" i="6" s="1"/>
  <c r="I236" i="6"/>
  <c r="K24" i="8"/>
  <c r="I23" i="8"/>
  <c r="L90" i="6" a="1"/>
  <c r="L90" i="6" s="1"/>
  <c r="L96" i="6" s="1"/>
  <c r="P90" i="6" a="1"/>
  <c r="P90" i="6" s="1"/>
  <c r="P96" i="6" s="1"/>
  <c r="G97" i="6"/>
  <c r="L114" i="6"/>
  <c r="I144" i="6" a="1"/>
  <c r="I144" i="6" s="1"/>
  <c r="F184" i="6"/>
  <c r="F187" i="6" s="1"/>
  <c r="K74" i="6" a="1"/>
  <c r="K74" i="6" s="1"/>
  <c r="K80" i="6" s="1"/>
  <c r="O74" i="6" a="1"/>
  <c r="O74" i="6" s="1"/>
  <c r="O80" i="6" s="1"/>
  <c r="P81" i="6" s="1"/>
  <c r="H97" i="6"/>
  <c r="G26" i="8"/>
  <c r="E28" i="8"/>
  <c r="I90" i="6" a="1"/>
  <c r="I90" i="6" s="1"/>
  <c r="I96" i="6" s="1"/>
  <c r="M90" i="6" a="1"/>
  <c r="M90" i="6" s="1"/>
  <c r="M96" i="6" s="1"/>
  <c r="J238" i="6"/>
  <c r="I15" i="8"/>
  <c r="H15" i="8" s="1"/>
  <c r="L74" i="6" a="1"/>
  <c r="L74" i="6" s="1"/>
  <c r="L80" i="6" s="1"/>
  <c r="K33" i="8"/>
  <c r="E24" i="8"/>
  <c r="K34" i="8"/>
  <c r="D17" i="8"/>
  <c r="D21" i="8"/>
  <c r="G33" i="8"/>
  <c r="D18" i="8"/>
  <c r="D22" i="8"/>
  <c r="D28" i="8"/>
  <c r="L38" i="8" s="1"/>
  <c r="E18" i="8"/>
  <c r="B19" i="8"/>
  <c r="E22" i="8"/>
  <c r="B23" i="8"/>
  <c r="K23" i="8"/>
  <c r="I33" i="8"/>
  <c r="I10" i="7"/>
  <c r="D15" i="8"/>
  <c r="D19" i="8"/>
  <c r="D23" i="8"/>
  <c r="I12" i="7"/>
  <c r="I14" i="7" s="1"/>
  <c r="I37" i="7" s="1"/>
  <c r="B16" i="8"/>
  <c r="E19" i="8"/>
  <c r="B20" i="8"/>
  <c r="E23" i="8"/>
  <c r="B24" i="8"/>
  <c r="D16" i="8"/>
  <c r="D20" i="8"/>
  <c r="E16" i="8"/>
  <c r="B17" i="8"/>
  <c r="E20" i="8"/>
  <c r="P135" i="6" l="1"/>
  <c r="O196" i="6"/>
  <c r="O198" i="6" s="1"/>
  <c r="O115" i="6" s="1"/>
  <c r="D270" i="6"/>
  <c r="I71" i="6"/>
  <c r="I83" i="6"/>
  <c r="I101" i="6"/>
  <c r="I182" i="6"/>
  <c r="J20" i="6"/>
  <c r="K20" i="6" s="1"/>
  <c r="I39" i="6"/>
  <c r="O69" i="6"/>
  <c r="H133" i="6"/>
  <c r="H127" i="6"/>
  <c r="H136" i="6"/>
  <c r="H129" i="6"/>
  <c r="H134" i="6"/>
  <c r="H135" i="6"/>
  <c r="H131" i="6"/>
  <c r="F129" i="6"/>
  <c r="F135" i="6"/>
  <c r="F134" i="6"/>
  <c r="F131" i="6"/>
  <c r="F127" i="6"/>
  <c r="F133" i="6"/>
  <c r="G127" i="6"/>
  <c r="G133" i="6"/>
  <c r="G134" i="6"/>
  <c r="G131" i="6"/>
  <c r="G136" i="6"/>
  <c r="G129" i="6"/>
  <c r="G135" i="6"/>
  <c r="R69" i="6"/>
  <c r="R97" i="6"/>
  <c r="R26" i="3"/>
  <c r="P53" i="6"/>
  <c r="O37" i="6"/>
  <c r="F20" i="8"/>
  <c r="Q186" i="6"/>
  <c r="S14" i="3"/>
  <c r="G225" i="6"/>
  <c r="N53" i="6"/>
  <c r="H18" i="8"/>
  <c r="K53" i="6"/>
  <c r="P16" i="3"/>
  <c r="H17" i="8"/>
  <c r="F24" i="8"/>
  <c r="F34" i="3"/>
  <c r="M23" i="3"/>
  <c r="F23" i="8"/>
  <c r="J18" i="8"/>
  <c r="P26" i="3"/>
  <c r="L18" i="8"/>
  <c r="S26" i="3"/>
  <c r="S18" i="3"/>
  <c r="F19" i="8"/>
  <c r="K26" i="8"/>
  <c r="H21" i="8"/>
  <c r="F21" i="8"/>
  <c r="L21" i="8"/>
  <c r="T26" i="3"/>
  <c r="F22" i="8"/>
  <c r="D46" i="3"/>
  <c r="H23" i="3"/>
  <c r="H24" i="3"/>
  <c r="H22" i="8"/>
  <c r="S16" i="3"/>
  <c r="L22" i="8"/>
  <c r="J33" i="8"/>
  <c r="N24" i="3"/>
  <c r="N23" i="3"/>
  <c r="N22" i="3"/>
  <c r="N21" i="3"/>
  <c r="N20" i="3"/>
  <c r="P186" i="6"/>
  <c r="P97" i="6"/>
  <c r="Q97" i="6"/>
  <c r="R184" i="6"/>
  <c r="R37" i="6"/>
  <c r="O186" i="6"/>
  <c r="O97" i="6"/>
  <c r="K97" i="6"/>
  <c r="K186" i="6"/>
  <c r="I184" i="6"/>
  <c r="I37" i="6"/>
  <c r="J37" i="6"/>
  <c r="O53" i="6"/>
  <c r="O184" i="6"/>
  <c r="M186" i="6"/>
  <c r="M97" i="6"/>
  <c r="N97" i="6"/>
  <c r="I97" i="6"/>
  <c r="I186" i="6"/>
  <c r="M53" i="6"/>
  <c r="M184" i="6"/>
  <c r="N185" i="6"/>
  <c r="N81" i="6"/>
  <c r="J182" i="6"/>
  <c r="J101" i="6"/>
  <c r="J71" i="6"/>
  <c r="J55" i="6"/>
  <c r="J22" i="6"/>
  <c r="L186" i="6"/>
  <c r="L97" i="6"/>
  <c r="R53" i="6"/>
  <c r="P184" i="6"/>
  <c r="P37" i="6"/>
  <c r="T14" i="3"/>
  <c r="Q14" i="3"/>
  <c r="L67" i="4"/>
  <c r="J67" i="4"/>
  <c r="L89" i="4" s="1"/>
  <c r="N33" i="3" s="1"/>
  <c r="I67" i="4"/>
  <c r="L85" i="4" s="1"/>
  <c r="M33" i="3" s="1"/>
  <c r="L60" i="4"/>
  <c r="K67" i="4"/>
  <c r="L93" i="4" s="1"/>
  <c r="O33" i="3" s="1"/>
  <c r="E10" i="3"/>
  <c r="L184" i="6"/>
  <c r="L37" i="6"/>
  <c r="K184" i="6"/>
  <c r="K37" i="6"/>
  <c r="AF67" i="4"/>
  <c r="AF60" i="4"/>
  <c r="AD67" i="4"/>
  <c r="AF89" i="4" s="1"/>
  <c r="N37" i="3" s="1"/>
  <c r="AC67" i="4"/>
  <c r="AF85" i="4" s="1"/>
  <c r="M37" i="3" s="1"/>
  <c r="AE67" i="4"/>
  <c r="AF93" i="4" s="1"/>
  <c r="O37" i="3" s="1"/>
  <c r="E14" i="3"/>
  <c r="I22" i="3"/>
  <c r="I21" i="3"/>
  <c r="I20" i="3"/>
  <c r="I24" i="3"/>
  <c r="P9" i="3"/>
  <c r="I23" i="3"/>
  <c r="P14" i="3"/>
  <c r="L20" i="8"/>
  <c r="L23" i="8"/>
  <c r="L17" i="8"/>
  <c r="L24" i="8"/>
  <c r="F228" i="6"/>
  <c r="F225" i="6"/>
  <c r="F192" i="6"/>
  <c r="F188" i="6"/>
  <c r="J185" i="6"/>
  <c r="J81" i="6"/>
  <c r="J22" i="8"/>
  <c r="D273" i="6"/>
  <c r="D260" i="6"/>
  <c r="M112" i="6"/>
  <c r="B92" i="4"/>
  <c r="E9" i="5"/>
  <c r="B75" i="4"/>
  <c r="B76" i="4"/>
  <c r="B93" i="4"/>
  <c r="B77" i="4"/>
  <c r="I31" i="3"/>
  <c r="B91" i="4"/>
  <c r="O31" i="3"/>
  <c r="L8" i="3"/>
  <c r="L31" i="3"/>
  <c r="B14" i="2"/>
  <c r="B43" i="1" s="1"/>
  <c r="I8" i="3"/>
  <c r="B20" i="2"/>
  <c r="B37" i="1" s="1"/>
  <c r="T8" i="3"/>
  <c r="O8" i="3"/>
  <c r="B17" i="2"/>
  <c r="B40" i="1" s="1"/>
  <c r="T13" i="3"/>
  <c r="Q13" i="3"/>
  <c r="D43" i="3"/>
  <c r="P18" i="3"/>
  <c r="T10" i="3"/>
  <c r="Q10" i="3"/>
  <c r="F33" i="8"/>
  <c r="J19" i="8"/>
  <c r="P12" i="3"/>
  <c r="T12" i="3"/>
  <c r="D45" i="3"/>
  <c r="P11" i="3"/>
  <c r="T11" i="3"/>
  <c r="S12" i="3"/>
  <c r="K185" i="6"/>
  <c r="K81" i="6"/>
  <c r="L19" i="8"/>
  <c r="L185" i="6"/>
  <c r="L81" i="6"/>
  <c r="H24" i="8"/>
  <c r="J23" i="8"/>
  <c r="F17" i="8"/>
  <c r="D26" i="8"/>
  <c r="L15" i="8"/>
  <c r="F18" i="8"/>
  <c r="H20" i="8"/>
  <c r="I16" i="8"/>
  <c r="J16" i="8" s="1"/>
  <c r="K69" i="6"/>
  <c r="L69" i="6"/>
  <c r="T9" i="3"/>
  <c r="L24" i="3"/>
  <c r="L23" i="3"/>
  <c r="L22" i="3"/>
  <c r="L20" i="3"/>
  <c r="Q9" i="3"/>
  <c r="L21" i="3"/>
  <c r="E33" i="3"/>
  <c r="E182" i="6"/>
  <c r="E55" i="6"/>
  <c r="E101" i="6"/>
  <c r="E83" i="6"/>
  <c r="E71" i="6"/>
  <c r="E22" i="6"/>
  <c r="E39" i="6"/>
  <c r="AZ67" i="4"/>
  <c r="AX67" i="4"/>
  <c r="AZ89" i="4" s="1"/>
  <c r="N41" i="3" s="1"/>
  <c r="AW67" i="4"/>
  <c r="AZ85" i="4" s="1"/>
  <c r="M41" i="3" s="1"/>
  <c r="AY67" i="4"/>
  <c r="AZ93" i="4" s="1"/>
  <c r="O41" i="3" s="1"/>
  <c r="AZ60" i="4"/>
  <c r="E18" i="3"/>
  <c r="H18" i="2" a="1"/>
  <c r="H20" i="3"/>
  <c r="D47" i="3"/>
  <c r="M24" i="3"/>
  <c r="P15" i="3"/>
  <c r="T15" i="3"/>
  <c r="J20" i="8"/>
  <c r="Q53" i="6"/>
  <c r="D24" i="3"/>
  <c r="D23" i="3"/>
  <c r="D22" i="3"/>
  <c r="D20" i="3"/>
  <c r="D21" i="3"/>
  <c r="M21" i="3"/>
  <c r="H21" i="3"/>
  <c r="D44" i="3"/>
  <c r="K20" i="3"/>
  <c r="S9" i="3"/>
  <c r="K24" i="3"/>
  <c r="K23" i="3"/>
  <c r="K22" i="3"/>
  <c r="K21" i="3"/>
  <c r="M20" i="3"/>
  <c r="H19" i="8"/>
  <c r="Q185" i="6"/>
  <c r="Q81" i="6"/>
  <c r="J15" i="8"/>
  <c r="J24" i="8"/>
  <c r="M185" i="6"/>
  <c r="M81" i="6"/>
  <c r="H188" i="6"/>
  <c r="H228" i="6"/>
  <c r="H192" i="6"/>
  <c r="H225" i="6"/>
  <c r="J186" i="6"/>
  <c r="J97" i="6"/>
  <c r="E193" i="6"/>
  <c r="E200" i="6"/>
  <c r="M37" i="6"/>
  <c r="E26" i="8"/>
  <c r="M22" i="3"/>
  <c r="G188" i="6"/>
  <c r="G192" i="6"/>
  <c r="G228" i="6"/>
  <c r="H22" i="3"/>
  <c r="AH67" i="4"/>
  <c r="AK85" i="4" s="1"/>
  <c r="M38" i="3" s="1"/>
  <c r="AK60" i="4"/>
  <c r="AI67" i="4"/>
  <c r="AK89" i="4" s="1"/>
  <c r="N38" i="3" s="1"/>
  <c r="AK67" i="4"/>
  <c r="AJ67" i="4"/>
  <c r="AK93" i="4" s="1"/>
  <c r="O38" i="3" s="1"/>
  <c r="E15" i="3"/>
  <c r="S13" i="3"/>
  <c r="H12" i="2" a="1"/>
  <c r="K238" i="6"/>
  <c r="M114" i="6"/>
  <c r="L113" i="6"/>
  <c r="I185" i="6"/>
  <c r="I81" i="6"/>
  <c r="J53" i="6"/>
  <c r="N184" i="6"/>
  <c r="N37" i="6"/>
  <c r="M69" i="6"/>
  <c r="P65" i="4"/>
  <c r="Q91" i="4" s="1"/>
  <c r="I34" i="3" s="1"/>
  <c r="O65" i="4"/>
  <c r="Q87" i="4" s="1"/>
  <c r="H34" i="3" s="1"/>
  <c r="P66" i="4"/>
  <c r="Q92" i="4" s="1"/>
  <c r="L34" i="3" s="1"/>
  <c r="O66" i="4"/>
  <c r="Q88" i="4" s="1"/>
  <c r="K34" i="3" s="1"/>
  <c r="Q66" i="4"/>
  <c r="N66" i="4"/>
  <c r="Q84" i="4" s="1"/>
  <c r="J34" i="3" s="1"/>
  <c r="Q65" i="4"/>
  <c r="N65" i="4"/>
  <c r="Q83" i="4" s="1"/>
  <c r="G34" i="3" s="1"/>
  <c r="E37" i="3"/>
  <c r="F15" i="8"/>
  <c r="Q37" i="6"/>
  <c r="S17" i="3"/>
  <c r="P17" i="3"/>
  <c r="J21" i="3"/>
  <c r="J20" i="3"/>
  <c r="J24" i="3"/>
  <c r="J22" i="3"/>
  <c r="R9" i="3"/>
  <c r="J23" i="3"/>
  <c r="P69" i="6"/>
  <c r="Q69" i="6"/>
  <c r="H33" i="8"/>
  <c r="O81" i="6"/>
  <c r="O185" i="6"/>
  <c r="R185" i="6"/>
  <c r="R81" i="6"/>
  <c r="H23" i="8"/>
  <c r="O121" i="6"/>
  <c r="T17" i="3"/>
  <c r="Q17" i="3"/>
  <c r="Q184" i="6"/>
  <c r="T16" i="3"/>
  <c r="Q16" i="3"/>
  <c r="J184" i="6"/>
  <c r="Z65" i="4"/>
  <c r="AA91" i="4" s="1"/>
  <c r="I36" i="3" s="1"/>
  <c r="Y65" i="4"/>
  <c r="AA87" i="4" s="1"/>
  <c r="H36" i="3" s="1"/>
  <c r="Z66" i="4"/>
  <c r="AA92" i="4" s="1"/>
  <c r="L36" i="3" s="1"/>
  <c r="Y66" i="4"/>
  <c r="AA88" i="4" s="1"/>
  <c r="K36" i="3" s="1"/>
  <c r="AA66" i="4"/>
  <c r="X66" i="4"/>
  <c r="AA84" i="4" s="1"/>
  <c r="J36" i="3" s="1"/>
  <c r="AA65" i="4"/>
  <c r="X65" i="4"/>
  <c r="AA83" i="4" s="1"/>
  <c r="G36" i="3" s="1"/>
  <c r="Q26" i="3"/>
  <c r="S10" i="3"/>
  <c r="P10" i="3"/>
  <c r="Q135" i="6" l="1"/>
  <c r="P196" i="6"/>
  <c r="P198" i="6" s="1"/>
  <c r="P115" i="6" s="1"/>
  <c r="I133" i="6"/>
  <c r="J133" i="6" s="1"/>
  <c r="L133" i="6" s="1"/>
  <c r="J83" i="6"/>
  <c r="J39" i="6"/>
  <c r="L43" i="8"/>
  <c r="R187" i="6"/>
  <c r="R118" i="6" s="1"/>
  <c r="R227" i="6" s="1"/>
  <c r="R228" i="6" s="1"/>
  <c r="J187" i="6"/>
  <c r="J107" i="6" s="1"/>
  <c r="P187" i="6"/>
  <c r="M47" i="3"/>
  <c r="J26" i="8"/>
  <c r="J34" i="8" s="1"/>
  <c r="I34" i="8" s="1"/>
  <c r="I26" i="8"/>
  <c r="H16" i="8"/>
  <c r="H26" i="8" s="1"/>
  <c r="H34" i="8" s="1"/>
  <c r="G34" i="8" s="1"/>
  <c r="M44" i="3"/>
  <c r="M46" i="3"/>
  <c r="L16" i="8"/>
  <c r="L26" i="8" s="1"/>
  <c r="G200" i="6"/>
  <c r="G193" i="6"/>
  <c r="N47" i="3"/>
  <c r="N46" i="3"/>
  <c r="N45" i="3"/>
  <c r="N44" i="3"/>
  <c r="N43" i="3"/>
  <c r="P121" i="6"/>
  <c r="S20" i="3"/>
  <c r="S24" i="3"/>
  <c r="S23" i="3"/>
  <c r="S21" i="3"/>
  <c r="S22" i="3"/>
  <c r="AX66" i="4"/>
  <c r="AZ88" i="4" s="1"/>
  <c r="K41" i="3" s="1"/>
  <c r="AW66" i="4"/>
  <c r="AZ84" i="4" s="1"/>
  <c r="J41" i="3" s="1"/>
  <c r="AZ65" i="4"/>
  <c r="AY65" i="4"/>
  <c r="AZ91" i="4" s="1"/>
  <c r="I41" i="3" s="1"/>
  <c r="AY66" i="4"/>
  <c r="AZ92" i="4" s="1"/>
  <c r="L41" i="3" s="1"/>
  <c r="AX65" i="4"/>
  <c r="AZ87" i="4" s="1"/>
  <c r="H41" i="3" s="1"/>
  <c r="AW65" i="4"/>
  <c r="AZ83" i="4" s="1"/>
  <c r="G41" i="3" s="1"/>
  <c r="AZ66" i="4"/>
  <c r="F18" i="3"/>
  <c r="F41" i="3"/>
  <c r="K187" i="6"/>
  <c r="L187" i="6"/>
  <c r="F16" i="8"/>
  <c r="F26" i="8" s="1"/>
  <c r="F34" i="8" s="1"/>
  <c r="E34" i="8" s="1"/>
  <c r="O187" i="6"/>
  <c r="O120" i="6" s="1"/>
  <c r="E245" i="6"/>
  <c r="E246" i="6" s="1"/>
  <c r="E201" i="6"/>
  <c r="E242" i="6"/>
  <c r="E243" i="6" s="1"/>
  <c r="E203" i="6"/>
  <c r="E205" i="6" s="1"/>
  <c r="E230" i="6" s="1"/>
  <c r="E240" i="6" s="1"/>
  <c r="M113" i="6"/>
  <c r="N114" i="6"/>
  <c r="M43" i="3"/>
  <c r="F200" i="6"/>
  <c r="F193" i="6"/>
  <c r="E20" i="3"/>
  <c r="E22" i="3"/>
  <c r="E21" i="3"/>
  <c r="E24" i="3"/>
  <c r="E23" i="3"/>
  <c r="K182" i="6"/>
  <c r="K55" i="6"/>
  <c r="K101" i="6"/>
  <c r="K83" i="6"/>
  <c r="K39" i="6"/>
  <c r="K71" i="6"/>
  <c r="K22" i="6"/>
  <c r="L20" i="6"/>
  <c r="M187" i="6"/>
  <c r="M111" i="6" s="1"/>
  <c r="I187" i="6"/>
  <c r="B79" i="4"/>
  <c r="B80" i="4"/>
  <c r="B81" i="4"/>
  <c r="R107" i="6"/>
  <c r="R21" i="3"/>
  <c r="R20" i="3"/>
  <c r="R24" i="3"/>
  <c r="R23" i="3"/>
  <c r="R22" i="3"/>
  <c r="AJ65" i="4"/>
  <c r="AK91" i="4" s="1"/>
  <c r="I38" i="3" s="1"/>
  <c r="AI65" i="4"/>
  <c r="AK87" i="4" s="1"/>
  <c r="H38" i="3" s="1"/>
  <c r="AJ66" i="4"/>
  <c r="AK92" i="4" s="1"/>
  <c r="L38" i="3" s="1"/>
  <c r="AI66" i="4"/>
  <c r="AK88" i="4" s="1"/>
  <c r="K38" i="3" s="1"/>
  <c r="AK66" i="4"/>
  <c r="AK65" i="4"/>
  <c r="AH66" i="4"/>
  <c r="AK84" i="4" s="1"/>
  <c r="J38" i="3" s="1"/>
  <c r="AH65" i="4"/>
  <c r="AK83" i="4" s="1"/>
  <c r="G38" i="3" s="1"/>
  <c r="F15" i="3"/>
  <c r="F38" i="3"/>
  <c r="M45" i="3"/>
  <c r="T24" i="3"/>
  <c r="T23" i="3"/>
  <c r="T22" i="3"/>
  <c r="T21" i="3"/>
  <c r="T20" i="3"/>
  <c r="Q187" i="6"/>
  <c r="N187" i="6"/>
  <c r="L238" i="6"/>
  <c r="E44" i="3"/>
  <c r="E47" i="3"/>
  <c r="E45" i="3"/>
  <c r="E43" i="3"/>
  <c r="E46" i="3"/>
  <c r="N112" i="6"/>
  <c r="P23" i="3"/>
  <c r="P22" i="3"/>
  <c r="P21" i="3"/>
  <c r="P20" i="3"/>
  <c r="P24" i="3"/>
  <c r="O44" i="3"/>
  <c r="O43" i="3"/>
  <c r="O47" i="3"/>
  <c r="O46" i="3"/>
  <c r="O45" i="3"/>
  <c r="P105" i="6"/>
  <c r="D274" i="6"/>
  <c r="D261" i="6"/>
  <c r="AD66" i="4"/>
  <c r="AF88" i="4" s="1"/>
  <c r="K37" i="3" s="1"/>
  <c r="AC66" i="4"/>
  <c r="AF84" i="4" s="1"/>
  <c r="J37" i="3" s="1"/>
  <c r="AF65" i="4"/>
  <c r="AE65" i="4"/>
  <c r="AF91" i="4" s="1"/>
  <c r="I37" i="3" s="1"/>
  <c r="AE66" i="4"/>
  <c r="AF92" i="4" s="1"/>
  <c r="L37" i="3" s="1"/>
  <c r="AF66" i="4"/>
  <c r="AD65" i="4"/>
  <c r="AF87" i="4" s="1"/>
  <c r="H37" i="3" s="1"/>
  <c r="AC65" i="4"/>
  <c r="AF83" i="4" s="1"/>
  <c r="G37" i="3" s="1"/>
  <c r="F37" i="3"/>
  <c r="F14" i="3"/>
  <c r="J66" i="4"/>
  <c r="L88" i="4" s="1"/>
  <c r="K33" i="3" s="1"/>
  <c r="I66" i="4"/>
  <c r="L84" i="4" s="1"/>
  <c r="J33" i="3" s="1"/>
  <c r="L65" i="4"/>
  <c r="K65" i="4"/>
  <c r="L91" i="4" s="1"/>
  <c r="I33" i="3" s="1"/>
  <c r="K66" i="4"/>
  <c r="L92" i="4" s="1"/>
  <c r="L33" i="3" s="1"/>
  <c r="L66" i="4"/>
  <c r="J65" i="4"/>
  <c r="L87" i="4" s="1"/>
  <c r="H33" i="3" s="1"/>
  <c r="I65" i="4"/>
  <c r="L83" i="4" s="1"/>
  <c r="G33" i="3" s="1"/>
  <c r="F10" i="3"/>
  <c r="F33" i="3"/>
  <c r="H13" i="2"/>
  <c r="H17" i="2"/>
  <c r="H15" i="2"/>
  <c r="H14" i="2"/>
  <c r="H12" i="2"/>
  <c r="H16" i="2"/>
  <c r="H200" i="6"/>
  <c r="H193" i="6"/>
  <c r="H20" i="2"/>
  <c r="H18" i="2"/>
  <c r="H19" i="2"/>
  <c r="Q22" i="3"/>
  <c r="Q21" i="3"/>
  <c r="Q20" i="3"/>
  <c r="Q23" i="3"/>
  <c r="Q24" i="3"/>
  <c r="R135" i="6" l="1"/>
  <c r="R196" i="6" s="1"/>
  <c r="R198" i="6" s="1"/>
  <c r="R115" i="6" s="1"/>
  <c r="Q196" i="6"/>
  <c r="Q198" i="6" s="1"/>
  <c r="Q115" i="6" s="1"/>
  <c r="M133" i="6"/>
  <c r="L132" i="6"/>
  <c r="L190" i="6" s="1"/>
  <c r="L192" i="6" s="1"/>
  <c r="P107" i="6"/>
  <c r="J103" i="6"/>
  <c r="P103" i="6"/>
  <c r="J111" i="6"/>
  <c r="J109" i="6"/>
  <c r="S187" i="6"/>
  <c r="S209" i="6" s="1"/>
  <c r="R105" i="6"/>
  <c r="J118" i="6"/>
  <c r="J227" i="6" s="1"/>
  <c r="J228" i="6" s="1"/>
  <c r="J120" i="6"/>
  <c r="P109" i="6"/>
  <c r="J224" i="6"/>
  <c r="J225" i="6" s="1"/>
  <c r="R188" i="6"/>
  <c r="R109" i="6"/>
  <c r="J192" i="6"/>
  <c r="J193" i="6" s="1"/>
  <c r="R103" i="6"/>
  <c r="J105" i="6"/>
  <c r="P118" i="6"/>
  <c r="P227" i="6" s="1"/>
  <c r="P228" i="6" s="1"/>
  <c r="C18" i="2" a="1"/>
  <c r="F18" i="2" s="1"/>
  <c r="J33" i="2" s="1"/>
  <c r="J59" i="2" s="1"/>
  <c r="D33" i="8"/>
  <c r="L33" i="8" s="1"/>
  <c r="L36" i="8" s="1"/>
  <c r="L42" i="8" s="1"/>
  <c r="D34" i="8"/>
  <c r="L34" i="8" s="1"/>
  <c r="L37" i="8" s="1"/>
  <c r="L44" i="8" s="1"/>
  <c r="H44" i="3"/>
  <c r="H46" i="3"/>
  <c r="H47" i="3"/>
  <c r="H45" i="3"/>
  <c r="H43" i="3"/>
  <c r="H201" i="6"/>
  <c r="H242" i="6"/>
  <c r="H203" i="6"/>
  <c r="H205" i="6" s="1"/>
  <c r="H230" i="6" s="1"/>
  <c r="H245" i="6"/>
  <c r="F23" i="3"/>
  <c r="F22" i="3"/>
  <c r="F21" i="3"/>
  <c r="F20" i="3"/>
  <c r="F24" i="3"/>
  <c r="K45" i="3"/>
  <c r="K44" i="3"/>
  <c r="K43" i="3"/>
  <c r="K47" i="3"/>
  <c r="K46" i="3"/>
  <c r="M238" i="6"/>
  <c r="Q188" i="6"/>
  <c r="Q224" i="6"/>
  <c r="Q225" i="6" s="1"/>
  <c r="Q109" i="6"/>
  <c r="Q107" i="6"/>
  <c r="Q105" i="6"/>
  <c r="Q118" i="6"/>
  <c r="Q227" i="6" s="1"/>
  <c r="Q228" i="6" s="1"/>
  <c r="Q103" i="6"/>
  <c r="L47" i="3"/>
  <c r="L45" i="3"/>
  <c r="L43" i="3"/>
  <c r="L46" i="3"/>
  <c r="L44" i="3"/>
  <c r="I47" i="3"/>
  <c r="I45" i="3"/>
  <c r="I43" i="3"/>
  <c r="I44" i="3"/>
  <c r="I46" i="3"/>
  <c r="G47" i="3"/>
  <c r="G46" i="3"/>
  <c r="G45" i="3"/>
  <c r="G44" i="3"/>
  <c r="G43" i="3"/>
  <c r="C20" i="2" a="1"/>
  <c r="O112" i="6"/>
  <c r="N111" i="6"/>
  <c r="N224" i="6"/>
  <c r="N225" i="6" s="1"/>
  <c r="N118" i="6"/>
  <c r="N227" i="6" s="1"/>
  <c r="N228" i="6" s="1"/>
  <c r="N109" i="6"/>
  <c r="N188" i="6"/>
  <c r="N103" i="6"/>
  <c r="N107" i="6"/>
  <c r="N105" i="6"/>
  <c r="N120" i="6"/>
  <c r="I188" i="6"/>
  <c r="I224" i="6"/>
  <c r="I225" i="6" s="1"/>
  <c r="I192" i="6"/>
  <c r="I107" i="6"/>
  <c r="I105" i="6"/>
  <c r="I120" i="6"/>
  <c r="I118" i="6"/>
  <c r="I227" i="6" s="1"/>
  <c r="I228" i="6" s="1"/>
  <c r="I109" i="6"/>
  <c r="I103" i="6"/>
  <c r="I111" i="6"/>
  <c r="F201" i="6"/>
  <c r="F242" i="6"/>
  <c r="F243" i="6" s="1"/>
  <c r="F203" i="6"/>
  <c r="F205" i="6" s="1"/>
  <c r="F230" i="6" s="1"/>
  <c r="F240" i="6" s="1"/>
  <c r="F245" i="6"/>
  <c r="F246" i="6" s="1"/>
  <c r="C19" i="2" a="1"/>
  <c r="L182" i="6"/>
  <c r="M20" i="6"/>
  <c r="L101" i="6"/>
  <c r="L83" i="6"/>
  <c r="L71" i="6"/>
  <c r="L39" i="6"/>
  <c r="L22" i="6"/>
  <c r="L55" i="6"/>
  <c r="O114" i="6"/>
  <c r="N113" i="6"/>
  <c r="L224" i="6"/>
  <c r="L225" i="6" s="1"/>
  <c r="L118" i="6"/>
  <c r="L227" i="6" s="1"/>
  <c r="L228" i="6" s="1"/>
  <c r="L120" i="6"/>
  <c r="L188" i="6"/>
  <c r="L109" i="6"/>
  <c r="L103" i="6"/>
  <c r="L107" i="6"/>
  <c r="L105" i="6"/>
  <c r="L111" i="6"/>
  <c r="M118" i="6"/>
  <c r="M227" i="6" s="1"/>
  <c r="M228" i="6"/>
  <c r="M188" i="6"/>
  <c r="M224" i="6"/>
  <c r="M225" i="6" s="1"/>
  <c r="M109" i="6"/>
  <c r="M103" i="6"/>
  <c r="M107" i="6"/>
  <c r="M105" i="6"/>
  <c r="M120" i="6"/>
  <c r="O118" i="6"/>
  <c r="O227" i="6" s="1"/>
  <c r="O228" i="6" s="1"/>
  <c r="O188" i="6"/>
  <c r="O109" i="6"/>
  <c r="O224" i="6"/>
  <c r="O225" i="6" s="1"/>
  <c r="O103" i="6"/>
  <c r="O107" i="6"/>
  <c r="O105" i="6"/>
  <c r="D275" i="6"/>
  <c r="D262" i="6"/>
  <c r="P224" i="6"/>
  <c r="P225" i="6" s="1"/>
  <c r="P188" i="6"/>
  <c r="F46" i="3"/>
  <c r="F45" i="3"/>
  <c r="F44" i="3"/>
  <c r="F43" i="3"/>
  <c r="F47" i="3"/>
  <c r="J46" i="3"/>
  <c r="J44" i="3"/>
  <c r="J45" i="3"/>
  <c r="J43" i="3"/>
  <c r="J47" i="3"/>
  <c r="R224" i="6"/>
  <c r="R225" i="6" s="1"/>
  <c r="J188" i="6"/>
  <c r="K224" i="6"/>
  <c r="K225" i="6" s="1"/>
  <c r="K192" i="6"/>
  <c r="K228" i="6"/>
  <c r="K188" i="6"/>
  <c r="K105" i="6"/>
  <c r="K118" i="6"/>
  <c r="K227" i="6" s="1"/>
  <c r="K109" i="6"/>
  <c r="K103" i="6"/>
  <c r="K107" i="6"/>
  <c r="K120" i="6"/>
  <c r="K111" i="6"/>
  <c r="Q121" i="6"/>
  <c r="P120" i="6"/>
  <c r="G201" i="6"/>
  <c r="G242" i="6"/>
  <c r="G245" i="6"/>
  <c r="G203" i="6"/>
  <c r="G205" i="6" s="1"/>
  <c r="G230" i="6" s="1"/>
  <c r="N133" i="6" l="1"/>
  <c r="M132" i="6"/>
  <c r="M190" i="6" s="1"/>
  <c r="M192" i="6" s="1"/>
  <c r="S210" i="6"/>
  <c r="S212" i="6" s="1"/>
  <c r="S192" i="6"/>
  <c r="S193" i="6" s="1"/>
  <c r="S227" i="6"/>
  <c r="S200" i="6"/>
  <c r="S242" i="6" s="1"/>
  <c r="S224" i="6"/>
  <c r="J200" i="6"/>
  <c r="J242" i="6" s="1"/>
  <c r="G243" i="6"/>
  <c r="G240" i="6"/>
  <c r="G246" i="6"/>
  <c r="C13" i="2" a="1"/>
  <c r="C13" i="2" s="1"/>
  <c r="M28" i="2" s="1"/>
  <c r="M44" i="2" s="1"/>
  <c r="C18" i="2"/>
  <c r="M33" i="2" s="1"/>
  <c r="M59" i="2" s="1"/>
  <c r="E18" i="2"/>
  <c r="K33" i="2" s="1"/>
  <c r="K59" i="2" s="1"/>
  <c r="L46" i="8"/>
  <c r="D142" i="6" s="1"/>
  <c r="G18" i="2"/>
  <c r="I33" i="2" s="1"/>
  <c r="I59" i="2" s="1"/>
  <c r="D18" i="2"/>
  <c r="L33" i="2" s="1"/>
  <c r="L59" i="2" s="1"/>
  <c r="C15" i="2" a="1"/>
  <c r="E15" i="2" s="1"/>
  <c r="K30" i="2" s="1"/>
  <c r="K50" i="2" s="1"/>
  <c r="G19" i="2"/>
  <c r="I34" i="2" s="1"/>
  <c r="I62" i="2" s="1"/>
  <c r="F19" i="2"/>
  <c r="J34" i="2" s="1"/>
  <c r="J62" i="2" s="1"/>
  <c r="E19" i="2"/>
  <c r="K34" i="2" s="1"/>
  <c r="K62" i="2" s="1"/>
  <c r="D19" i="2"/>
  <c r="L34" i="2" s="1"/>
  <c r="L62" i="2" s="1"/>
  <c r="C19" i="2"/>
  <c r="M34" i="2" s="1"/>
  <c r="M62" i="2" s="1"/>
  <c r="G13" i="2"/>
  <c r="I28" i="2" s="1"/>
  <c r="I44" i="2" s="1"/>
  <c r="K193" i="6"/>
  <c r="K200" i="6"/>
  <c r="C17" i="2" a="1"/>
  <c r="C16" i="2" a="1"/>
  <c r="H240" i="6"/>
  <c r="H246" i="6"/>
  <c r="S245" i="6"/>
  <c r="O111" i="6"/>
  <c r="P112" i="6"/>
  <c r="D276" i="6"/>
  <c r="B23" i="2"/>
  <c r="B34" i="1" s="1"/>
  <c r="P114" i="6"/>
  <c r="O113" i="6"/>
  <c r="M193" i="6"/>
  <c r="M200" i="6"/>
  <c r="L193" i="6"/>
  <c r="L200" i="6"/>
  <c r="I200" i="6"/>
  <c r="I193" i="6"/>
  <c r="G20" i="2"/>
  <c r="I35" i="2" s="1"/>
  <c r="I65" i="2" s="1"/>
  <c r="D20" i="2"/>
  <c r="L35" i="2" s="1"/>
  <c r="L65" i="2" s="1"/>
  <c r="C20" i="2"/>
  <c r="M35" i="2" s="1"/>
  <c r="M65" i="2" s="1"/>
  <c r="F20" i="2"/>
  <c r="J35" i="2" s="1"/>
  <c r="J65" i="2" s="1"/>
  <c r="E20" i="2"/>
  <c r="K35" i="2" s="1"/>
  <c r="K65" i="2" s="1"/>
  <c r="C14" i="2" a="1"/>
  <c r="H243" i="6"/>
  <c r="R121" i="6"/>
  <c r="R120" i="6" s="1"/>
  <c r="Q120" i="6"/>
  <c r="M182" i="6"/>
  <c r="M55" i="6"/>
  <c r="M101" i="6"/>
  <c r="M83" i="6"/>
  <c r="M71" i="6"/>
  <c r="M22" i="6"/>
  <c r="N20" i="6"/>
  <c r="M39" i="6"/>
  <c r="C12" i="2" a="1"/>
  <c r="N238" i="6"/>
  <c r="O133" i="6" l="1"/>
  <c r="N132" i="6"/>
  <c r="N190" i="6" s="1"/>
  <c r="N192" i="6" s="1"/>
  <c r="S203" i="6"/>
  <c r="S205" i="6" s="1"/>
  <c r="S230" i="6" s="1"/>
  <c r="J201" i="6"/>
  <c r="J245" i="6"/>
  <c r="J203" i="6"/>
  <c r="J205" i="6" s="1"/>
  <c r="J230" i="6" s="1"/>
  <c r="J231" i="6" s="1"/>
  <c r="D13" i="2"/>
  <c r="L28" i="2" s="1"/>
  <c r="L44" i="2" s="1"/>
  <c r="E13" i="2"/>
  <c r="K28" i="2" s="1"/>
  <c r="K44" i="2" s="1"/>
  <c r="F13" i="2"/>
  <c r="J28" i="2" s="1"/>
  <c r="J44" i="2" s="1"/>
  <c r="C15" i="2"/>
  <c r="M30" i="2" s="1"/>
  <c r="M50" i="2" s="1"/>
  <c r="D15" i="2"/>
  <c r="L30" i="2" s="1"/>
  <c r="L50" i="2" s="1"/>
  <c r="F15" i="2"/>
  <c r="J30" i="2" s="1"/>
  <c r="J50" i="2" s="1"/>
  <c r="G15" i="2"/>
  <c r="I30" i="2" s="1"/>
  <c r="I50" i="2" s="1"/>
  <c r="S231" i="6"/>
  <c r="G14" i="2"/>
  <c r="I29" i="2" s="1"/>
  <c r="I47" i="2" s="1"/>
  <c r="D14" i="2"/>
  <c r="L29" i="2" s="1"/>
  <c r="L47" i="2" s="1"/>
  <c r="C14" i="2"/>
  <c r="M29" i="2" s="1"/>
  <c r="M47" i="2" s="1"/>
  <c r="F14" i="2"/>
  <c r="J29" i="2" s="1"/>
  <c r="J47" i="2" s="1"/>
  <c r="E14" i="2"/>
  <c r="K29" i="2" s="1"/>
  <c r="K47" i="2" s="1"/>
  <c r="L245" i="6"/>
  <c r="L201" i="6"/>
  <c r="L242" i="6"/>
  <c r="L203" i="6"/>
  <c r="L205" i="6" s="1"/>
  <c r="L230" i="6" s="1"/>
  <c r="I201" i="6"/>
  <c r="I242" i="6"/>
  <c r="I243" i="6" s="1"/>
  <c r="I203" i="6"/>
  <c r="I205" i="6" s="1"/>
  <c r="I230" i="6" s="1"/>
  <c r="I245" i="6"/>
  <c r="I246" i="6" s="1"/>
  <c r="Q114" i="6"/>
  <c r="P113" i="6"/>
  <c r="D16" i="2"/>
  <c r="L31" i="2" s="1"/>
  <c r="L53" i="2" s="1"/>
  <c r="C16" i="2"/>
  <c r="M31" i="2" s="1"/>
  <c r="M53" i="2" s="1"/>
  <c r="F16" i="2"/>
  <c r="J31" i="2" s="1"/>
  <c r="J53" i="2" s="1"/>
  <c r="E16" i="2"/>
  <c r="K31" i="2" s="1"/>
  <c r="K53" i="2" s="1"/>
  <c r="G16" i="2"/>
  <c r="I31" i="2" s="1"/>
  <c r="I53" i="2" s="1"/>
  <c r="C12" i="2"/>
  <c r="M27" i="2" s="1"/>
  <c r="M41" i="2" s="1"/>
  <c r="F12" i="2"/>
  <c r="J27" i="2" s="1"/>
  <c r="J41" i="2" s="1"/>
  <c r="E12" i="2"/>
  <c r="K27" i="2" s="1"/>
  <c r="K41" i="2" s="1"/>
  <c r="D12" i="2"/>
  <c r="L27" i="2" s="1"/>
  <c r="L41" i="2" s="1"/>
  <c r="G12" i="2"/>
  <c r="I27" i="2" s="1"/>
  <c r="M245" i="6"/>
  <c r="M242" i="6"/>
  <c r="M203" i="6"/>
  <c r="M205" i="6" s="1"/>
  <c r="M230" i="6" s="1"/>
  <c r="M201" i="6"/>
  <c r="Q112" i="6"/>
  <c r="P111" i="6"/>
  <c r="G17" i="2"/>
  <c r="I32" i="2" s="1"/>
  <c r="I56" i="2" s="1"/>
  <c r="E17" i="2"/>
  <c r="K32" i="2" s="1"/>
  <c r="K56" i="2" s="1"/>
  <c r="C17" i="2"/>
  <c r="M32" i="2" s="1"/>
  <c r="M56" i="2" s="1"/>
  <c r="F17" i="2"/>
  <c r="J32" i="2" s="1"/>
  <c r="J56" i="2" s="1"/>
  <c r="D17" i="2"/>
  <c r="L32" i="2" s="1"/>
  <c r="L56" i="2" s="1"/>
  <c r="O238" i="6"/>
  <c r="N101" i="6"/>
  <c r="N83" i="6"/>
  <c r="N71" i="6"/>
  <c r="N182" i="6"/>
  <c r="N22" i="6"/>
  <c r="N39" i="6"/>
  <c r="N55" i="6"/>
  <c r="O20" i="6"/>
  <c r="K242" i="6"/>
  <c r="K243" i="6" s="1"/>
  <c r="K203" i="6"/>
  <c r="K205" i="6" s="1"/>
  <c r="K230" i="6" s="1"/>
  <c r="K245" i="6"/>
  <c r="K201" i="6"/>
  <c r="N193" i="6" l="1"/>
  <c r="N200" i="6"/>
  <c r="P133" i="6"/>
  <c r="O132" i="6"/>
  <c r="O190" i="6" s="1"/>
  <c r="O192" i="6" s="1"/>
  <c r="J240" i="6"/>
  <c r="K246" i="6"/>
  <c r="M243" i="6"/>
  <c r="J246" i="6"/>
  <c r="M246" i="6"/>
  <c r="J243" i="6"/>
  <c r="M240" i="6"/>
  <c r="M231" i="6"/>
  <c r="K240" i="6"/>
  <c r="K231" i="6"/>
  <c r="O182" i="6"/>
  <c r="O55" i="6"/>
  <c r="O101" i="6"/>
  <c r="O83" i="6"/>
  <c r="O22" i="6"/>
  <c r="O71" i="6"/>
  <c r="P20" i="6"/>
  <c r="O39" i="6"/>
  <c r="P238" i="6"/>
  <c r="E27" i="2"/>
  <c r="E37" i="2" s="1"/>
  <c r="E41" i="2" s="1"/>
  <c r="I41" i="2"/>
  <c r="Q111" i="6"/>
  <c r="R112" i="6"/>
  <c r="R111" i="6" s="1"/>
  <c r="L246" i="6"/>
  <c r="I240" i="6"/>
  <c r="I231" i="6"/>
  <c r="I233" i="6" s="1"/>
  <c r="N149" i="6"/>
  <c r="L231" i="6"/>
  <c r="L240" i="6"/>
  <c r="Q113" i="6"/>
  <c r="R114" i="6"/>
  <c r="R113" i="6" s="1"/>
  <c r="L243" i="6"/>
  <c r="O200" i="6" l="1"/>
  <c r="O193" i="6"/>
  <c r="Q133" i="6"/>
  <c r="P132" i="6"/>
  <c r="P190" i="6" s="1"/>
  <c r="P192" i="6" s="1"/>
  <c r="N242" i="6"/>
  <c r="N243" i="6" s="1"/>
  <c r="N203" i="6"/>
  <c r="N205" i="6" s="1"/>
  <c r="N230" i="6" s="1"/>
  <c r="N201" i="6"/>
  <c r="N245" i="6"/>
  <c r="N246" i="6" s="1"/>
  <c r="N153" i="6"/>
  <c r="I153" i="6"/>
  <c r="H63" i="2"/>
  <c r="H51" i="2"/>
  <c r="H66" i="2"/>
  <c r="H54" i="2"/>
  <c r="H69" i="2"/>
  <c r="E42" i="2"/>
  <c r="H72" i="2"/>
  <c r="H45" i="2"/>
  <c r="H60" i="2"/>
  <c r="E47" i="2"/>
  <c r="H48" i="2"/>
  <c r="H57" i="2"/>
  <c r="H42" i="2"/>
  <c r="E46" i="2"/>
  <c r="P182" i="6"/>
  <c r="P101" i="6"/>
  <c r="P83" i="6"/>
  <c r="P71" i="6"/>
  <c r="P22" i="6"/>
  <c r="Q20" i="6"/>
  <c r="P55" i="6"/>
  <c r="P39" i="6"/>
  <c r="Q238" i="6"/>
  <c r="R133" i="6" l="1"/>
  <c r="R132" i="6" s="1"/>
  <c r="R190" i="6" s="1"/>
  <c r="R192" i="6" s="1"/>
  <c r="Q132" i="6"/>
  <c r="Q190" i="6" s="1"/>
  <c r="Q192" i="6" s="1"/>
  <c r="N240" i="6"/>
  <c r="N231" i="6"/>
  <c r="P200" i="6"/>
  <c r="P193" i="6"/>
  <c r="O242" i="6"/>
  <c r="O201" i="6"/>
  <c r="O203" i="6"/>
  <c r="O205" i="6" s="1"/>
  <c r="O230" i="6" s="1"/>
  <c r="O245" i="6"/>
  <c r="O246" i="6" s="1"/>
  <c r="E49" i="2"/>
  <c r="R238" i="6"/>
  <c r="Q182" i="6"/>
  <c r="Q101" i="6"/>
  <c r="Q83" i="6"/>
  <c r="Q71" i="6"/>
  <c r="Q55" i="6"/>
  <c r="R20" i="6"/>
  <c r="Q39" i="6"/>
  <c r="Q22" i="6"/>
  <c r="O243" i="6" l="1"/>
  <c r="P242" i="6"/>
  <c r="P243" i="6" s="1"/>
  <c r="P201" i="6"/>
  <c r="P203" i="6"/>
  <c r="P205" i="6" s="1"/>
  <c r="P230" i="6" s="1"/>
  <c r="P245" i="6"/>
  <c r="P246" i="6" s="1"/>
  <c r="Q200" i="6"/>
  <c r="Q193" i="6"/>
  <c r="O240" i="6"/>
  <c r="O231" i="6"/>
  <c r="R193" i="6"/>
  <c r="R200" i="6"/>
  <c r="S238" i="6"/>
  <c r="R182" i="6"/>
  <c r="R101" i="6"/>
  <c r="R71" i="6"/>
  <c r="R39" i="6"/>
  <c r="R83" i="6"/>
  <c r="R55" i="6"/>
  <c r="R22" i="6"/>
  <c r="Q242" i="6" l="1"/>
  <c r="Q243" i="6" s="1"/>
  <c r="Q203" i="6"/>
  <c r="Q205" i="6" s="1"/>
  <c r="Q230" i="6" s="1"/>
  <c r="Q245" i="6"/>
  <c r="Q246" i="6" s="1"/>
  <c r="Q201" i="6"/>
  <c r="P231" i="6"/>
  <c r="P240" i="6"/>
  <c r="R245" i="6"/>
  <c r="R201" i="6"/>
  <c r="R203" i="6"/>
  <c r="R205" i="6" s="1"/>
  <c r="R230" i="6" s="1"/>
  <c r="R242" i="6"/>
  <c r="S182" i="6"/>
  <c r="J235" i="6"/>
  <c r="S246" i="6" l="1"/>
  <c r="R246" i="6"/>
  <c r="Q240" i="6"/>
  <c r="Q231" i="6"/>
  <c r="S243" i="6"/>
  <c r="I149" i="6"/>
  <c r="I150" i="6" s="1"/>
  <c r="R243" i="6"/>
  <c r="N150" i="6"/>
  <c r="R231" i="6"/>
  <c r="R240" i="6"/>
  <c r="S240" i="6"/>
  <c r="K235" i="6"/>
  <c r="L235" i="6" s="1"/>
  <c r="M235" i="6" s="1"/>
  <c r="N235" i="6" s="1"/>
  <c r="O235" i="6" s="1"/>
  <c r="P235" i="6" s="1"/>
  <c r="Q235" i="6" s="1"/>
  <c r="R235" i="6" s="1"/>
  <c r="J236" i="6"/>
  <c r="K236" i="6" s="1"/>
  <c r="L236" i="6" s="1"/>
  <c r="M236" i="6" l="1"/>
  <c r="N236" i="6" s="1"/>
  <c r="O236" i="6" s="1"/>
  <c r="P236" i="6" s="1"/>
  <c r="Q236" i="6" s="1"/>
  <c r="R236" i="6" s="1"/>
  <c r="J233" i="6"/>
  <c r="K233" i="6" l="1"/>
  <c r="S236" i="6"/>
  <c r="I152" i="6"/>
  <c r="N152" i="6"/>
  <c r="N154" i="6" l="1"/>
  <c r="I154" i="6"/>
  <c r="I156" i="6" s="1"/>
  <c r="L233" i="6"/>
  <c r="M233" i="6" l="1"/>
  <c r="N156" i="6"/>
  <c r="N233" i="6" l="1"/>
  <c r="O233" i="6" l="1"/>
  <c r="P233" i="6" l="1"/>
  <c r="Q233" i="6" l="1"/>
  <c r="R233" i="6" l="1"/>
  <c r="E181" i="6"/>
  <c r="E19" i="6"/>
  <c r="E100" i="6"/>
  <c r="I176" i="6"/>
  <c r="I179" i="6"/>
  <c r="I169" i="6"/>
  <c r="N172" i="6"/>
  <c r="D253" i="6"/>
  <c r="N177" i="6"/>
  <c r="N162" i="6"/>
  <c r="N167" i="6"/>
  <c r="N171" i="6"/>
  <c r="N176" i="6"/>
  <c r="N179" i="6"/>
  <c r="N169" i="6"/>
  <c r="I100" i="6"/>
  <c r="I19" i="6"/>
  <c r="I181" i="6"/>
  <c r="I172" i="6"/>
  <c r="I177" i="6"/>
  <c r="I162" i="6"/>
  <c r="I167" i="6"/>
  <c r="I171" i="6"/>
  <c r="D267"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32" authorId="0" shapeId="0" xr:uid="{00000000-0006-0000-0100-000001000000}">
      <text>
        <r>
          <rPr>
            <sz val="11"/>
            <color theme="1"/>
            <rFont val="Calibri"/>
          </rPr>
          <t>======
ID#AAAAJLH6R-Y
BIWS    (2020-03-03 21:36:25)
Check to see if convertible bonds convert; only count fair value of Debt if share price &lt; conversion price.</t>
        </r>
      </text>
    </comment>
  </commentList>
  <extLst>
    <ext xmlns:r="http://schemas.openxmlformats.org/officeDocument/2006/relationships" uri="GoogleSheetsCustomDataVersion1">
      <go:sheetsCustomData xmlns:go="http://customooxmlschemas.google.com/" r:id="rId1" roundtripDataSignature="AMtx7mg8ot5CithMrzRAJxxWN/YHp5ICf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Z10" authorId="0" shapeId="0" xr:uid="{00000000-0006-0000-0300-000036000000}">
      <text>
        <r>
          <rPr>
            <sz val="11"/>
            <color theme="1"/>
            <rFont val="Calibri"/>
          </rPr>
          <t>======
ID#AAAAJLH6SAc
BIWS    (2020-02-12 11:07:40)
$4.9 million of one-time termination costs.</t>
        </r>
      </text>
    </comment>
    <comment ref="AD10" authorId="0" shapeId="0" xr:uid="{00000000-0006-0000-0300-000045000000}">
      <text>
        <r>
          <rPr>
            <sz val="11"/>
            <color theme="1"/>
            <rFont val="Calibri"/>
          </rPr>
          <t>======
ID#AAAAJLH6R9g
BIWS    (2020-02-12 11:07:40)
True North integration costs.</t>
        </r>
      </text>
    </comment>
    <comment ref="AE10" authorId="0" shapeId="0" xr:uid="{00000000-0006-0000-0300-00003D000000}">
      <text>
        <r>
          <rPr>
            <sz val="11"/>
            <color theme="1"/>
            <rFont val="Calibri"/>
          </rPr>
          <t>======
ID#AAAAJLH6R9M
BIWS    (2020-02-12 11:07:40)
Biogen shutdown costs.</t>
        </r>
      </text>
    </comment>
    <comment ref="AS10" authorId="0" shapeId="0" xr:uid="{00000000-0006-0000-0300-000002000000}">
      <text>
        <r>
          <rPr>
            <sz val="11"/>
            <color theme="1"/>
            <rFont val="Calibri"/>
          </rPr>
          <t>======
ID#AAAAJLH6R_8
BIWS    (2020-02-12 11:07:40)
Change in contingent consideration value + restructuring + 0.6 acquisition costs.</t>
        </r>
      </text>
    </comment>
    <comment ref="AT10" authorId="0" shapeId="0" xr:uid="{00000000-0006-0000-0300-000032000000}">
      <text>
        <r>
          <rPr>
            <sz val="11"/>
            <color theme="1"/>
            <rFont val="Calibri"/>
          </rPr>
          <t>======
ID#AAAAJLH6R8U
BIWS    (2020-02-12 11:07:40)
Change in value of contingent consideration + 17.6 of merger costs.</t>
        </r>
      </text>
    </comment>
    <comment ref="AY10" authorId="0" shapeId="0" xr:uid="{00000000-0006-0000-0300-00003A000000}">
      <text>
        <r>
          <rPr>
            <sz val="11"/>
            <color theme="1"/>
            <rFont val="Calibri"/>
          </rPr>
          <t>======
ID#AAAAJLH6R8g
BIWS    (2020-02-12 11:07:40)
Change in contingent consideration value + write-downs + restructuring + retention payment costs.</t>
        </r>
      </text>
    </comment>
    <comment ref="BD10" authorId="0" shapeId="0" xr:uid="{00000000-0006-0000-0300-000007000000}">
      <text>
        <r>
          <rPr>
            <sz val="11"/>
            <color theme="1"/>
            <rFont val="Calibri"/>
          </rPr>
          <t>======
ID#AAAAJLH6R-0
BIWS    (2020-02-12 11:07:40)
Acquired in-process R&amp;D + merger costs + contract termination fee.</t>
        </r>
      </text>
    </comment>
    <comment ref="AE11" authorId="0" shapeId="0" xr:uid="{00000000-0006-0000-0300-000026000000}">
      <text>
        <r>
          <rPr>
            <sz val="11"/>
            <color theme="1"/>
            <rFont val="Calibri"/>
          </rPr>
          <t>======
ID#AAAAJLH6SAI
BIWS    (2020-02-12 11:07:40)
Subtracting accelerated Depreciation associated with Biogen shutdown.</t>
        </r>
      </text>
    </comment>
    <comment ref="AI11" authorId="0" shapeId="0" xr:uid="{00000000-0006-0000-0300-000023000000}">
      <text>
        <r>
          <rPr>
            <sz val="11"/>
            <color theme="1"/>
            <rFont val="Calibri"/>
          </rPr>
          <t>======
ID#AAAAJLH6R6Y
BIWS    (2020-02-12 11:07:40)
Subtracting out amortization of debt discount and deferred financing costs.</t>
        </r>
      </text>
    </comment>
    <comment ref="G14" authorId="0" shapeId="0" xr:uid="{00000000-0006-0000-0300-00002B000000}">
      <text>
        <r>
          <rPr>
            <sz val="11"/>
            <color theme="1"/>
            <rFont val="Calibri"/>
          </rPr>
          <t>======
ID#AAAAJLH6SAM
BIWS    (2020-02-12 11:07:40)
Based on most recent annual financial statements. Huge losses, so tough to determine.</t>
        </r>
      </text>
    </comment>
    <comment ref="L14" authorId="0" shapeId="0" xr:uid="{00000000-0006-0000-0300-000044000000}">
      <text>
        <r>
          <rPr>
            <sz val="11"/>
            <color theme="1"/>
            <rFont val="Calibri"/>
          </rPr>
          <t>======
ID#AAAAJLH6R9E
BIWS    (2020-02-12 11:07:40)
Based on most recent annual financial statements.</t>
        </r>
      </text>
    </comment>
    <comment ref="Q14" authorId="0" shapeId="0" xr:uid="{00000000-0006-0000-0300-000015000000}">
      <text>
        <r>
          <rPr>
            <sz val="11"/>
            <color theme="1"/>
            <rFont val="Calibri"/>
          </rPr>
          <t>======
ID#AAAAJLH6R6A
BIWS    (2020-02-12 11:07:40)
Average of past 3 years of effective tax rates.</t>
        </r>
      </text>
    </comment>
    <comment ref="V14" authorId="0" shapeId="0" xr:uid="{00000000-0006-0000-0300-000016000000}">
      <text>
        <r>
          <rPr>
            <sz val="11"/>
            <color theme="1"/>
            <rFont val="Calibri"/>
          </rPr>
          <t>======
ID#AAAAJLH6SAQ
BIWS    (2020-02-12 11:07:40)
Based on most recent annual financial statements. Historically, the company has paid a normal tax rate only once in the past ~10 years.</t>
        </r>
      </text>
    </comment>
    <comment ref="AA14" authorId="0" shapeId="0" xr:uid="{00000000-0006-0000-0300-00002A000000}">
      <text>
        <r>
          <rPr>
            <sz val="11"/>
            <color theme="1"/>
            <rFont val="Calibri"/>
          </rPr>
          <t>======
ID#AAAAJLH6R6c
BIWS    (2020-02-12 11:07:40)
Based on most recent annual financial statements. Other years had negative Pre-Tax Income, so not a great proxy.</t>
        </r>
      </text>
    </comment>
    <comment ref="AF14" authorId="0" shapeId="0" xr:uid="{00000000-0006-0000-0300-00003F000000}">
      <text>
        <r>
          <rPr>
            <sz val="11"/>
            <color theme="1"/>
            <rFont val="Calibri"/>
          </rPr>
          <t>======
ID#AAAAJLH6R9Q
BIWS    (2020-02-12 11:07:40)
Based on projected Net Income / Pre-Tax Income.</t>
        </r>
      </text>
    </comment>
    <comment ref="AK14" authorId="0" shapeId="0" xr:uid="{00000000-0006-0000-0300-000046000000}">
      <text>
        <r>
          <rPr>
            <sz val="11"/>
            <color theme="1"/>
            <rFont val="Calibri"/>
          </rPr>
          <t>======
ID#AAAAJLH6R9o
BIWS    (2020-02-12 11:07:40)
Based on most recent annual financial statements. Previous years have strange items.</t>
        </r>
      </text>
    </comment>
    <comment ref="AP14" authorId="0" shapeId="0" xr:uid="{00000000-0006-0000-0300-000021000000}">
      <text>
        <r>
          <rPr>
            <sz val="11"/>
            <color theme="1"/>
            <rFont val="Calibri"/>
          </rPr>
          <t>======
ID#AAAAJLH6R5s
BIWS    (2020-02-12 11:07:40)
Based on most recent annual report; nothing else to go on, and historically, the company has never paid anything close to a normal tax rate.</t>
        </r>
      </text>
    </comment>
    <comment ref="AU14" authorId="0" shapeId="0" xr:uid="{00000000-0006-0000-0300-000035000000}">
      <text>
        <r>
          <rPr>
            <sz val="11"/>
            <color theme="1"/>
            <rFont val="Calibri"/>
          </rPr>
          <t>======
ID#AAAAJLH6R6w
BIWS    (2020-02-12 11:07:40)
Based on average rate in 2014 and 2015; last two "normal" years with positive pre-tax income.</t>
        </r>
      </text>
    </comment>
    <comment ref="AZ14" authorId="0" shapeId="0" xr:uid="{00000000-0006-0000-0300-000017000000}">
      <text>
        <r>
          <rPr>
            <sz val="11"/>
            <color theme="1"/>
            <rFont val="Calibri"/>
          </rPr>
          <t>======
ID#AAAAJLH6R_o
BIWS    (2020-02-12 11:07:40)
Based on historical average of last 3 years' effective tax rates in 10-K.</t>
        </r>
      </text>
    </comment>
    <comment ref="BE14" authorId="0" shapeId="0" xr:uid="{00000000-0006-0000-0300-000028000000}">
      <text>
        <r>
          <rPr>
            <sz val="11"/>
            <color theme="1"/>
            <rFont val="Calibri"/>
          </rPr>
          <t>======
ID#AAAAJLH6R-w
BIWS    (2020-02-12 11:07:40)
Based on figure used in forecasts.</t>
        </r>
      </text>
    </comment>
    <comment ref="AP18" authorId="0" shapeId="0" xr:uid="{00000000-0006-0000-0300-000024000000}">
      <text>
        <r>
          <rPr>
            <sz val="11"/>
            <color theme="1"/>
            <rFont val="Calibri"/>
          </rPr>
          <t>======
ID#AAAAJLH6R5w
BIWS    (2020-02-12 11:07:40)
Both included in "Other Assets."</t>
        </r>
      </text>
    </comment>
    <comment ref="BE18" authorId="0" shapeId="0" xr:uid="{00000000-0006-0000-0300-000012000000}">
      <text>
        <r>
          <rPr>
            <sz val="11"/>
            <color theme="1"/>
            <rFont val="Calibri"/>
          </rPr>
          <t>======
ID#AAAAJLH6R68
BIWS    (2020-02-12 11:07:40)
Arrivo Bioventures investment disclosed in 10-K. Only the first $5 out of $25 million has been invested.</t>
        </r>
      </text>
    </comment>
    <comment ref="G20" authorId="0" shapeId="0" xr:uid="{00000000-0006-0000-0300-000027000000}">
      <text>
        <r>
          <rPr>
            <sz val="11"/>
            <color theme="1"/>
            <rFont val="Calibri"/>
          </rPr>
          <t>======
ID#AAAAJLH6R_g
BIWS    (2020-02-12 11:07:40)
Reduced proportionally by Valuation Allowance netted against Gross DTA.</t>
        </r>
      </text>
    </comment>
    <comment ref="L20" authorId="0" shapeId="0" xr:uid="{00000000-0006-0000-0300-00000A000000}">
      <text>
        <r>
          <rPr>
            <sz val="11"/>
            <color theme="1"/>
            <rFont val="Calibri"/>
          </rPr>
          <t>======
ID#AAAAJLH6R6I
BIWS    (2020-02-12 11:07:40)
Portion within DTA in 10-K; valuation allowance is small, so not netting it.</t>
        </r>
      </text>
    </comment>
    <comment ref="Q20" authorId="0" shapeId="0" xr:uid="{00000000-0006-0000-0300-000048000000}">
      <text>
        <r>
          <rPr>
            <sz val="11"/>
            <color theme="1"/>
            <rFont val="Calibri"/>
          </rPr>
          <t>======
ID#AAAAJLH6R8w
BIWS    (2020-02-12 11:07:40)
Company has $55 million of state NOLs, but they're not listed in the DTA… so not listing anything here.</t>
        </r>
      </text>
    </comment>
    <comment ref="V20" authorId="0" shapeId="0" xr:uid="{00000000-0006-0000-0300-00002E000000}">
      <text>
        <r>
          <rPr>
            <sz val="11"/>
            <color theme="1"/>
            <rFont val="Calibri"/>
          </rPr>
          <t>======
ID#AAAAJLH6R8I
BIWS    (2020-02-12 11:07:40)
Reduced proportionally by Valuation Allowance netted against Gross DTA.</t>
        </r>
      </text>
    </comment>
    <comment ref="AA20" authorId="0" shapeId="0" xr:uid="{00000000-0006-0000-0300-000011000000}">
      <text>
        <r>
          <rPr>
            <sz val="11"/>
            <color theme="1"/>
            <rFont val="Calibri"/>
          </rPr>
          <t>======
ID#AAAAJLH6R64
BIWS    (2020-02-12 11:07:40)
Reduced proportionally by Valuation Allowance netted against Gross DTA.</t>
        </r>
      </text>
    </comment>
    <comment ref="AF20" authorId="0" shapeId="0" xr:uid="{00000000-0006-0000-0300-00000E000000}">
      <text>
        <r>
          <rPr>
            <sz val="11"/>
            <color theme="1"/>
            <rFont val="Calibri"/>
          </rPr>
          <t>======
ID#AAAAJLH6SA8
BIWS    (2020-02-12 11:07:40)
Company had significant NOLs, but DTA went to near-0 in most recent quarter.</t>
        </r>
      </text>
    </comment>
    <comment ref="AK20" authorId="0" shapeId="0" xr:uid="{00000000-0006-0000-0300-000001000000}">
      <text>
        <r>
          <rPr>
            <sz val="11"/>
            <color theme="1"/>
            <rFont val="Calibri"/>
          </rPr>
          <t>======
ID#AAAAJLH6R_0
BIWS    (2020-02-12 11:07:40)
Company had some NOLs in its 10-K, but DTA balance is so low as of Q2 that it's not worth even counting them here.</t>
        </r>
      </text>
    </comment>
    <comment ref="AP20" authorId="0" shapeId="0" xr:uid="{00000000-0006-0000-0300-00001B000000}">
      <text>
        <r>
          <rPr>
            <sz val="11"/>
            <color theme="1"/>
            <rFont val="Calibri"/>
          </rPr>
          <t>======
ID#AAAAJLH6R6o
BIWS    (2020-02-12 11:07:40)
Reduced proportionally by Valuation Allowance netted against Gross DTA.</t>
        </r>
      </text>
    </comment>
    <comment ref="AU20" authorId="0" shapeId="0" xr:uid="{00000000-0006-0000-0300-00000D000000}">
      <text>
        <r>
          <rPr>
            <sz val="11"/>
            <color theme="1"/>
            <rFont val="Calibri"/>
          </rPr>
          <t>======
ID#AAAAJLH6R70
BIWS    (2020-02-12 11:07:40)
The company has NOLs, but only $4.4 of DTAs as of this quarter - so small now that they're not worth including.</t>
        </r>
      </text>
    </comment>
    <comment ref="AZ20" authorId="0" shapeId="0" xr:uid="{00000000-0006-0000-0300-00000C000000}">
      <text>
        <r>
          <rPr>
            <sz val="11"/>
            <color theme="1"/>
            <rFont val="Calibri"/>
          </rPr>
          <t>======
ID#AAAAJLH6R_U
BIWS    (2020-02-12 11:07:40)
Technically, the company has some small amount of NOLs, but the valuation allowance is large, and the Net DTA is small, so we're ignoring them.</t>
        </r>
      </text>
    </comment>
    <comment ref="BE20" authorId="0" shapeId="0" xr:uid="{00000000-0006-0000-0300-00001E000000}">
      <text>
        <r>
          <rPr>
            <sz val="11"/>
            <color theme="1"/>
            <rFont val="Calibri"/>
          </rPr>
          <t>======
ID#AAAAJLH6R_w
BIWS    (2020-02-12 11:07:40)
Reduced proportionally by Valuation Allowance netted against Gross DTA.</t>
        </r>
      </text>
    </comment>
    <comment ref="L21" authorId="0" shapeId="0" xr:uid="{00000000-0006-0000-0300-00003B000000}">
      <text>
        <r>
          <rPr>
            <sz val="11"/>
            <color theme="1"/>
            <rFont val="Calibri"/>
          </rPr>
          <t>======
ID#AAAAJLH6R9I
BIWS    (2020-02-12 11:07:40)
Fair value of Debt approximates book value according to 10-Q.</t>
        </r>
      </text>
    </comment>
    <comment ref="Q21" authorId="0" shapeId="0" xr:uid="{00000000-0006-0000-0300-000049000000}">
      <text>
        <r>
          <rPr>
            <sz val="11"/>
            <color theme="1"/>
            <rFont val="Calibri"/>
          </rPr>
          <t>======
ID#AAAAJLH6R9Y
BIWS    (2020-02-12 11:07:40)
No information on fair market value.</t>
        </r>
      </text>
    </comment>
    <comment ref="V21" authorId="0" shapeId="0" xr:uid="{00000000-0006-0000-0300-000022000000}">
      <text>
        <r>
          <rPr>
            <sz val="11"/>
            <color theme="1"/>
            <rFont val="Calibri"/>
          </rPr>
          <t>======
ID#AAAAJLH6R78
BIWS    (2020-02-12 11:07:40)
Technically, the company has a convertible bond, but the principal is very low, so we are simplifying and counting it as normal Debt here. Using the fair market value per the 10-Q.</t>
        </r>
      </text>
    </comment>
    <comment ref="AA21" authorId="0" shapeId="0" xr:uid="{00000000-0006-0000-0300-000013000000}">
      <text>
        <r>
          <rPr>
            <sz val="11"/>
            <color theme="1"/>
            <rFont val="Calibri"/>
          </rPr>
          <t>======
ID#AAAAJLH6R_A
BIWS    (2020-02-12 11:07:40)
Convertible bond, so we use the fair market value of Debt if there's no conversion, or set it to 0 if diluted shares get created.</t>
        </r>
      </text>
    </comment>
    <comment ref="AK21" authorId="0" shapeId="0" xr:uid="{00000000-0006-0000-0300-00002F000000}">
      <text>
        <r>
          <rPr>
            <sz val="11"/>
            <color theme="1"/>
            <rFont val="Calibri"/>
          </rPr>
          <t>======
ID#AAAAJLH6SAs
BIWS    (2020-02-12 11:07:40)
$400 million of convertible bonds count as Debt only if  they cannot convert into equity. Based on fair market value of Debt excluding deferred financing fees.</t>
        </r>
      </text>
    </comment>
    <comment ref="AP21" authorId="0" shapeId="0" xr:uid="{00000000-0006-0000-0300-000018000000}">
      <text>
        <r>
          <rPr>
            <sz val="11"/>
            <color theme="1"/>
            <rFont val="Calibri"/>
          </rPr>
          <t>======
ID#AAAAJLH6R7I
BIWS    (2020-02-12 11:07:40)
Estimated fair market value in 10-Q.</t>
        </r>
      </text>
    </comment>
    <comment ref="AU21" authorId="0" shapeId="0" xr:uid="{00000000-0006-0000-0300-000009000000}">
      <text>
        <r>
          <rPr>
            <sz val="11"/>
            <color theme="1"/>
            <rFont val="Calibri"/>
          </rPr>
          <t>======
ID#AAAAJLH6R_M
BIWS    (2020-02-12 11:07:40)
Fair values approximate book values except for Convertible Notes; 294.8 quoted as fair value in 10-Q. Only count as Debt if they're not convertible.</t>
        </r>
      </text>
    </comment>
    <comment ref="AZ21" authorId="0" shapeId="0" xr:uid="{00000000-0006-0000-0300-000014000000}">
      <text>
        <r>
          <rPr>
            <sz val="11"/>
            <color theme="1"/>
            <rFont val="Calibri"/>
          </rPr>
          <t>======
ID#AAAAJLH6R-Q
BIWS    (2020-02-12 11:07:40)
$3 million normal debt + $250 million convertible bonds - only count (fair value of $323.2) if share price is below conversion price, which it is not here. The $3 million comes from the 10-K. Also, the 10-Q mentions $253 million of Total Indebtedness.</t>
        </r>
      </text>
    </comment>
    <comment ref="BE21" authorId="0" shapeId="0" xr:uid="{00000000-0006-0000-0300-000003000000}">
      <text>
        <r>
          <rPr>
            <sz val="11"/>
            <color theme="1"/>
            <rFont val="Calibri"/>
          </rPr>
          <t>======
ID#AAAAJLH6R-E
BIWS    (2020-02-12 11:07:40)
Fair value of $631, but only if there's no dilution because share price &lt; conversion price. Term Loan and Revolver fair values were approximately equal to book values according to 10-Q.</t>
        </r>
      </text>
    </comment>
    <comment ref="L24" authorId="0" shapeId="0" xr:uid="{00000000-0006-0000-0300-00001C000000}">
      <text>
        <r>
          <rPr>
            <sz val="11"/>
            <color theme="1"/>
            <rFont val="Calibri"/>
          </rPr>
          <t>======
ID#AAAAJLH6SAY
BIWS    (2020-02-12 11:07:40)
From 10-K. Assuming payments into the plan are tax-deductible.</t>
        </r>
      </text>
    </comment>
    <comment ref="Q24" authorId="0" shapeId="0" xr:uid="{00000000-0006-0000-0300-00000F000000}">
      <text>
        <r>
          <rPr>
            <sz val="11"/>
            <color theme="1"/>
            <rFont val="Calibri"/>
          </rPr>
          <t>======
ID#AAAAJLH6R-g
BIWS    (2020-02-12 11:07:40)
From 10-K. Assuming payments into the plan are tax-deductible.</t>
        </r>
      </text>
    </comment>
    <comment ref="V24" authorId="0" shapeId="0" xr:uid="{00000000-0006-0000-0300-000043000000}">
      <text>
        <r>
          <rPr>
            <sz val="11"/>
            <color theme="1"/>
            <rFont val="Calibri"/>
          </rPr>
          <t>======
ID#AAAAJLH6R8c
BIWS    (2020-02-12 11:07:40)
From 10-K. Assuming payments into the plan are tax-deductible.</t>
        </r>
      </text>
    </comment>
    <comment ref="BE25" authorId="0" shapeId="0" xr:uid="{00000000-0006-0000-0300-00002C000000}">
      <text>
        <r>
          <rPr>
            <sz val="11"/>
            <color theme="1"/>
            <rFont val="Calibri"/>
          </rPr>
          <t>======
ID#AAAAJLH6R_k
BIWS    (2020-02-12 11:07:40)
So small that we're rounding this to 0.</t>
        </r>
      </text>
    </comment>
    <comment ref="J38" authorId="0" shapeId="0" xr:uid="{00000000-0006-0000-0300-00002D000000}">
      <text>
        <r>
          <rPr>
            <sz val="11"/>
            <color theme="1"/>
            <rFont val="Calibri"/>
          </rPr>
          <t>======
ID#AAAAJLH6SAo
BIWS    (2020-02-12 11:07:40)
From 10-K due to lack of information in 10-Q.</t>
        </r>
      </text>
    </comment>
    <comment ref="O38" authorId="0" shapeId="0" xr:uid="{00000000-0006-0000-0300-00001A000000}">
      <text>
        <r>
          <rPr>
            <sz val="11"/>
            <color theme="1"/>
            <rFont val="Calibri"/>
          </rPr>
          <t>======
ID#AAAAJLH6R7M
BIWS    (2020-02-12 11:07:40)
Options exercisable from the 10-Q.</t>
        </r>
      </text>
    </comment>
    <comment ref="T38" authorId="0" shapeId="0" xr:uid="{00000000-0006-0000-0300-00003E000000}">
      <text>
        <r>
          <rPr>
            <sz val="11"/>
            <color theme="1"/>
            <rFont val="Calibri"/>
          </rPr>
          <t>======
ID#AAAAJLH6R8o
BIWS    (2020-02-12 11:07:40)
Per the 10-Q.</t>
        </r>
      </text>
    </comment>
    <comment ref="Y38" authorId="0" shapeId="0" xr:uid="{00000000-0006-0000-0300-000031000000}">
      <text>
        <r>
          <rPr>
            <sz val="11"/>
            <color theme="1"/>
            <rFont val="Calibri"/>
          </rPr>
          <t>======
ID#AAAAJLH6R94
BIWS    (2020-02-12 11:07:40)
Per the 10-K.</t>
        </r>
      </text>
    </comment>
    <comment ref="AI38" authorId="0" shapeId="0" xr:uid="{00000000-0006-0000-0300-000008000000}">
      <text>
        <r>
          <rPr>
            <sz val="11"/>
            <color theme="1"/>
            <rFont val="Calibri"/>
          </rPr>
          <t>======
ID#AAAAJLH6R6E
BIWS    (2020-02-12 11:07:40)
From the 10-Q.</t>
        </r>
      </text>
    </comment>
    <comment ref="AN38" authorId="0" shapeId="0" xr:uid="{00000000-0006-0000-0300-00001F000000}">
      <text>
        <r>
          <rPr>
            <sz val="11"/>
            <color theme="1"/>
            <rFont val="Calibri"/>
          </rPr>
          <t>======
ID#AAAAJLH6R6U
BIWS    (2020-02-12 11:07:40)
From 10-K. No information in the 10-Q.</t>
        </r>
      </text>
    </comment>
    <comment ref="AO38" authorId="0" shapeId="0" xr:uid="{00000000-0006-0000-0300-000033000000}">
      <text>
        <r>
          <rPr>
            <sz val="11"/>
            <color theme="1"/>
            <rFont val="Calibri"/>
          </rPr>
          <t>======
ID#AAAAJLH6R7s
BIWS    (2020-02-12 11:07:40)
From 10-K.</t>
        </r>
      </text>
    </comment>
    <comment ref="AS38" authorId="0" shapeId="0" xr:uid="{00000000-0006-0000-0300-000040000000}">
      <text>
        <r>
          <rPr>
            <sz val="11"/>
            <color theme="1"/>
            <rFont val="Calibri"/>
          </rPr>
          <t>======
ID#AAAAJLH6R9U
BIWS    (2020-02-12 11:07:40)
Per the 10-Q.</t>
        </r>
      </text>
    </comment>
    <comment ref="AX38" authorId="0" shapeId="0" xr:uid="{00000000-0006-0000-0300-000047000000}">
      <text>
        <r>
          <rPr>
            <sz val="11"/>
            <color theme="1"/>
            <rFont val="Calibri"/>
          </rPr>
          <t>======
ID#AAAAJLH6R9s
BIWS    (2020-02-12 11:07:40)
Using Options Exercisable from the 10-K; 10-Q only gives Options Outstanding.</t>
        </r>
      </text>
    </comment>
    <comment ref="BC38" authorId="0" shapeId="0" xr:uid="{00000000-0006-0000-0300-00004A000000}">
      <text>
        <r>
          <rPr>
            <sz val="11"/>
            <color theme="1"/>
            <rFont val="Calibri"/>
          </rPr>
          <t>======
ID#AAAAJLH6R9c
BIWS    (2020-02-12 11:07:40)
Per the 10-K; no information in the 10-Q.</t>
        </r>
      </text>
    </comment>
    <comment ref="S49" authorId="0" shapeId="0" xr:uid="{00000000-0006-0000-0300-000037000000}">
      <text>
        <r>
          <rPr>
            <sz val="11"/>
            <color theme="1"/>
            <rFont val="Calibri"/>
          </rPr>
          <t>======
ID#AAAAJLH6R7Y
BIWS    (2020-02-12 11:07:40)
Technically, the company has a convertible bond, but the principal is very low, so we are simplifying and counting it as normal Debt here.</t>
        </r>
      </text>
    </comment>
    <comment ref="T49" authorId="0" shapeId="0" xr:uid="{00000000-0006-0000-0300-000041000000}">
      <text>
        <r>
          <rPr>
            <sz val="11"/>
            <color theme="1"/>
            <rFont val="Calibri"/>
          </rPr>
          <t>======
ID#AAAAJLH6R98
BIWS    (2020-02-12 11:07:40)
Technically, the company has a convertible bond, but the principal is very low, so we are simplifying and counting it as normal Debt here.</t>
        </r>
      </text>
    </comment>
    <comment ref="U49" authorId="0" shapeId="0" xr:uid="{00000000-0006-0000-0300-000005000000}">
      <text>
        <r>
          <rPr>
            <sz val="11"/>
            <color theme="1"/>
            <rFont val="Calibri"/>
          </rPr>
          <t>======
ID#AAAAJLH6R54
BIWS    (2020-02-12 11:07:40)
Technically, the company has a convertible bond, but the principal is very low, so we are simplifying and counting it as normal Debt here.</t>
        </r>
      </text>
    </comment>
    <comment ref="V49" authorId="0" shapeId="0" xr:uid="{00000000-0006-0000-0300-000025000000}">
      <text>
        <r>
          <rPr>
            <sz val="11"/>
            <color theme="1"/>
            <rFont val="Calibri"/>
          </rPr>
          <t>======
ID#AAAAJLH6R_c
BIWS    (2020-02-12 11:07:40)
Technically, the company has a convertible bond, but the principal is very low, so we are simplifying and counting it as normal Debt here.</t>
        </r>
      </text>
    </comment>
    <comment ref="AA49" authorId="0" shapeId="0" xr:uid="{00000000-0006-0000-0300-000010000000}">
      <text>
        <r>
          <rPr>
            <sz val="11"/>
            <color theme="1"/>
            <rFont val="Calibri"/>
          </rPr>
          <t>======
ID#AAAAJLH6R_Y
BIWS    (2020-02-12 11:07:40)
Hedged convertible bond, so we're using (Bond principal / conversion price) – ([Stock price * number of shares covered – convertible principal] / Stock price) to estimate dilution. The bondholders all convert their debt into shares, and then the company can use the proceeds from their covered calls (which equals the difference between the stock price and the strike price times the number of shares) to buy back shares at the current stock price.</t>
        </r>
      </text>
    </comment>
    <comment ref="AH49" authorId="0" shapeId="0" xr:uid="{00000000-0006-0000-0300-000042000000}">
      <text>
        <r>
          <rPr>
            <sz val="11"/>
            <color theme="1"/>
            <rFont val="Calibri"/>
          </rPr>
          <t>======
ID#AAAAJLH6R9A
BIWS    (2020-02-12 11:07:40)
Per the 10-Q.</t>
        </r>
      </text>
    </comment>
    <comment ref="AJ49" authorId="0" shapeId="0" xr:uid="{00000000-0006-0000-0300-00001D000000}">
      <text>
        <r>
          <rPr>
            <sz val="11"/>
            <color theme="1"/>
            <rFont val="Calibri"/>
          </rPr>
          <t>======
ID#AAAAJLH6R80
BIWS    (2020-02-12 11:07:40)
Per the 10-Q.</t>
        </r>
      </text>
    </comment>
    <comment ref="AR49" authorId="0" shapeId="0" xr:uid="{00000000-0006-0000-0300-000004000000}">
      <text>
        <r>
          <rPr>
            <sz val="11"/>
            <color theme="1"/>
            <rFont val="Calibri"/>
          </rPr>
          <t>======
ID#AAAAJLH6R60
BIWS    (2020-02-12 11:07:40)
Per the 10-K. Always based on face value of bond.</t>
        </r>
      </text>
    </comment>
    <comment ref="AW49" authorId="0" shapeId="0" xr:uid="{00000000-0006-0000-0300-00004B000000}">
      <text>
        <r>
          <rPr>
            <sz val="11"/>
            <color theme="1"/>
            <rFont val="Calibri"/>
          </rPr>
          <t>======
ID#AAAAJLH6R50
BIWS    (2020-02-12 11:07:40)
Disclosed in the 10-K and the 10-Q.</t>
        </r>
      </text>
    </comment>
    <comment ref="AY49" authorId="0" shapeId="0" xr:uid="{00000000-0006-0000-0300-000020000000}">
      <text>
        <r>
          <rPr>
            <sz val="11"/>
            <color theme="1"/>
            <rFont val="Calibri"/>
          </rPr>
          <t>======
ID#AAAAJLH6R-k
BIWS    (2020-02-12 11:07:40)
Disclosed in the 10-K.</t>
        </r>
      </text>
    </comment>
    <comment ref="BB49" authorId="0" shapeId="0" xr:uid="{00000000-0006-0000-0300-000006000000}">
      <text>
        <r>
          <rPr>
            <sz val="11"/>
            <color theme="1"/>
            <rFont val="Calibri"/>
          </rPr>
          <t>======
ID#AAAAJLH6R58
BIWS    (2020-02-12 11:07:40)
Per the 10-Q.</t>
        </r>
      </text>
    </comment>
    <comment ref="BD49" authorId="0" shapeId="0" xr:uid="{00000000-0006-0000-0300-000029000000}">
      <text>
        <r>
          <rPr>
            <sz val="11"/>
            <color theme="1"/>
            <rFont val="Calibri"/>
          </rPr>
          <t>======
ID#AAAAJLH6R7A
BIWS    (2020-02-12 11:07:40)
Per the 10-Q.</t>
        </r>
      </text>
    </comment>
    <comment ref="F53" authorId="0" shapeId="0" xr:uid="{00000000-0006-0000-0300-000030000000}">
      <text>
        <r>
          <rPr>
            <sz val="11"/>
            <color theme="1"/>
            <rFont val="Calibri"/>
          </rPr>
          <t>======
ID#AAAAJLH6R7o
BIWS    (2020-02-12 11:07:40)
From the 10-K due to lack of information in the 10-Q.</t>
        </r>
      </text>
    </comment>
    <comment ref="Z53" authorId="0" shapeId="0" xr:uid="{00000000-0006-0000-0300-000034000000}">
      <text>
        <r>
          <rPr>
            <sz val="11"/>
            <color theme="1"/>
            <rFont val="Calibri"/>
          </rPr>
          <t>======
ID#AAAAJLH6R7U
BIWS    (2020-02-12 11:07:40)
Per the 10-K.</t>
        </r>
      </text>
    </comment>
    <comment ref="AE53" authorId="0" shapeId="0" xr:uid="{00000000-0006-0000-0300-00003C000000}">
      <text>
        <r>
          <rPr>
            <sz val="11"/>
            <color theme="1"/>
            <rFont val="Calibri"/>
          </rPr>
          <t>======
ID#AAAAJLH6R8k
BIWS    (2020-02-12 11:07:40)
Going off the stated 0.2 impact in the 10-Q.</t>
        </r>
      </text>
    </comment>
    <comment ref="AO53" authorId="0" shapeId="0" xr:uid="{00000000-0006-0000-0300-000038000000}">
      <text>
        <r>
          <rPr>
            <sz val="11"/>
            <color theme="1"/>
            <rFont val="Calibri"/>
          </rPr>
          <t>======
ID#AAAAJLH6SAg
BIWS    (2020-02-12 11:07:40)
From 10-K. No information in the 10-Q.</t>
        </r>
      </text>
    </comment>
    <comment ref="AT53" authorId="0" shapeId="0" xr:uid="{00000000-0006-0000-0300-000039000000}">
      <text>
        <r>
          <rPr>
            <sz val="11"/>
            <color theme="1"/>
            <rFont val="Calibri"/>
          </rPr>
          <t>======
ID#AAAAJLH6R8E
BIWS    (2020-02-12 11:07:40)
Per the 10-Q.</t>
        </r>
      </text>
    </comment>
    <comment ref="AY53" authorId="0" shapeId="0" xr:uid="{00000000-0006-0000-0300-000019000000}">
      <text>
        <r>
          <rPr>
            <sz val="11"/>
            <color theme="1"/>
            <rFont val="Calibri"/>
          </rPr>
          <t>======
ID#AAAAJLH6R6k
BIWS    (2020-02-12 11:07:40)
To be consistent, we're also using the RSUs from the 10-K. Almost the same in the 10-Q.</t>
        </r>
      </text>
    </comment>
    <comment ref="BD53" authorId="0" shapeId="0" xr:uid="{00000000-0006-0000-0300-00000B000000}">
      <text>
        <r>
          <rPr>
            <sz val="11"/>
            <color theme="1"/>
            <rFont val="Calibri"/>
          </rPr>
          <t>======
ID#AAAAJLH6R6M
BIWS    (2020-02-12 11:07:40)
Per the 10-K; no information in the 10-Q.</t>
        </r>
      </text>
    </comment>
  </commentList>
  <extLst>
    <ext xmlns:r="http://schemas.openxmlformats.org/officeDocument/2006/relationships" uri="GoogleSheetsCustomDataVersion1">
      <go:sheetsCustomData xmlns:go="http://customooxmlschemas.google.com/" r:id="rId1" roundtripDataSignature="AMtx7mhIFVLYjDzLigoj9b9JS+GoWaJux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16" authorId="0" shapeId="0" xr:uid="{00000000-0006-0000-0500-00001A000000}">
      <text>
        <r>
          <rPr>
            <sz val="11"/>
            <color theme="1"/>
            <rFont val="Calibri"/>
          </rPr>
          <t>======
ID#AAAAJLH6R7w
BIWS    (2020-03-03 21:36:25)
90% since it's already past Phase 3 clinical trials and in final regulatory approval phase.</t>
        </r>
      </text>
    </comment>
    <comment ref="L31" authorId="0" shapeId="0" xr:uid="{00000000-0006-0000-0500-000002000000}">
      <text>
        <r>
          <rPr>
            <sz val="11"/>
            <color theme="1"/>
            <rFont val="Calibri"/>
          </rPr>
          <t>======
ID#AAAAJLs5gfE
BIWS    (2020-03-07 20:22:52)
Generics entrance year.</t>
        </r>
      </text>
    </comment>
    <comment ref="N32" authorId="0" shapeId="0" xr:uid="{00000000-0006-0000-0500-000001000000}">
      <text>
        <r>
          <rPr>
            <sz val="11"/>
            <color theme="1"/>
            <rFont val="Calibri"/>
          </rPr>
          <t>======
ID#AAAAJLs5gfI
BIWS    (2020-03-07 20:22:52)
Generics entrance year.</t>
        </r>
      </text>
    </comment>
    <comment ref="K33" authorId="0" shapeId="0" xr:uid="{00000000-0006-0000-0500-000018000000}">
      <text>
        <r>
          <rPr>
            <sz val="11"/>
            <color theme="1"/>
            <rFont val="Calibri"/>
          </rPr>
          <t>======
ID#AAAAJLH6R8A
BIWS    (2020-03-03 21:36:25)
Generics entrance year.</t>
        </r>
      </text>
    </comment>
    <comment ref="L47" authorId="0" shapeId="0" xr:uid="{00000000-0006-0000-0500-000003000000}">
      <text>
        <r>
          <rPr>
            <sz val="11"/>
            <color theme="1"/>
            <rFont val="Calibri"/>
          </rPr>
          <t>======
ID#AAAAJLs5gfA
BIWS    (2020-03-07 20:22:52)
Generics entrance year.</t>
        </r>
      </text>
    </comment>
    <comment ref="N48" authorId="0" shapeId="0" xr:uid="{00000000-0006-0000-0500-000014000000}">
      <text>
        <r>
          <rPr>
            <sz val="11"/>
            <color theme="1"/>
            <rFont val="Calibri"/>
          </rPr>
          <t>======
ID#AAAAJLH6R9k
BIWS    (2020-03-03 21:36:25)
Generics entrance year.</t>
        </r>
      </text>
    </comment>
    <comment ref="K49" authorId="0" shapeId="0" xr:uid="{00000000-0006-0000-0500-000005000000}">
      <text>
        <r>
          <rPr>
            <sz val="11"/>
            <color theme="1"/>
            <rFont val="Calibri"/>
          </rPr>
          <t>======
ID#AAAAJLH6SA4
BIWS    (2020-03-03 21:36:25)
Generics entrance year.</t>
        </r>
      </text>
    </comment>
    <comment ref="L63" authorId="0" shapeId="0" xr:uid="{00000000-0006-0000-0500-000006000000}">
      <text>
        <r>
          <rPr>
            <sz val="11"/>
            <color theme="1"/>
            <rFont val="Calibri"/>
          </rPr>
          <t>======
ID#AAAAJLH6SAw
BIWS    (2020-03-03 21:36:25)
Generics entrance year.</t>
        </r>
      </text>
    </comment>
    <comment ref="N64" authorId="0" shapeId="0" xr:uid="{00000000-0006-0000-0500-00001E000000}">
      <text>
        <r>
          <rPr>
            <sz val="11"/>
            <color theme="1"/>
            <rFont val="Calibri"/>
          </rPr>
          <t>======
ID#AAAAJLH6R6s
BIWS    (2020-03-03 21:36:25)
Generics entrance year.</t>
        </r>
      </text>
    </comment>
    <comment ref="K65" authorId="0" shapeId="0" xr:uid="{00000000-0006-0000-0500-000004000000}">
      <text>
        <r>
          <rPr>
            <sz val="11"/>
            <color theme="1"/>
            <rFont val="Calibri"/>
          </rPr>
          <t>======
ID#AAAAJLH6SA0
BIWS    (2020-03-03 21:36:25)
Generics entrance year.</t>
        </r>
      </text>
    </comment>
    <comment ref="L91" authorId="0" shapeId="0" xr:uid="{00000000-0006-0000-0500-00001D000000}">
      <text>
        <r>
          <rPr>
            <sz val="11"/>
            <color theme="1"/>
            <rFont val="Calibri"/>
          </rPr>
          <t>======
ID#AAAAJLH6R7Q
BIWS    (2020-03-03 21:36:25)
Generics entrance year.</t>
        </r>
      </text>
    </comment>
    <comment ref="N92" authorId="0" shapeId="0" xr:uid="{00000000-0006-0000-0500-000013000000}">
      <text>
        <r>
          <rPr>
            <sz val="11"/>
            <color theme="1"/>
            <rFont val="Calibri"/>
          </rPr>
          <t>======
ID#AAAAJLH6R90
BIWS    (2020-03-03 21:36:25)
Generics entrance year.</t>
        </r>
      </text>
    </comment>
    <comment ref="K93" authorId="0" shapeId="0" xr:uid="{00000000-0006-0000-0500-000011000000}">
      <text>
        <r>
          <rPr>
            <sz val="11"/>
            <color theme="1"/>
            <rFont val="Calibri"/>
          </rPr>
          <t>======
ID#AAAAJLH6R-o
BIWS    (2020-03-03 21:36:25)
Generics entrance year.</t>
        </r>
      </text>
    </comment>
    <comment ref="E105" authorId="0" shapeId="0" xr:uid="{00000000-0006-0000-0500-000017000000}">
      <text>
        <r>
          <rPr>
            <sz val="11"/>
            <color theme="1"/>
            <rFont val="Calibri"/>
          </rPr>
          <t>======
ID#AAAAJLH6R8M
BIWS    (2020-03-03 21:36:25)
Per sales rep information in 10-K annual reports.</t>
        </r>
      </text>
    </comment>
    <comment ref="F105" authorId="0" shapeId="0" xr:uid="{00000000-0006-0000-0500-00001F000000}">
      <text>
        <r>
          <rPr>
            <sz val="11"/>
            <color theme="1"/>
            <rFont val="Calibri"/>
          </rPr>
          <t>======
ID#AAAAJLH6R6Q
BIWS    (2020-03-03 21:36:25)
Per sales rep information in 10-K annual reports.</t>
        </r>
      </text>
    </comment>
    <comment ref="G105" authorId="0" shapeId="0" xr:uid="{00000000-0006-0000-0500-00000C000000}">
      <text>
        <r>
          <rPr>
            <sz val="11"/>
            <color theme="1"/>
            <rFont val="Calibri"/>
          </rPr>
          <t>======
ID#AAAAJLH6R_I
BIWS    (2020-03-03 21:36:25)
Per sales rep information in 10-K annual reports.</t>
        </r>
      </text>
    </comment>
    <comment ref="H105" authorId="0" shapeId="0" xr:uid="{00000000-0006-0000-0500-00000E000000}">
      <text>
        <r>
          <rPr>
            <sz val="11"/>
            <color theme="1"/>
            <rFont val="Calibri"/>
          </rPr>
          <t>======
ID#AAAAJLH6R-8
BIWS    (2020-03-03 21:36:25)
Per sales rep information in 10-K annual reports.</t>
        </r>
      </text>
    </comment>
    <comment ref="I114" authorId="0" shapeId="0" xr:uid="{00000000-0006-0000-0500-00000B000000}">
      <text>
        <r>
          <rPr>
            <sz val="11"/>
            <color theme="1"/>
            <rFont val="Calibri"/>
          </rPr>
          <t>======
ID#AAAAJLH6R_Q
BIWS    (2020-03-03 21:36:25)
From the company's annual schedule under Note 7 of the 10-K.</t>
        </r>
      </text>
    </comment>
    <comment ref="J114" authorId="0" shapeId="0" xr:uid="{00000000-0006-0000-0500-00001B000000}">
      <text>
        <r>
          <rPr>
            <sz val="11"/>
            <color theme="1"/>
            <rFont val="Calibri"/>
          </rPr>
          <t>======
ID#AAAAJLH6R7k
BIWS    (2020-03-03 21:36:25)
From the company's annual schedule under Note 7 of the 10-K.</t>
        </r>
      </text>
    </comment>
    <comment ref="K114" authorId="0" shapeId="0" xr:uid="{00000000-0006-0000-0500-000016000000}">
      <text>
        <r>
          <rPr>
            <sz val="11"/>
            <color theme="1"/>
            <rFont val="Calibri"/>
          </rPr>
          <t>======
ID#AAAAJLH6R8Q
BIWS    (2020-03-03 21:36:25)
From the company's annual schedule under Note 7 of the 10-K.</t>
        </r>
      </text>
    </comment>
    <comment ref="L114" authorId="0" shapeId="0" xr:uid="{00000000-0006-0000-0500-000019000000}">
      <text>
        <r>
          <rPr>
            <sz val="11"/>
            <color theme="1"/>
            <rFont val="Calibri"/>
          </rPr>
          <t>======
ID#AAAAJLH6R74
BIWS    (2020-03-03 21:36:25)
From the company's annual schedule under Note 7 of the 10-K.</t>
        </r>
      </text>
    </comment>
    <comment ref="M114" authorId="0" shapeId="0" xr:uid="{00000000-0006-0000-0500-000008000000}">
      <text>
        <r>
          <rPr>
            <sz val="11"/>
            <color theme="1"/>
            <rFont val="Calibri"/>
          </rPr>
          <t>======
ID#AAAAJLH6SAE
BIWS    (2020-03-03 21:36:25)
Dividing the "Thereafter" amount by 6 since 6 + 5 = 11, the useful life of "Acquired Developed Technologies."</t>
        </r>
      </text>
    </comment>
    <comment ref="N114" authorId="0" shapeId="0" xr:uid="{00000000-0006-0000-0500-000010000000}">
      <text>
        <r>
          <rPr>
            <sz val="11"/>
            <color theme="1"/>
            <rFont val="Calibri"/>
          </rPr>
          <t>======
ID#AAAAJLH6R-s
BIWS    (2020-03-03 21:36:25)
Dividing the "Thereafter" amount by 6 since 6 + 5 = 11, the useful life of "Acquired Developed Technologies."</t>
        </r>
      </text>
    </comment>
    <comment ref="O114" authorId="0" shapeId="0" xr:uid="{00000000-0006-0000-0500-000012000000}">
      <text>
        <r>
          <rPr>
            <sz val="11"/>
            <color theme="1"/>
            <rFont val="Calibri"/>
          </rPr>
          <t>======
ID#AAAAJLH6R-I
BIWS    (2020-03-03 21:36:25)
Dividing the "Thereafter" amount by 6 since 6 + 5 = 11, the useful life of "Acquired Developed Technologies."</t>
        </r>
      </text>
    </comment>
    <comment ref="P114" authorId="0" shapeId="0" xr:uid="{00000000-0006-0000-0500-00000D000000}">
      <text>
        <r>
          <rPr>
            <sz val="11"/>
            <color theme="1"/>
            <rFont val="Calibri"/>
          </rPr>
          <t>======
ID#AAAAJLH6R_E
BIWS    (2020-03-03 21:36:25)
Dividing the "Thereafter" amount by 6 since 6 + 5 = 11, the useful life of "Acquired Developed Technologies."</t>
        </r>
      </text>
    </comment>
    <comment ref="Q114" authorId="0" shapeId="0" xr:uid="{00000000-0006-0000-0500-000015000000}">
      <text>
        <r>
          <rPr>
            <sz val="11"/>
            <color theme="1"/>
            <rFont val="Calibri"/>
          </rPr>
          <t>======
ID#AAAAJLH6R8Y
BIWS    (2020-03-03 21:36:25)
Dividing the "Thereafter" amount by 6 since 6 + 5 = 11, the useful life of "Acquired Developed Technologies."</t>
        </r>
      </text>
    </comment>
    <comment ref="I162" authorId="0" shapeId="0" xr:uid="{00000000-0006-0000-0500-00000A000000}">
      <text>
        <r>
          <rPr>
            <sz val="11"/>
            <color theme="1"/>
            <rFont val="Calibri"/>
          </rPr>
          <t>======
ID#AAAAJLH6R_s
BIWS    (2020-03-03 21:36:25)
Check to see if convertible bonds convert; only count fair value of Debt if share price &lt; conversion price.</t>
        </r>
      </text>
    </comment>
    <comment ref="N162" authorId="0" shapeId="0" xr:uid="{00000000-0006-0000-0500-000007000000}">
      <text>
        <r>
          <rPr>
            <sz val="11"/>
            <color theme="1"/>
            <rFont val="Calibri"/>
          </rPr>
          <t>======
ID#AAAAJLH6SAU
BIWS    (2020-03-03 21:36:25)
Check to see if convertible bonds convert; only count fair value of Debt if share price &lt; conversion price.</t>
        </r>
      </text>
    </comment>
    <comment ref="I231" authorId="0" shapeId="0" xr:uid="{00000000-0006-0000-0500-00001C000000}">
      <text>
        <r>
          <rPr>
            <sz val="11"/>
            <color theme="1"/>
            <rFont val="Calibri"/>
          </rPr>
          <t>======
ID#AAAAJLH6R7c
BIWS    (2020-03-03 21:36:25)
Subtracting the Q1 results here because it has already been reported - cleaner to do it this way than to subtract everything above.</t>
        </r>
      </text>
    </comment>
  </commentList>
  <extLst>
    <ext xmlns:r="http://schemas.openxmlformats.org/officeDocument/2006/relationships" uri="GoogleSheetsCustomDataVersion1">
      <go:sheetsCustomData xmlns:go="http://customooxmlschemas.google.com/" r:id="rId1" roundtripDataSignature="AMtx7mgslXDYGtXeqIgDrc3sZ02+4RynNw=="/>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6" authorId="0" shapeId="0" xr:uid="{00000000-0006-0000-0700-000002000000}">
      <text>
        <r>
          <rPr>
            <sz val="11"/>
            <color theme="1"/>
            <rFont val="Calibri"/>
          </rPr>
          <t>======
ID#AAAAJLH6SAA
BIWS    (2020-03-03 21:36:25)
10-Year US Treasury rate as of 2017-08-16.</t>
        </r>
      </text>
    </comment>
    <comment ref="F7" authorId="0" shapeId="0" xr:uid="{00000000-0006-0000-0700-000004000000}">
      <text>
        <r>
          <rPr>
            <sz val="11"/>
            <color theme="1"/>
            <rFont val="Calibri"/>
          </rPr>
          <t>======
ID#AAAAJLH6R9w
BIWS    (2020-03-03 21:36:25)
U.S. Equity Risk Premium for 2017 per Damodaran's data.</t>
        </r>
      </text>
    </comment>
    <comment ref="F8" authorId="0" shapeId="0" xr:uid="{00000000-0006-0000-0700-000003000000}">
      <text>
        <r>
          <rPr>
            <sz val="11"/>
            <color theme="1"/>
            <rFont val="Calibri"/>
          </rPr>
          <t>======
ID#AAAAJLH6R-M
BIWS    (2020-03-03 21:36:25)
Term Loan interest rate = 2.98%, and Revolver interest rate = 2.91%, and book value = fair market value according to filings, so YTM should equal interest rate. 1.875% rate on the convertible bonds, but we need the rate on equivalent non-convertible bonds.</t>
        </r>
      </text>
    </comment>
    <comment ref="F9" authorId="0" shapeId="0" xr:uid="{00000000-0006-0000-0700-000001000000}">
      <text>
        <r>
          <rPr>
            <sz val="11"/>
            <color theme="1"/>
            <rFont val="Calibri"/>
          </rPr>
          <t>======
ID#AAAAJLH6SAk
BIWS    (2020-03-03 21:36:25)
No outstanding Preferred Stock.</t>
        </r>
      </text>
    </comment>
  </commentList>
  <extLst>
    <ext xmlns:r="http://schemas.openxmlformats.org/officeDocument/2006/relationships" uri="GoogleSheetsCustomDataVersion1">
      <go:sheetsCustomData xmlns:go="http://customooxmlschemas.google.com/" r:id="rId1" roundtripDataSignature="AMtx7mj4E4z2LL3TzaDz9AVC0UO2corAhA=="/>
    </ext>
  </extLst>
</comments>
</file>

<file path=xl/sharedStrings.xml><?xml version="1.0" encoding="utf-8"?>
<sst xmlns="http://schemas.openxmlformats.org/spreadsheetml/2006/main" count="814" uniqueCount="335">
  <si>
    <r>
      <t xml:space="preserve">Comparable Companies - Specialty Pharmaceutical Companies (U.S. and Canada-Based) That Sell Primarily </t>
    </r>
    <r>
      <rPr>
        <b/>
        <i/>
        <sz val="14"/>
        <color theme="1"/>
        <rFont val="Calibri"/>
      </rPr>
      <t>Branded</t>
    </r>
    <r>
      <rPr>
        <b/>
        <sz val="14"/>
        <color theme="1"/>
        <rFont val="Calibri"/>
      </rPr>
      <t xml:space="preserve"> Drugs, with LTM Revenue Between $500 Million and $5 Billion</t>
    </r>
  </si>
  <si>
    <t>Operating Statistics</t>
  </si>
  <si>
    <t>Capitalization</t>
  </si>
  <si>
    <t>Projected</t>
  </si>
  <si>
    <t>Range of Valuation Multiples / Premiums</t>
  </si>
  <si>
    <t>Share</t>
  </si>
  <si>
    <t>Implied Per-Share Value Range</t>
  </si>
  <si>
    <t>Equity</t>
  </si>
  <si>
    <t>Enterprise</t>
  </si>
  <si>
    <t>Revenue</t>
  </si>
  <si>
    <t>EBITDA</t>
  </si>
  <si>
    <t>Reported Net Income</t>
  </si>
  <si>
    <t>EBITDA Margin</t>
  </si>
  <si>
    <t>Company Name</t>
  </si>
  <si>
    <t>75th</t>
  </si>
  <si>
    <t>25th</t>
  </si>
  <si>
    <t>Ticker</t>
  </si>
  <si>
    <t>Price</t>
  </si>
  <si>
    <t>Applicable</t>
  </si>
  <si>
    <t>Value</t>
  </si>
  <si>
    <t>Maximum</t>
  </si>
  <si>
    <t>Percentile</t>
  </si>
  <si>
    <t>Median</t>
  </si>
  <si>
    <t>Minimum</t>
  </si>
  <si>
    <t>Company</t>
  </si>
  <si>
    <t>Methodology Name</t>
  </si>
  <si>
    <t>Multiple</t>
  </si>
  <si>
    <t>Figure</t>
  </si>
  <si>
    <t>Growth</t>
  </si>
  <si>
    <t>Public Company Comparables:</t>
  </si>
  <si>
    <t>UBI</t>
  </si>
  <si>
    <t>EA</t>
  </si>
  <si>
    <t>TTWO</t>
  </si>
  <si>
    <t>Min</t>
  </si>
  <si>
    <t>Max</t>
  </si>
  <si>
    <t>Min Point</t>
  </si>
  <si>
    <t>25th Point</t>
  </si>
  <si>
    <t>Median Point</t>
  </si>
  <si>
    <t>75th Point</t>
  </si>
  <si>
    <t>Max Point</t>
  </si>
  <si>
    <t>CDR</t>
  </si>
  <si>
    <t>NCBDF</t>
  </si>
  <si>
    <t>3659.T</t>
  </si>
  <si>
    <t>Discounted Cash Flow Analysis:</t>
  </si>
  <si>
    <t>75th Percentile</t>
  </si>
  <si>
    <t>Implied Equity Value Calculations:</t>
  </si>
  <si>
    <t>Implied Enterprise Value or Equity Value at a Range of Multiples:</t>
  </si>
  <si>
    <t>Implied Enterprise Value:</t>
  </si>
  <si>
    <t>Enterprise Value --&gt;</t>
  </si>
  <si>
    <t>(+) Cash &amp; Cash-Equivalents:</t>
  </si>
  <si>
    <t>25th Percentile</t>
  </si>
  <si>
    <t>(+) Equity Investments:</t>
  </si>
  <si>
    <t>(+) Other Non-Core Assets, Net:</t>
  </si>
  <si>
    <t>(+) Net Operating Losses:</t>
  </si>
  <si>
    <t>(-) Debt &amp; Capital Leases</t>
  </si>
  <si>
    <t>(-) Preferred Stock:</t>
  </si>
  <si>
    <t>Equity Value --&gt;</t>
  </si>
  <si>
    <t>(-) Noncontrolling Interests:</t>
  </si>
  <si>
    <t>(-) Unfunded Pension Obligations:</t>
  </si>
  <si>
    <t>(-) Restructuring &amp; Other Liabilities:</t>
  </si>
  <si>
    <t>Implied Equity Value:</t>
  </si>
  <si>
    <t>Diluted Shares Outstanding:</t>
  </si>
  <si>
    <t>Implied Share Price from Selected Valuation Multiple:</t>
  </si>
  <si>
    <t>Premium / (Discount) to Current:</t>
  </si>
  <si>
    <t>Valuation Statistics</t>
  </si>
  <si>
    <t xml:space="preserve">Enterprise Value / </t>
  </si>
  <si>
    <t>P / E Multiple</t>
  </si>
  <si>
    <t>Exercise</t>
  </si>
  <si>
    <t>Type:</t>
  </si>
  <si>
    <t>Number:</t>
  </si>
  <si>
    <t>Price:</t>
  </si>
  <si>
    <t>Options A:</t>
  </si>
  <si>
    <t>Convertible Bonds:</t>
  </si>
  <si>
    <t>RSUs:</t>
  </si>
  <si>
    <t>Total:</t>
  </si>
  <si>
    <t>Ubisoft</t>
  </si>
  <si>
    <t>Electronic Arts</t>
  </si>
  <si>
    <t>Take Two Initiative</t>
  </si>
  <si>
    <t>Netmarble Games (BILL KRW)</t>
  </si>
  <si>
    <t>Square Enix Co. (MILL JPY)</t>
  </si>
  <si>
    <t>Nintendo (MILL JPY)</t>
  </si>
  <si>
    <t>CD Projekt (MILL PLN)</t>
  </si>
  <si>
    <t>Bandai Namco (BILL JPY)</t>
  </si>
  <si>
    <t>Nexon (BILL JPY)</t>
  </si>
  <si>
    <t>NCsoft Corp. (KRW)</t>
  </si>
  <si>
    <t>Calendarization:</t>
  </si>
  <si>
    <t>Old Partial</t>
  </si>
  <si>
    <t>New Partial</t>
  </si>
  <si>
    <t>FY</t>
  </si>
  <si>
    <t>LTM</t>
  </si>
  <si>
    <t>Revenue:</t>
  </si>
  <si>
    <t>Reported Net Income:</t>
  </si>
  <si>
    <t>Operating Income (EBIT):</t>
  </si>
  <si>
    <t>(+) Non-Recurring Items in EBIT:</t>
  </si>
  <si>
    <t>(+) Depreciation &amp; Amortization:</t>
  </si>
  <si>
    <t>EBITDA:</t>
  </si>
  <si>
    <t>Effective Tax Rate:</t>
  </si>
  <si>
    <t>Balance Sheet Data:</t>
  </si>
  <si>
    <t>(-) Cash &amp; Cash-Equivalents:</t>
  </si>
  <si>
    <t>(-) Equity Investments:</t>
  </si>
  <si>
    <t>(-) Other Non-Core Assets, Net:</t>
  </si>
  <si>
    <t>(-) Net Operating Losses:</t>
  </si>
  <si>
    <t>(+) Debt &amp; Capital Leases</t>
  </si>
  <si>
    <t>(+) Preferred Stock:</t>
  </si>
  <si>
    <t>(+) Noncontrolling Interests:</t>
  </si>
  <si>
    <t>(+) Unfunded Pension Obligations:</t>
  </si>
  <si>
    <t>Cell Inputs and Lookup Cells for Use in Public Comps:</t>
  </si>
  <si>
    <t>(+) Restructuring &amp; Other Liabilities:</t>
  </si>
  <si>
    <t>Labels for Comparables:</t>
  </si>
  <si>
    <t>Last Twelve Months</t>
  </si>
  <si>
    <t>Forward Year 1</t>
  </si>
  <si>
    <t>Forward Year 2</t>
  </si>
  <si>
    <t>Forward Year 3</t>
  </si>
  <si>
    <t>Lookup Cells for Public Company Comparables:</t>
  </si>
  <si>
    <t>Projected Financials:</t>
  </si>
  <si>
    <t>Share Price</t>
  </si>
  <si>
    <t>Equity Value</t>
  </si>
  <si>
    <t>Enterprise Value</t>
  </si>
  <si>
    <t>LTM Revenue</t>
  </si>
  <si>
    <t>Forward Year 1 Revenue</t>
  </si>
  <si>
    <t>Forward Year 2 Revenue</t>
  </si>
  <si>
    <t>LTM EBITDA</t>
  </si>
  <si>
    <t>Forward Year 1 EBITDA</t>
  </si>
  <si>
    <t>Forward Year 2 EBITDA</t>
  </si>
  <si>
    <t>LTM Net Income</t>
  </si>
  <si>
    <t>Forward Year 1 Net Income</t>
  </si>
  <si>
    <t>Forward Year 2 Net Income</t>
  </si>
  <si>
    <t>LTM Revenue Multiple</t>
  </si>
  <si>
    <t>Forward Year 1 Revenue Multiple</t>
  </si>
  <si>
    <t>Forward Year 2 Revenue Multiple</t>
  </si>
  <si>
    <t>LTM EBITDA Multiple</t>
  </si>
  <si>
    <t>Forward Year 1 EBITDA Multiple</t>
  </si>
  <si>
    <t>Forward Year 2 EBITDA Multiple</t>
  </si>
  <si>
    <t>LTM P/E Multiple</t>
  </si>
  <si>
    <t>Forward Year 1 P/E Multiple</t>
  </si>
  <si>
    <t>Forward Year 2 P/E Multiple</t>
  </si>
  <si>
    <t>Levered Beta</t>
  </si>
  <si>
    <t>Debt</t>
  </si>
  <si>
    <t>Preferred Stock</t>
  </si>
  <si>
    <t>Tax Rate</t>
  </si>
  <si>
    <t>Diluted Shares Calculations:</t>
  </si>
  <si>
    <t>Share Price as of the Valuation Date:</t>
  </si>
  <si>
    <t>Common Shares Outstanding:</t>
  </si>
  <si>
    <t>Options and Warrants:</t>
  </si>
  <si>
    <t>Total</t>
  </si>
  <si>
    <t>Strike</t>
  </si>
  <si>
    <t>Dilution</t>
  </si>
  <si>
    <t>($ in Millions Except Per Share and Per Unit Data)</t>
  </si>
  <si>
    <t>Assumptions:</t>
  </si>
  <si>
    <t>Company Name:</t>
  </si>
  <si>
    <t>Activision Blizzard</t>
  </si>
  <si>
    <t>Last Fiscal Year:</t>
  </si>
  <si>
    <t>Ticker:</t>
  </si>
  <si>
    <t>ATVI</t>
  </si>
  <si>
    <t>Next Fiscal Year:</t>
  </si>
  <si>
    <t>Units (for Conversions):</t>
  </si>
  <si>
    <t>Most Recent Quarter End Date:</t>
  </si>
  <si>
    <t>Current Valuation Date:</t>
  </si>
  <si>
    <t>Current Share Price:</t>
  </si>
  <si>
    <t>Selected Scenario:</t>
  </si>
  <si>
    <t>Base</t>
  </si>
  <si>
    <t>Vyxeos - Risk-Adjustment Factor:</t>
  </si>
  <si>
    <t>JZP-110 - Risk Adjustment Factor:</t>
  </si>
  <si>
    <t>Revenue Assumptions:</t>
  </si>
  <si>
    <t>Units:</t>
  </si>
  <si>
    <t xml:space="preserve">Activision America </t>
  </si>
  <si>
    <t xml:space="preserve">MAU </t>
  </si>
  <si>
    <t>$ as Stated</t>
  </si>
  <si>
    <t>Upside</t>
  </si>
  <si>
    <t>Downside</t>
  </si>
  <si>
    <t>ARPU</t>
  </si>
  <si>
    <t>$ Amount</t>
  </si>
  <si>
    <t>Par Value</t>
  </si>
  <si>
    <t>Conv. Price</t>
  </si>
  <si>
    <t>Activision America Revenue</t>
  </si>
  <si>
    <t>$ M</t>
  </si>
  <si>
    <t>Annual Growth Rate:</t>
  </si>
  <si>
    <t>%</t>
  </si>
  <si>
    <t>Activision Asia</t>
  </si>
  <si>
    <t># RSUs</t>
  </si>
  <si>
    <t>Restricted Stock Units (RSUs):</t>
  </si>
  <si>
    <t>Activision Asia Revenue</t>
  </si>
  <si>
    <t>Activision EMEA</t>
  </si>
  <si>
    <t>Total Diluted Shares:</t>
  </si>
  <si>
    <t>Valuation Metrics:</t>
  </si>
  <si>
    <t>Activision EMEA Revenue</t>
  </si>
  <si>
    <t>Blizzard</t>
  </si>
  <si>
    <t>Equity Value:</t>
  </si>
  <si>
    <t>Enterprise Value:</t>
  </si>
  <si>
    <t>Blizzard Total Revenue</t>
  </si>
  <si>
    <t>KING Revenue</t>
  </si>
  <si>
    <t>Beta:</t>
  </si>
  <si>
    <t>Valuation Multiples:</t>
  </si>
  <si>
    <t>King Revenue</t>
  </si>
  <si>
    <t>Expense and Cash Flow Assumptions:</t>
  </si>
  <si>
    <t>EV / Revenue:</t>
  </si>
  <si>
    <t>Changes in operating assets and liabilities:</t>
  </si>
  <si>
    <t>Accounts receivable, net</t>
  </si>
  <si>
    <t>%rev.</t>
  </si>
  <si>
    <t>Inventories, net</t>
  </si>
  <si>
    <t># Employees</t>
  </si>
  <si>
    <t>Software development and intellectual property licenses</t>
  </si>
  <si>
    <t>Other assets</t>
  </si>
  <si>
    <t>Deferred revenues</t>
  </si>
  <si>
    <t>Accounts payable</t>
  </si>
  <si>
    <t>% opex.</t>
  </si>
  <si>
    <t>EV / EBITDA:</t>
  </si>
  <si>
    <t>Accrued expenses and other liabilities</t>
  </si>
  <si>
    <t>Capital expenditures</t>
  </si>
  <si>
    <t>%rev</t>
  </si>
  <si>
    <t>Depreciation</t>
  </si>
  <si>
    <t>P / E:</t>
  </si>
  <si>
    <t>Amortization and write-off of capitalized 
software development costs and 
intellectual property licenses (1)</t>
  </si>
  <si>
    <t>Discounted Cash Flow (DCF) Analysis - Assumptions and Output:</t>
  </si>
  <si>
    <t>Average Discount Rate (WACC):</t>
  </si>
  <si>
    <t>Terminal Value - Multiples Method:</t>
  </si>
  <si>
    <t>Terminal Value - Perpetuity Growth Method:</t>
  </si>
  <si>
    <t>Baseline Terminal EBITDA Multiple:</t>
  </si>
  <si>
    <t>Baseline Terminal FCF Growth Rate:</t>
  </si>
  <si>
    <t>Baseline Terminal Value:</t>
  </si>
  <si>
    <t>Lookup Variables:</t>
  </si>
  <si>
    <t>Implied Terminal FCF Growth Rate:</t>
  </si>
  <si>
    <t>Implied Terminal EBITDA Multiple:</t>
  </si>
  <si>
    <t>(+) PV of Terminal Value:</t>
  </si>
  <si>
    <t>(+) Sum of PV of Free Cash Flows:</t>
  </si>
  <si>
    <t>% of Implied EV from Terminal Value:</t>
  </si>
  <si>
    <t>(-) Total Debt &amp; Capital Leases:</t>
  </si>
  <si>
    <t>Implied Share Price from DCF:</t>
  </si>
  <si>
    <t>Dilution:</t>
  </si>
  <si>
    <t>Convertible:</t>
  </si>
  <si>
    <t>Normalized</t>
  </si>
  <si>
    <t>Unlevered Free Cash Flow Projections:</t>
  </si>
  <si>
    <t>Activision Revenue</t>
  </si>
  <si>
    <t>Blizzard Revenue</t>
  </si>
  <si>
    <t>Total Revenue:</t>
  </si>
  <si>
    <t>Revenue Growth:</t>
  </si>
  <si>
    <t>Cost of Product Sales:</t>
  </si>
  <si>
    <t>Gross Profit:</t>
  </si>
  <si>
    <t>Gross Margin:</t>
  </si>
  <si>
    <t>Operating Expenses:</t>
  </si>
  <si>
    <t>(+) Selling, General, and Administrative:</t>
  </si>
  <si>
    <t>(+) Research and Development:</t>
  </si>
  <si>
    <t>(+) Intangible Asset Amortization:</t>
  </si>
  <si>
    <t>Total Operating Expenses:</t>
  </si>
  <si>
    <t>Operating (EBIT) Margin:</t>
  </si>
  <si>
    <t>(-) Taxes, Excluding Effect of Interest:</t>
  </si>
  <si>
    <t>Net Operating Profit After Tax (NOPAT):</t>
  </si>
  <si>
    <t>Adjustments for Non-Cash Charges:</t>
  </si>
  <si>
    <t>(+) Depreciation:</t>
  </si>
  <si>
    <t>(+/-) Deferred Income Taxes:</t>
  </si>
  <si>
    <t>(+/-) Other Items:</t>
  </si>
  <si>
    <t>Total Adjustments for Non-Cash Charges:</t>
  </si>
  <si>
    <t>Changes in Operating Assets &amp; Liabilities:</t>
  </si>
  <si>
    <t>Accounts Receivable:</t>
  </si>
  <si>
    <t>Inventories:</t>
  </si>
  <si>
    <t>Prepaid Expenses and Other Current Assets:</t>
  </si>
  <si>
    <t>Other Long-Term Assets:</t>
  </si>
  <si>
    <t>Accounts Payable:</t>
  </si>
  <si>
    <t>Accrued Liabilities:</t>
  </si>
  <si>
    <t>Income Taxes Payable:</t>
  </si>
  <si>
    <t>Deferred Revenue:</t>
  </si>
  <si>
    <t>Other Non-Current Liabilities:</t>
  </si>
  <si>
    <t>Total Changes in Operating Assets &amp; Liabilities:</t>
  </si>
  <si>
    <t>% Change in Revenue:</t>
  </si>
  <si>
    <t>(-) Capital Expenditures:</t>
  </si>
  <si>
    <t>% Revenue:</t>
  </si>
  <si>
    <t>Annual Unlevered Free Cash Flow:</t>
  </si>
  <si>
    <t>Unlevered Free Cash Flow for Remainder:</t>
  </si>
  <si>
    <t>Present Value of Free Cash Flow:</t>
  </si>
  <si>
    <t>Discount Rate (WACC):</t>
  </si>
  <si>
    <t>Cumulative Discount Factor - Normal:</t>
  </si>
  <si>
    <t>#</t>
  </si>
  <si>
    <t>Corporate Website:</t>
  </si>
  <si>
    <t>Normal Discount Period:</t>
  </si>
  <si>
    <t>http://investors.vrtx.com/</t>
  </si>
  <si>
    <t>http://ir.alexionpharm.com/</t>
  </si>
  <si>
    <t>http://ir.unither.com/</t>
  </si>
  <si>
    <t>http://www.incyte.com/ir/investor-overview.aspx</t>
  </si>
  <si>
    <t>http://investors.biomarin.com/</t>
  </si>
  <si>
    <t>https://www.bioverativ.com/newsroom/investor-relations.aspx</t>
  </si>
  <si>
    <t>Annual Free Cash Flow Growth Rate:</t>
  </si>
  <si>
    <t>http://ir.horizon-pharma.com/</t>
  </si>
  <si>
    <t>http://phx.corporate-ir.net/phoenix.zhtml?c=92211&amp;p=irol-irhome</t>
  </si>
  <si>
    <t>http://ir.acorda.com/investors/default.aspx</t>
  </si>
  <si>
    <t>http://investors.emergentbiosolutions.com/phoenix.zhtml?c=202582&amp;p=irol-IRHome</t>
  </si>
  <si>
    <t>Annual EBITDA:</t>
  </si>
  <si>
    <t>http://investor.jazzpharma.com/phoenix.zhtml?c=210227&amp;p=irol-irhome</t>
  </si>
  <si>
    <t>Annual EBITDA Growth Rate:</t>
  </si>
  <si>
    <t>Annual Net Income:</t>
  </si>
  <si>
    <t>Annual Net Income Growth Rate:</t>
  </si>
  <si>
    <t>Sensitivity Tables:</t>
  </si>
  <si>
    <t>Sensitivity - Terminal FCF Growth Rate vs. Discount Rate and Implied Share Price from DCF Analysis:</t>
  </si>
  <si>
    <t>Terminal FCF Growth Rate:</t>
  </si>
  <si>
    <t>Initial Discount Rate (WACC) (Steps down by 0.25% per year over 10 years):</t>
  </si>
  <si>
    <t>Sensitivity - Terminal EBITDA Multiple vs. Discount Rate and Implied Share Price from DCF Analysis:</t>
  </si>
  <si>
    <t>Terminal EBITDA Multiple:</t>
  </si>
  <si>
    <t>Reported Income Statement and Cash Flow Statement Figures from H1:</t>
  </si>
  <si>
    <t>FY17 - H1</t>
  </si>
  <si>
    <t>Annual Revenue Growth Rate:</t>
  </si>
  <si>
    <t>Annual Operating Margin:</t>
  </si>
  <si>
    <t>H1 Unlevered Free Cash Flow:</t>
  </si>
  <si>
    <t>Discount Rate Calculations - Assumptions:</t>
  </si>
  <si>
    <t>Risk-Free Rate:</t>
  </si>
  <si>
    <t>Equity Risk Premium:</t>
  </si>
  <si>
    <t>Pre-Tax Cost of Debt:</t>
  </si>
  <si>
    <t>Cost of Preferred Stock:</t>
  </si>
  <si>
    <t>Comparable Companies - Unlevered Beta Calculation:</t>
  </si>
  <si>
    <t>Levered</t>
  </si>
  <si>
    <t>Preferred</t>
  </si>
  <si>
    <t>Unlevered</t>
  </si>
  <si>
    <t>Name</t>
  </si>
  <si>
    <t>Beta</t>
  </si>
  <si>
    <t>% Debt</t>
  </si>
  <si>
    <t>Stock</t>
  </si>
  <si>
    <t>% Preferred</t>
  </si>
  <si>
    <t>% Equity</t>
  </si>
  <si>
    <t>Median:</t>
  </si>
  <si>
    <t>Current Capital Structure:</t>
  </si>
  <si>
    <t>"Optimal" Capital Structure:</t>
  </si>
  <si>
    <t>Cost of Equity Based on Comparables, Current Capital Structure:</t>
  </si>
  <si>
    <t>Cost of Equity Based on Comparables, "Optimal" Capital Structure:</t>
  </si>
  <si>
    <t>Cost of Equity Based on Historical Beta:</t>
  </si>
  <si>
    <t>WACC = Cost of Equity * % Equity + Cost of Debt * % Debt * (1 - Tax Rate) + Cost of Preferred Stock * % Preferred Stock</t>
  </si>
  <si>
    <t>WACC, Current Capital Structure:</t>
  </si>
  <si>
    <t>WACC, Current Capital Structure and Historical Cost of Equity:</t>
  </si>
  <si>
    <t>WACC, "Optimal" Capital Structure:</t>
  </si>
  <si>
    <t>Average WACC Produced by All Methods:</t>
  </si>
  <si>
    <t>costs and expenses</t>
  </si>
  <si>
    <t>COGS</t>
  </si>
  <si>
    <t>Product Costs</t>
  </si>
  <si>
    <t>Software royalties, amortization, and intellectual property licenses</t>
  </si>
  <si>
    <t>Game operations and distribution costs</t>
  </si>
  <si>
    <t>R&amp;D Expenses (%Rev)</t>
  </si>
  <si>
    <t>SG&amp;A Expenses (%Rev)</t>
  </si>
  <si>
    <t>Restructuring Expenses (%Rev)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</si>
</sst>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9">
    <numFmt numFmtId="164" formatCode="yyyy\-mm\-dd"/>
    <numFmt numFmtId="165" formatCode="_(&quot;$&quot;* #,##0.0_);_(&quot;$&quot;* \(#,##0.0\);_(&quot;$&quot;* &quot;-&quot;?_);_(@_)"/>
    <numFmt numFmtId="166" formatCode="_(&quot;$&quot;* #,##0.00_);_(&quot;$&quot;* \(#,##0.00\);_(&quot;$&quot;* &quot;-&quot;??_);_(@_)"/>
    <numFmt numFmtId="167" formatCode="0.0%;\(0.0%\)"/>
    <numFmt numFmtId="168" formatCode="_(* #,##0.00_);_(* \(#,##0.00\);_(* &quot;-&quot;??_);_(@_)"/>
    <numFmt numFmtId="169" formatCode="0.0\ \x;[Red]\ 0.0\ \x"/>
    <numFmt numFmtId="170" formatCode="_(* #,##0.0_);_(* \(#,##0.0\);_(* &quot;-&quot;?_);_(@_)"/>
    <numFmt numFmtId="171" formatCode="0.0%"/>
    <numFmt numFmtId="172" formatCode="_(&quot;$&quot;* #,##0_);_(&quot;$&quot;* \(#,##0\);_(&quot;$&quot;* &quot;-&quot;_);_(@_)"/>
    <numFmt numFmtId="173" formatCode="_(&quot;$&quot;* #,##0.0_);_(&quot;$&quot;* \(#,##0.0\);_(&quot;$&quot;* &quot;-&quot;_);_(@_)"/>
    <numFmt numFmtId="174" formatCode="#,##0.000"/>
    <numFmt numFmtId="175" formatCode="0.0\ \x"/>
    <numFmt numFmtId="176" formatCode="_(&quot;$&quot;#,##0.00_)_%;\(&quot;$&quot;#,##0.00\)_%;_(&quot;–&quot;_)_%;_(@_)_%"/>
    <numFmt numFmtId="177" formatCode="_(0.0%_);\(0.0%\);_(&quot;–&quot;_)_%;_(@_)_%"/>
    <numFmt numFmtId="178" formatCode="&quot;$&quot;#,##0_);[Red]\(&quot;$&quot;#,##0\)"/>
    <numFmt numFmtId="179" formatCode="0.00%;\(0.00%\)"/>
    <numFmt numFmtId="180" formatCode="#,##0_);\(#,##0\);\-_);@_)"/>
    <numFmt numFmtId="181" formatCode="&quot;FY&quot;yy"/>
    <numFmt numFmtId="182" formatCode="_(#,##0_);\(#,##0\);_(&quot;–&quot;_);_(@_)"/>
    <numFmt numFmtId="183" formatCode="_(&quot;$&quot;* #,##0.00_);_(&quot;$&quot;* \(#,##0.00\);_(&quot;$&quot;* &quot;-&quot;?_);_(@_)"/>
    <numFmt numFmtId="184" formatCode="_(&quot;$&quot;* #,##0.00_);_(&quot;$&quot;* \(#,##0.00\);_(&quot;$&quot;* &quot;-&quot;_);_(@_)"/>
    <numFmt numFmtId="185" formatCode="_(* #,##0.00_);_(* \(#,##0.00\);_(* &quot;-&quot;_);_(@_)"/>
    <numFmt numFmtId="186" formatCode="_-* #,##0.0\ _€_-;\-* #,##0.0\ _€_-;_-* &quot;-&quot;?\ _€_-;_-@"/>
    <numFmt numFmtId="187" formatCode="_(* #,##0_);_(* \(#,##0\);_(* &quot;-&quot;_);_(@_)"/>
    <numFmt numFmtId="188" formatCode="_(&quot;$&quot;* #,##0.000_);_(&quot;$&quot;* \(#,##0.000\);_(&quot;$&quot;* &quot;-&quot;_);_(@_)"/>
    <numFmt numFmtId="189" formatCode="_(&quot;$&quot;* #,##0_);_(&quot;$&quot;* \(#,##0\);_(&quot;$&quot;* &quot;-&quot;?_);_(@_)"/>
    <numFmt numFmtId="190" formatCode="_(0.0%_);\(0.0%\);_(&quot;–&quot;_);_(@_)"/>
    <numFmt numFmtId="191" formatCode="_(0.00%_);\(0.00%\);_(&quot;–&quot;_)_%;_(@_)_%"/>
    <numFmt numFmtId="192" formatCode="_(0.0\ \x_);\(0.0\ \x\);_(&quot;–&quot;_);_(@_)"/>
    <numFmt numFmtId="193" formatCode="0.000"/>
    <numFmt numFmtId="194" formatCode="_(* #,##0.000_);_(* \(#,##0.000\);_(* &quot;-&quot;???_);_(@_)"/>
    <numFmt numFmtId="195" formatCode="_(* #,##0.0000000_);_(* \(#,##0.0000000\);_(* &quot;-&quot;?_);_(@_)"/>
    <numFmt numFmtId="196" formatCode="#,##0.0_);\(#,##0.0\);\-_);@_)"/>
    <numFmt numFmtId="197" formatCode="#,##0.000_);\(#,##0.000\);\-_);@_)"/>
    <numFmt numFmtId="198" formatCode="_(* #,##0.0_);_(* \(#,##0.0\);_(* &quot;-&quot;??_);_(@_)"/>
    <numFmt numFmtId="199" formatCode="_(#,##0.00%_);\(#,##0.00%\);_(&quot;–&quot;_)_%;_(@_)_%"/>
    <numFmt numFmtId="200" formatCode="0.00%;\(0.00%\);\-_)_%;@_)_%"/>
    <numFmt numFmtId="201" formatCode="_(#,##0.00_)_%;\(#,##0.00\)_%;_(&quot;–&quot;_)_%;_(@_)_%"/>
    <numFmt numFmtId="202" formatCode="_(#,##0.00_);\(#,##0.00\);_(&quot;–&quot;_);_(@_)"/>
  </numFmts>
  <fonts count="42">
    <font>
      <sz val="11"/>
      <color theme="1"/>
      <name val="Calibri"/>
    </font>
    <font>
      <sz val="11"/>
      <color theme="1"/>
      <name val="Calibri"/>
      <family val="2"/>
      <scheme val="minor"/>
    </font>
    <font>
      <sz val="12"/>
      <color theme="1"/>
      <name val="Calibri"/>
    </font>
    <font>
      <b/>
      <sz val="14"/>
      <color theme="1"/>
      <name val="Calibri"/>
    </font>
    <font>
      <b/>
      <sz val="12"/>
      <color theme="1"/>
      <name val="Calibri"/>
    </font>
    <font>
      <sz val="12"/>
      <color rgb="FF00B050"/>
      <name val="Calibri"/>
    </font>
    <font>
      <b/>
      <sz val="12"/>
      <color rgb="FFFFFFFF"/>
      <name val="Calibri"/>
    </font>
    <font>
      <b/>
      <u/>
      <sz val="12"/>
      <color rgb="FFFFFFFF"/>
      <name val="Calibri"/>
    </font>
    <font>
      <sz val="11"/>
      <name val="Calibri"/>
    </font>
    <font>
      <sz val="12"/>
      <color rgb="FFFFFFFF"/>
      <name val="Calibri"/>
    </font>
    <font>
      <b/>
      <u/>
      <sz val="12"/>
      <color rgb="FFFFFFFF"/>
      <name val="Calibri"/>
    </font>
    <font>
      <u/>
      <sz val="12"/>
      <color rgb="FFFFFFFF"/>
      <name val="Calibri"/>
    </font>
    <font>
      <b/>
      <sz val="12"/>
      <color theme="0"/>
      <name val="Calibri"/>
    </font>
    <font>
      <i/>
      <sz val="12"/>
      <color theme="1"/>
      <name val="Calibri"/>
    </font>
    <font>
      <sz val="12"/>
      <color rgb="FF0000FF"/>
      <name val="Calibri"/>
    </font>
    <font>
      <b/>
      <u/>
      <sz val="12"/>
      <color rgb="FFFFFFFF"/>
      <name val="Calibri"/>
    </font>
    <font>
      <u/>
      <sz val="12"/>
      <color rgb="FFFFFFFF"/>
      <name val="Calibri"/>
    </font>
    <font>
      <b/>
      <u/>
      <sz val="12"/>
      <color rgb="FFFFFFFF"/>
      <name val="Calibri"/>
    </font>
    <font>
      <u/>
      <sz val="12"/>
      <color rgb="FFFFFFFF"/>
      <name val="Calibri"/>
    </font>
    <font>
      <sz val="12"/>
      <color rgb="FF000000"/>
      <name val="Calibri"/>
    </font>
    <font>
      <sz val="12"/>
      <color rgb="FF0070C0"/>
      <name val="Calibri"/>
    </font>
    <font>
      <b/>
      <u/>
      <sz val="12"/>
      <color rgb="FFFFFFFF"/>
      <name val="Calibri"/>
    </font>
    <font>
      <sz val="12"/>
      <color theme="0"/>
      <name val="Calibri"/>
    </font>
    <font>
      <i/>
      <sz val="12"/>
      <color theme="0"/>
      <name val="Calibri"/>
    </font>
    <font>
      <b/>
      <i/>
      <sz val="12"/>
      <color theme="0"/>
      <name val="Calibri"/>
    </font>
    <font>
      <i/>
      <sz val="12"/>
      <color rgb="FF000000"/>
      <name val="Calibri"/>
    </font>
    <font>
      <sz val="7"/>
      <color rgb="FF000000"/>
      <name val="Arial"/>
    </font>
    <font>
      <b/>
      <i/>
      <sz val="12"/>
      <color theme="1"/>
      <name val="Calibri"/>
    </font>
    <font>
      <sz val="9"/>
      <color theme="1"/>
      <name val="Arial"/>
    </font>
    <font>
      <i/>
      <sz val="11"/>
      <color theme="1"/>
      <name val="Calibri"/>
    </font>
    <font>
      <b/>
      <sz val="12"/>
      <color rgb="FF000000"/>
      <name val="Calibri"/>
    </font>
    <font>
      <b/>
      <sz val="12"/>
      <color rgb="FF0000FF"/>
      <name val="Calibri"/>
    </font>
    <font>
      <u/>
      <sz val="12"/>
      <color theme="10"/>
      <name val="Calibri"/>
    </font>
    <font>
      <sz val="12"/>
      <color theme="4"/>
      <name val="Calibri"/>
    </font>
    <font>
      <sz val="12"/>
      <color rgb="FFFF0000"/>
      <name val="Calibri"/>
    </font>
    <font>
      <b/>
      <i/>
      <sz val="14"/>
      <color theme="1"/>
      <name val="Calibri"/>
    </font>
    <font>
      <b/>
      <sz val="12"/>
      <color theme="1"/>
      <name val="Calibri"/>
      <family val="2"/>
    </font>
    <font>
      <i/>
      <sz val="12"/>
      <color rgb="FF000000"/>
      <name val="Calibri"/>
      <family val="2"/>
    </font>
    <font>
      <sz val="12"/>
      <color rgb="FF000000"/>
      <name val="Calibri"/>
      <family val="2"/>
    </font>
    <font>
      <i/>
      <sz val="11"/>
      <color theme="1"/>
      <name val="Calibri"/>
      <family val="2"/>
    </font>
    <font>
      <sz val="12"/>
      <name val="Calibri"/>
      <family val="2"/>
    </font>
    <font>
      <b/>
      <sz val="12"/>
      <color theme="0"/>
      <name val="Calibri"/>
      <family val="2"/>
    </font>
  </fonts>
  <fills count="12">
    <fill>
      <patternFill patternType="none"/>
    </fill>
    <fill>
      <patternFill patternType="gray125"/>
    </fill>
    <fill>
      <patternFill patternType="solid">
        <fgColor rgb="FF1F497D"/>
        <bgColor rgb="FF1F497D"/>
      </patternFill>
    </fill>
    <fill>
      <patternFill patternType="solid">
        <fgColor rgb="FFD9D9D9"/>
        <bgColor rgb="FFD9D9D9"/>
      </patternFill>
    </fill>
    <fill>
      <patternFill patternType="solid">
        <fgColor rgb="FF8DB3E2"/>
        <bgColor rgb="FF8DB3E2"/>
      </patternFill>
    </fill>
    <fill>
      <patternFill patternType="solid">
        <fgColor rgb="FF0070C0"/>
        <bgColor rgb="FF0070C0"/>
      </patternFill>
    </fill>
    <fill>
      <patternFill patternType="solid">
        <fgColor rgb="FFB8CCE4"/>
        <bgColor rgb="FFB8CCE4"/>
      </patternFill>
    </fill>
    <fill>
      <patternFill patternType="solid">
        <fgColor rgb="FFD8D8D8"/>
        <bgColor rgb="FFD8D8D8"/>
      </patternFill>
    </fill>
    <fill>
      <patternFill patternType="solid">
        <fgColor rgb="FFFFFF99"/>
        <bgColor rgb="FFFFFF99"/>
      </patternFill>
    </fill>
    <fill>
      <patternFill patternType="solid">
        <fgColor theme="0"/>
        <bgColor theme="0"/>
      </patternFill>
    </fill>
    <fill>
      <patternFill patternType="solid">
        <fgColor rgb="FF548DD4"/>
        <bgColor rgb="FF548DD4"/>
      </patternFill>
    </fill>
    <fill>
      <patternFill patternType="solid">
        <fgColor theme="4"/>
        <bgColor theme="4"/>
      </patternFill>
    </fill>
  </fills>
  <borders count="50">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bottom style="thin">
        <color rgb="FF000000"/>
      </bottom>
      <diagonal/>
    </border>
    <border>
      <left style="thin">
        <color rgb="FF000000"/>
      </left>
      <right/>
      <top style="thin">
        <color rgb="FF000000"/>
      </top>
      <bottom style="thin">
        <color rgb="FF000000"/>
      </bottom>
      <diagonal/>
    </border>
    <border>
      <left/>
      <right/>
      <top/>
      <bottom style="thin">
        <color rgb="FF000000"/>
      </bottom>
      <diagonal/>
    </border>
    <border>
      <left/>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style="thin">
        <color theme="0"/>
      </right>
      <top/>
      <bottom style="thin">
        <color theme="0"/>
      </bottom>
      <diagonal/>
    </border>
    <border>
      <left/>
      <right/>
      <top/>
      <bottom style="thin">
        <color theme="0"/>
      </bottom>
      <diagonal/>
    </border>
    <border>
      <left style="dotted">
        <color rgb="FFFF0000"/>
      </left>
      <right/>
      <top/>
      <bottom/>
      <diagonal/>
    </border>
    <border>
      <left/>
      <right style="thin">
        <color theme="0"/>
      </right>
      <top/>
      <bottom style="thin">
        <color rgb="FF000000"/>
      </bottom>
      <diagonal/>
    </border>
    <border>
      <left style="thin">
        <color rgb="FFBFBFBF"/>
      </left>
      <right style="thin">
        <color rgb="FFBFBFBF"/>
      </right>
      <top style="thin">
        <color rgb="FFBFBFBF"/>
      </top>
      <bottom style="thin">
        <color rgb="FFBFBFBF"/>
      </bottom>
      <diagonal/>
    </border>
    <border>
      <left/>
      <right/>
      <top/>
      <bottom style="thin">
        <color rgb="FFBFBFBF"/>
      </bottom>
      <diagonal/>
    </border>
    <border>
      <left style="thin">
        <color rgb="FFD8D8D8"/>
      </left>
      <right style="thin">
        <color rgb="FFD8D8D8"/>
      </right>
      <top style="thin">
        <color rgb="FFD8D8D8"/>
      </top>
      <bottom style="thin">
        <color rgb="FFD8D8D8"/>
      </bottom>
      <diagonal/>
    </border>
    <border>
      <left style="thin">
        <color theme="0"/>
      </left>
      <right/>
      <top/>
      <bottom style="thin">
        <color theme="0"/>
      </bottom>
      <diagonal/>
    </border>
    <border>
      <left style="thin">
        <color theme="0"/>
      </left>
      <right/>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theme="0"/>
      </top>
      <bottom/>
      <diagonal/>
    </border>
  </borders>
  <cellStyleXfs count="2">
    <xf numFmtId="0" fontId="0" fillId="0" borderId="0"/>
    <xf numFmtId="0" fontId="1" fillId="0" borderId="4"/>
  </cellStyleXfs>
  <cellXfs count="386">
    <xf numFmtId="0" fontId="0" fillId="0" borderId="0" xfId="0" applyFont="1" applyAlignment="1"/>
    <xf numFmtId="0" fontId="2" fillId="0" borderId="0" xfId="0" applyFont="1"/>
    <xf numFmtId="0" fontId="3" fillId="0" borderId="0" xfId="0" applyFont="1"/>
    <xf numFmtId="0" fontId="4" fillId="0" borderId="0" xfId="0" applyFont="1"/>
    <xf numFmtId="1" fontId="5" fillId="0" borderId="0" xfId="0" applyNumberFormat="1" applyFont="1"/>
    <xf numFmtId="0" fontId="5" fillId="0" borderId="0" xfId="0" applyFont="1"/>
    <xf numFmtId="0" fontId="6" fillId="2" borderId="1" xfId="0" applyFont="1" applyFill="1" applyBorder="1" applyAlignment="1">
      <alignment horizontal="left"/>
    </xf>
    <xf numFmtId="0" fontId="6" fillId="2" borderId="1" xfId="0" applyFont="1" applyFill="1" applyBorder="1"/>
    <xf numFmtId="0" fontId="9" fillId="2" borderId="1" xfId="0" applyFont="1" applyFill="1" applyBorder="1"/>
    <xf numFmtId="0" fontId="6" fillId="2" borderId="1" xfId="0" applyFont="1" applyFill="1" applyBorder="1" applyAlignment="1">
      <alignment horizontal="center"/>
    </xf>
    <xf numFmtId="0" fontId="10" fillId="2" borderId="1" xfId="0" applyFont="1" applyFill="1" applyBorder="1" applyAlignment="1">
      <alignment horizontal="center"/>
    </xf>
    <xf numFmtId="0" fontId="9" fillId="2" borderId="1" xfId="0" applyFont="1" applyFill="1" applyBorder="1" applyAlignment="1">
      <alignment horizontal="center"/>
    </xf>
    <xf numFmtId="0" fontId="11" fillId="2" borderId="1" xfId="0" applyFont="1" applyFill="1" applyBorder="1" applyAlignment="1">
      <alignment horizontal="center"/>
    </xf>
    <xf numFmtId="0" fontId="6" fillId="2" borderId="5" xfId="0" applyFont="1" applyFill="1" applyBorder="1"/>
    <xf numFmtId="0" fontId="6" fillId="2" borderId="5" xfId="0" applyFont="1" applyFill="1" applyBorder="1" applyAlignment="1">
      <alignment horizontal="center"/>
    </xf>
    <xf numFmtId="14" fontId="6" fillId="2" borderId="5" xfId="0" applyNumberFormat="1" applyFont="1" applyFill="1" applyBorder="1" applyAlignment="1">
      <alignment horizontal="center"/>
    </xf>
    <xf numFmtId="164" fontId="6" fillId="2" borderId="5" xfId="0" applyNumberFormat="1" applyFont="1" applyFill="1" applyBorder="1" applyAlignment="1">
      <alignment horizontal="center"/>
    </xf>
    <xf numFmtId="165" fontId="2" fillId="0" borderId="0" xfId="0" applyNumberFormat="1" applyFont="1"/>
    <xf numFmtId="166" fontId="2" fillId="0" borderId="0" xfId="0" applyNumberFormat="1" applyFont="1"/>
    <xf numFmtId="0" fontId="2" fillId="0" borderId="0" xfId="0" applyFont="1" applyAlignment="1">
      <alignment horizontal="left"/>
    </xf>
    <xf numFmtId="167" fontId="2" fillId="0" borderId="0" xfId="0" applyNumberFormat="1" applyFont="1"/>
    <xf numFmtId="168" fontId="2" fillId="0" borderId="0" xfId="0" applyNumberFormat="1" applyFont="1"/>
    <xf numFmtId="169" fontId="5" fillId="0" borderId="0" xfId="0" applyNumberFormat="1" applyFont="1"/>
    <xf numFmtId="170" fontId="2" fillId="0" borderId="0" xfId="0" applyNumberFormat="1" applyFont="1"/>
    <xf numFmtId="165" fontId="5" fillId="0" borderId="0" xfId="0" applyNumberFormat="1" applyFont="1"/>
    <xf numFmtId="0" fontId="2" fillId="0" borderId="0" xfId="0" applyFont="1" applyAlignment="1">
      <alignment horizontal="center"/>
    </xf>
    <xf numFmtId="166" fontId="5" fillId="0" borderId="0" xfId="0" applyNumberFormat="1" applyFont="1"/>
    <xf numFmtId="170" fontId="5" fillId="0" borderId="0" xfId="0" applyNumberFormat="1" applyFont="1"/>
    <xf numFmtId="168" fontId="5" fillId="0" borderId="0" xfId="0" applyNumberFormat="1" applyFont="1"/>
    <xf numFmtId="0" fontId="2" fillId="0" borderId="6" xfId="0" applyFont="1" applyBorder="1"/>
    <xf numFmtId="0" fontId="2" fillId="0" borderId="7" xfId="0" applyFont="1" applyBorder="1"/>
    <xf numFmtId="166" fontId="2" fillId="0" borderId="7" xfId="0" applyNumberFormat="1" applyFont="1" applyBorder="1"/>
    <xf numFmtId="165" fontId="2" fillId="0" borderId="7" xfId="0" applyNumberFormat="1" applyFont="1" applyBorder="1"/>
    <xf numFmtId="171" fontId="2" fillId="0" borderId="0" xfId="0" applyNumberFormat="1" applyFont="1"/>
    <xf numFmtId="167" fontId="2" fillId="0" borderId="7" xfId="0" applyNumberFormat="1" applyFont="1" applyBorder="1"/>
    <xf numFmtId="167" fontId="2" fillId="0" borderId="8" xfId="0" applyNumberFormat="1" applyFont="1" applyBorder="1"/>
    <xf numFmtId="0" fontId="2" fillId="0" borderId="9" xfId="0" applyFont="1" applyBorder="1"/>
    <xf numFmtId="0" fontId="4" fillId="3" borderId="5" xfId="0" applyFont="1" applyFill="1" applyBorder="1"/>
    <xf numFmtId="0" fontId="2" fillId="3" borderId="5" xfId="0" applyFont="1" applyFill="1" applyBorder="1"/>
    <xf numFmtId="0" fontId="4" fillId="3" borderId="5" xfId="0" applyFont="1" applyFill="1" applyBorder="1" applyAlignment="1">
      <alignment horizontal="center"/>
    </xf>
    <xf numFmtId="167" fontId="2" fillId="0" borderId="10" xfId="0" applyNumberFormat="1" applyFont="1" applyBorder="1"/>
    <xf numFmtId="0" fontId="4" fillId="4" borderId="12" xfId="0" applyFont="1" applyFill="1" applyBorder="1"/>
    <xf numFmtId="0" fontId="4" fillId="4" borderId="14" xfId="0" applyFont="1" applyFill="1" applyBorder="1"/>
    <xf numFmtId="166" fontId="4" fillId="4" borderId="14" xfId="0" applyNumberFormat="1" applyFont="1" applyFill="1" applyBorder="1"/>
    <xf numFmtId="165" fontId="4" fillId="4" borderId="14" xfId="0" applyNumberFormat="1" applyFont="1" applyFill="1" applyBorder="1"/>
    <xf numFmtId="165" fontId="4" fillId="0" borderId="0" xfId="0" applyNumberFormat="1" applyFont="1"/>
    <xf numFmtId="167" fontId="4" fillId="4" borderId="14" xfId="0" applyNumberFormat="1" applyFont="1" applyFill="1" applyBorder="1"/>
    <xf numFmtId="167" fontId="4" fillId="4" borderId="16" xfId="0" applyNumberFormat="1" applyFont="1" applyFill="1" applyBorder="1"/>
    <xf numFmtId="0" fontId="2" fillId="0" borderId="17" xfId="0" applyFont="1" applyBorder="1"/>
    <xf numFmtId="0" fontId="4" fillId="0" borderId="18" xfId="0" applyFont="1" applyBorder="1"/>
    <xf numFmtId="168" fontId="2" fillId="0" borderId="18" xfId="0" applyNumberFormat="1" applyFont="1" applyBorder="1"/>
    <xf numFmtId="170" fontId="2" fillId="0" borderId="18" xfId="0" applyNumberFormat="1" applyFont="1" applyBorder="1"/>
    <xf numFmtId="167" fontId="2" fillId="0" borderId="18" xfId="0" applyNumberFormat="1" applyFont="1" applyBorder="1"/>
    <xf numFmtId="167" fontId="2" fillId="0" borderId="19" xfId="0" applyNumberFormat="1" applyFont="1" applyBorder="1"/>
    <xf numFmtId="49" fontId="12" fillId="5" borderId="12" xfId="0" applyNumberFormat="1" applyFont="1" applyFill="1" applyBorder="1"/>
    <xf numFmtId="49" fontId="12" fillId="5" borderId="14" xfId="0" applyNumberFormat="1" applyFont="1" applyFill="1" applyBorder="1"/>
    <xf numFmtId="166" fontId="12" fillId="5" borderId="14" xfId="0" applyNumberFormat="1" applyFont="1" applyFill="1" applyBorder="1"/>
    <xf numFmtId="165" fontId="12" fillId="5" borderId="14" xfId="0" applyNumberFormat="1" applyFont="1" applyFill="1" applyBorder="1"/>
    <xf numFmtId="0" fontId="4" fillId="0" borderId="7" xfId="0" applyFont="1" applyBorder="1" applyAlignment="1">
      <alignment horizontal="left"/>
    </xf>
    <xf numFmtId="170" fontId="4" fillId="0" borderId="7" xfId="0" applyNumberFormat="1" applyFont="1" applyBorder="1"/>
    <xf numFmtId="4" fontId="4" fillId="0" borderId="20" xfId="0" applyNumberFormat="1" applyFont="1" applyBorder="1"/>
    <xf numFmtId="167" fontId="12" fillId="5" borderId="14" xfId="0" applyNumberFormat="1" applyFont="1" applyFill="1" applyBorder="1"/>
    <xf numFmtId="0" fontId="4" fillId="4" borderId="21" xfId="0" applyFont="1" applyFill="1" applyBorder="1"/>
    <xf numFmtId="0" fontId="2" fillId="4" borderId="22" xfId="0" applyFont="1" applyFill="1" applyBorder="1"/>
    <xf numFmtId="167" fontId="12" fillId="5" borderId="16" xfId="0" applyNumberFormat="1" applyFont="1" applyFill="1" applyBorder="1"/>
    <xf numFmtId="166" fontId="4" fillId="4" borderId="23" xfId="0" applyNumberFormat="1" applyFont="1" applyFill="1" applyBorder="1"/>
    <xf numFmtId="172" fontId="2" fillId="0" borderId="0" xfId="0" applyNumberFormat="1" applyFont="1"/>
    <xf numFmtId="0" fontId="4" fillId="4" borderId="24" xfId="0" applyFont="1" applyFill="1" applyBorder="1"/>
    <xf numFmtId="0" fontId="2" fillId="4" borderId="5" xfId="0" applyFont="1" applyFill="1" applyBorder="1"/>
    <xf numFmtId="167" fontId="4" fillId="4" borderId="25" xfId="0" applyNumberFormat="1" applyFont="1" applyFill="1" applyBorder="1"/>
    <xf numFmtId="166" fontId="4" fillId="0" borderId="6" xfId="0" applyNumberFormat="1" applyFont="1" applyBorder="1"/>
    <xf numFmtId="166" fontId="4" fillId="0" borderId="7" xfId="0" applyNumberFormat="1" applyFont="1" applyBorder="1"/>
    <xf numFmtId="0" fontId="13" fillId="0" borderId="0" xfId="0" applyFont="1"/>
    <xf numFmtId="0" fontId="2" fillId="3" borderId="1" xfId="0" applyFont="1" applyFill="1" applyBorder="1"/>
    <xf numFmtId="0" fontId="4" fillId="3" borderId="1" xfId="0" applyFont="1" applyFill="1" applyBorder="1" applyAlignment="1">
      <alignment horizontal="center"/>
    </xf>
    <xf numFmtId="173" fontId="2" fillId="0" borderId="0" xfId="0" applyNumberFormat="1" applyFont="1"/>
    <xf numFmtId="0" fontId="4" fillId="0" borderId="0" xfId="0" applyFont="1" applyAlignment="1">
      <alignment horizontal="center"/>
    </xf>
    <xf numFmtId="174" fontId="5" fillId="0" borderId="7" xfId="0" applyNumberFormat="1" applyFont="1" applyBorder="1"/>
    <xf numFmtId="166" fontId="5" fillId="0" borderId="7" xfId="0" applyNumberFormat="1" applyFont="1" applyBorder="1" applyAlignment="1">
      <alignment horizontal="right"/>
    </xf>
    <xf numFmtId="174" fontId="2" fillId="0" borderId="7" xfId="0" applyNumberFormat="1" applyFont="1" applyBorder="1"/>
    <xf numFmtId="175" fontId="2" fillId="0" borderId="0" xfId="0" applyNumberFormat="1" applyFont="1"/>
    <xf numFmtId="168" fontId="5" fillId="0" borderId="0" xfId="0" applyNumberFormat="1" applyFont="1" applyAlignment="1">
      <alignment horizontal="right"/>
    </xf>
    <xf numFmtId="174" fontId="2" fillId="0" borderId="0" xfId="0" applyNumberFormat="1" applyFont="1"/>
    <xf numFmtId="174" fontId="5" fillId="0" borderId="0" xfId="0" applyNumberFormat="1" applyFont="1"/>
    <xf numFmtId="0" fontId="4" fillId="0" borderId="7" xfId="0" applyFont="1" applyBorder="1"/>
    <xf numFmtId="174" fontId="4" fillId="0" borderId="7" xfId="0" applyNumberFormat="1" applyFont="1" applyBorder="1"/>
    <xf numFmtId="0" fontId="13" fillId="0" borderId="7" xfId="0" applyFont="1" applyBorder="1"/>
    <xf numFmtId="175" fontId="2" fillId="0" borderId="7" xfId="0" applyNumberFormat="1" applyFont="1" applyBorder="1"/>
    <xf numFmtId="175" fontId="2" fillId="0" borderId="8" xfId="0" applyNumberFormat="1" applyFont="1" applyBorder="1"/>
    <xf numFmtId="175" fontId="2" fillId="0" borderId="10" xfId="0" applyNumberFormat="1" applyFont="1" applyBorder="1"/>
    <xf numFmtId="175" fontId="4" fillId="4" borderId="14" xfId="0" applyNumberFormat="1" applyFont="1" applyFill="1" applyBorder="1"/>
    <xf numFmtId="175" fontId="4" fillId="4" borderId="16" xfId="0" applyNumberFormat="1" applyFont="1" applyFill="1" applyBorder="1"/>
    <xf numFmtId="175" fontId="2" fillId="0" borderId="18" xfId="0" applyNumberFormat="1" applyFont="1" applyBorder="1"/>
    <xf numFmtId="175" fontId="2" fillId="0" borderId="19" xfId="0" applyNumberFormat="1" applyFont="1" applyBorder="1"/>
    <xf numFmtId="175" fontId="12" fillId="5" borderId="14" xfId="0" applyNumberFormat="1" applyFont="1" applyFill="1" applyBorder="1"/>
    <xf numFmtId="175" fontId="12" fillId="5" borderId="16" xfId="0" applyNumberFormat="1" applyFont="1" applyFill="1" applyBorder="1"/>
    <xf numFmtId="176" fontId="2" fillId="0" borderId="0" xfId="0" applyNumberFormat="1" applyFont="1"/>
    <xf numFmtId="9" fontId="2" fillId="0" borderId="0" xfId="0" applyNumberFormat="1" applyFont="1"/>
    <xf numFmtId="0" fontId="14" fillId="0" borderId="0" xfId="0" applyFont="1" applyAlignment="1">
      <alignment horizontal="center"/>
    </xf>
    <xf numFmtId="0" fontId="6" fillId="2" borderId="21" xfId="0" applyFont="1" applyFill="1" applyBorder="1" applyAlignment="1">
      <alignment horizontal="left"/>
    </xf>
    <xf numFmtId="0" fontId="15" fillId="2" borderId="22" xfId="0" applyFont="1" applyFill="1" applyBorder="1" applyAlignment="1">
      <alignment horizontal="left"/>
    </xf>
    <xf numFmtId="0" fontId="16" fillId="2" borderId="22" xfId="0" applyFont="1" applyFill="1" applyBorder="1" applyAlignment="1">
      <alignment horizontal="left"/>
    </xf>
    <xf numFmtId="0" fontId="6" fillId="2" borderId="23" xfId="0" applyFont="1" applyFill="1" applyBorder="1" applyAlignment="1">
      <alignment horizontal="right"/>
    </xf>
    <xf numFmtId="49" fontId="6" fillId="2" borderId="23" xfId="0" applyNumberFormat="1" applyFont="1" applyFill="1" applyBorder="1" applyAlignment="1">
      <alignment horizontal="right"/>
    </xf>
    <xf numFmtId="0" fontId="6" fillId="2" borderId="26" xfId="0" applyFont="1" applyFill="1" applyBorder="1" applyAlignment="1">
      <alignment horizontal="left"/>
    </xf>
    <xf numFmtId="0" fontId="17" fillId="2" borderId="1" xfId="0" applyFont="1" applyFill="1" applyBorder="1" applyAlignment="1">
      <alignment horizontal="left"/>
    </xf>
    <xf numFmtId="0" fontId="18" fillId="2" borderId="1" xfId="0" applyFont="1" applyFill="1" applyBorder="1" applyAlignment="1">
      <alignment horizontal="left"/>
    </xf>
    <xf numFmtId="0" fontId="6" fillId="2" borderId="27" xfId="0" applyFont="1" applyFill="1" applyBorder="1" applyAlignment="1">
      <alignment horizontal="right"/>
    </xf>
    <xf numFmtId="49" fontId="6" fillId="2" borderId="27" xfId="0" applyNumberFormat="1" applyFont="1" applyFill="1" applyBorder="1" applyAlignment="1">
      <alignment horizontal="right"/>
    </xf>
    <xf numFmtId="164" fontId="2" fillId="6" borderId="12" xfId="0" applyNumberFormat="1" applyFont="1" applyFill="1" applyBorder="1" applyAlignment="1">
      <alignment horizontal="center"/>
    </xf>
    <xf numFmtId="164" fontId="2" fillId="6" borderId="14" xfId="0" applyNumberFormat="1" applyFont="1" applyFill="1" applyBorder="1" applyAlignment="1">
      <alignment horizontal="center"/>
    </xf>
    <xf numFmtId="164" fontId="2" fillId="6" borderId="16" xfId="0" applyNumberFormat="1" applyFont="1" applyFill="1" applyBorder="1" applyAlignment="1">
      <alignment horizontal="center"/>
    </xf>
    <xf numFmtId="164" fontId="2" fillId="6" borderId="20" xfId="0" applyNumberFormat="1" applyFont="1" applyFill="1" applyBorder="1" applyAlignment="1">
      <alignment horizontal="center"/>
    </xf>
    <xf numFmtId="164" fontId="2" fillId="0" borderId="30" xfId="0" applyNumberFormat="1" applyFont="1" applyBorder="1" applyAlignment="1">
      <alignment horizontal="center"/>
    </xf>
    <xf numFmtId="164" fontId="2" fillId="0" borderId="31" xfId="0" applyNumberFormat="1" applyFont="1" applyBorder="1" applyAlignment="1">
      <alignment horizontal="center"/>
    </xf>
    <xf numFmtId="164" fontId="2" fillId="0" borderId="32" xfId="0" applyNumberFormat="1" applyFont="1" applyBorder="1" applyAlignment="1">
      <alignment horizontal="center"/>
    </xf>
    <xf numFmtId="164" fontId="2" fillId="0" borderId="20" xfId="0" applyNumberFormat="1" applyFont="1" applyBorder="1" applyAlignment="1">
      <alignment horizontal="center"/>
    </xf>
    <xf numFmtId="165" fontId="14" fillId="0" borderId="9" xfId="0" applyNumberFormat="1" applyFont="1" applyBorder="1"/>
    <xf numFmtId="165" fontId="14" fillId="0" borderId="0" xfId="0" applyNumberFormat="1" applyFont="1"/>
    <xf numFmtId="165" fontId="2" fillId="0" borderId="10" xfId="0" applyNumberFormat="1" applyFont="1" applyBorder="1"/>
    <xf numFmtId="170" fontId="14" fillId="0" borderId="9" xfId="0" applyNumberFormat="1" applyFont="1" applyBorder="1"/>
    <xf numFmtId="170" fontId="14" fillId="0" borderId="0" xfId="0" applyNumberFormat="1" applyFont="1"/>
    <xf numFmtId="170" fontId="2" fillId="0" borderId="10" xfId="0" applyNumberFormat="1" applyFont="1" applyBorder="1"/>
    <xf numFmtId="170" fontId="2" fillId="0" borderId="9" xfId="0" applyNumberFormat="1" applyFont="1" applyBorder="1"/>
    <xf numFmtId="0" fontId="2" fillId="0" borderId="7" xfId="0" applyFont="1" applyBorder="1" applyAlignment="1">
      <alignment horizontal="left"/>
    </xf>
    <xf numFmtId="165" fontId="4" fillId="0" borderId="6" xfId="0" applyNumberFormat="1" applyFont="1" applyBorder="1"/>
    <xf numFmtId="165" fontId="4" fillId="0" borderId="7" xfId="0" applyNumberFormat="1" applyFont="1" applyBorder="1"/>
    <xf numFmtId="165" fontId="4" fillId="0" borderId="8" xfId="0" applyNumberFormat="1" applyFont="1" applyBorder="1"/>
    <xf numFmtId="9" fontId="5" fillId="0" borderId="9" xfId="0" applyNumberFormat="1" applyFont="1" applyBorder="1"/>
    <xf numFmtId="9" fontId="5" fillId="0" borderId="0" xfId="0" applyNumberFormat="1" applyFont="1"/>
    <xf numFmtId="177" fontId="2" fillId="0" borderId="10" xfId="0" applyNumberFormat="1" applyFont="1" applyBorder="1"/>
    <xf numFmtId="177" fontId="14" fillId="0" borderId="10" xfId="0" applyNumberFormat="1" applyFont="1" applyBorder="1"/>
    <xf numFmtId="177" fontId="5" fillId="0" borderId="10" xfId="0" applyNumberFormat="1" applyFont="1" applyBorder="1"/>
    <xf numFmtId="178" fontId="2" fillId="0" borderId="0" xfId="0" applyNumberFormat="1" applyFont="1"/>
    <xf numFmtId="9" fontId="2" fillId="0" borderId="10" xfId="0" applyNumberFormat="1" applyFont="1" applyBorder="1"/>
    <xf numFmtId="0" fontId="4" fillId="7" borderId="26" xfId="0" applyFont="1" applyFill="1" applyBorder="1" applyAlignment="1">
      <alignment horizontal="center"/>
    </xf>
    <xf numFmtId="0" fontId="2" fillId="7" borderId="1" xfId="0" applyFont="1" applyFill="1" applyBorder="1" applyAlignment="1">
      <alignment horizontal="center"/>
    </xf>
    <xf numFmtId="165" fontId="2" fillId="0" borderId="20" xfId="0" applyNumberFormat="1" applyFont="1" applyBorder="1"/>
    <xf numFmtId="165" fontId="14" fillId="0" borderId="20" xfId="0" applyNumberFormat="1" applyFont="1" applyBorder="1"/>
    <xf numFmtId="170" fontId="14" fillId="0" borderId="20" xfId="0" applyNumberFormat="1" applyFont="1" applyBorder="1"/>
    <xf numFmtId="170" fontId="2" fillId="0" borderId="20" xfId="0" applyNumberFormat="1" applyFont="1" applyBorder="1"/>
    <xf numFmtId="170" fontId="14" fillId="0" borderId="20" xfId="0" applyNumberFormat="1" applyFont="1" applyBorder="1" applyAlignment="1">
      <alignment horizontal="right"/>
    </xf>
    <xf numFmtId="170" fontId="14" fillId="0" borderId="20" xfId="0" applyNumberFormat="1" applyFont="1" applyBorder="1" applyAlignment="1">
      <alignment horizontal="left"/>
    </xf>
    <xf numFmtId="0" fontId="2" fillId="7" borderId="27" xfId="0" applyFont="1" applyFill="1" applyBorder="1" applyAlignment="1">
      <alignment horizontal="center"/>
    </xf>
    <xf numFmtId="0" fontId="4" fillId="7" borderId="24" xfId="0" applyFont="1" applyFill="1" applyBorder="1" applyAlignment="1">
      <alignment horizontal="center"/>
    </xf>
    <xf numFmtId="14" fontId="2" fillId="0" borderId="0" xfId="0" applyNumberFormat="1" applyFont="1"/>
    <xf numFmtId="0" fontId="2" fillId="7" borderId="5" xfId="0" applyFont="1" applyFill="1" applyBorder="1" applyAlignment="1">
      <alignment horizontal="center"/>
    </xf>
    <xf numFmtId="164" fontId="19" fillId="0" borderId="0" xfId="0" applyNumberFormat="1" applyFont="1"/>
    <xf numFmtId="0" fontId="20" fillId="0" borderId="0" xfId="0" applyFont="1"/>
    <xf numFmtId="0" fontId="2" fillId="0" borderId="10" xfId="0" applyFont="1" applyBorder="1"/>
    <xf numFmtId="1" fontId="2" fillId="0" borderId="0" xfId="0" applyNumberFormat="1" applyFont="1"/>
    <xf numFmtId="1" fontId="2" fillId="6" borderId="12" xfId="0" applyNumberFormat="1" applyFont="1" applyFill="1" applyBorder="1" applyAlignment="1">
      <alignment horizontal="center"/>
    </xf>
    <xf numFmtId="1" fontId="2" fillId="6" borderId="14" xfId="0" applyNumberFormat="1" applyFont="1" applyFill="1" applyBorder="1" applyAlignment="1">
      <alignment horizontal="center"/>
    </xf>
    <xf numFmtId="1" fontId="2" fillId="7" borderId="33" xfId="0" applyNumberFormat="1" applyFont="1" applyFill="1" applyBorder="1" applyAlignment="1">
      <alignment horizontal="center"/>
    </xf>
    <xf numFmtId="0" fontId="2" fillId="7" borderId="33" xfId="0" applyFont="1" applyFill="1" applyBorder="1" applyAlignment="1">
      <alignment horizontal="center"/>
    </xf>
    <xf numFmtId="165" fontId="5" fillId="0" borderId="20" xfId="0" applyNumberFormat="1" applyFont="1" applyBorder="1"/>
    <xf numFmtId="170" fontId="5" fillId="0" borderId="20" xfId="0" applyNumberFormat="1" applyFont="1" applyBorder="1"/>
    <xf numFmtId="0" fontId="2" fillId="7" borderId="34" xfId="0" applyFont="1" applyFill="1" applyBorder="1" applyAlignment="1">
      <alignment horizontal="center"/>
    </xf>
    <xf numFmtId="0" fontId="4" fillId="7" borderId="21" xfId="0" applyFont="1" applyFill="1" applyBorder="1" applyAlignment="1">
      <alignment horizontal="center"/>
    </xf>
    <xf numFmtId="0" fontId="2" fillId="7" borderId="22" xfId="0" applyFont="1" applyFill="1" applyBorder="1" applyAlignment="1">
      <alignment horizontal="center"/>
    </xf>
    <xf numFmtId="166" fontId="14" fillId="0" borderId="20" xfId="0" applyNumberFormat="1" applyFont="1" applyBorder="1"/>
    <xf numFmtId="166" fontId="5" fillId="0" borderId="20" xfId="0" applyNumberFormat="1" applyFont="1" applyBorder="1"/>
    <xf numFmtId="4" fontId="14" fillId="0" borderId="20" xfId="0" applyNumberFormat="1" applyFont="1" applyBorder="1" applyAlignment="1">
      <alignment horizontal="right"/>
    </xf>
    <xf numFmtId="0" fontId="2" fillId="7" borderId="26" xfId="0" applyFont="1" applyFill="1" applyBorder="1"/>
    <xf numFmtId="0" fontId="2" fillId="7" borderId="1" xfId="0" applyFont="1" applyFill="1" applyBorder="1"/>
    <xf numFmtId="0" fontId="2" fillId="7" borderId="27" xfId="0" applyFont="1" applyFill="1" applyBorder="1"/>
    <xf numFmtId="0" fontId="4" fillId="6" borderId="12" xfId="0" applyFont="1" applyFill="1" applyBorder="1" applyAlignment="1">
      <alignment horizontal="center"/>
    </xf>
    <xf numFmtId="0" fontId="4" fillId="6" borderId="14" xfId="0" applyFont="1" applyFill="1" applyBorder="1" applyAlignment="1">
      <alignment horizontal="center"/>
    </xf>
    <xf numFmtId="0" fontId="4" fillId="6" borderId="16" xfId="0" applyFont="1" applyFill="1" applyBorder="1" applyAlignment="1">
      <alignment horizontal="center"/>
    </xf>
    <xf numFmtId="174" fontId="14" fillId="0" borderId="20" xfId="0" applyNumberFormat="1" applyFont="1" applyBorder="1"/>
    <xf numFmtId="166" fontId="14" fillId="0" borderId="20" xfId="0" applyNumberFormat="1" applyFont="1" applyBorder="1" applyAlignment="1">
      <alignment horizontal="right"/>
    </xf>
    <xf numFmtId="174" fontId="2" fillId="0" borderId="20" xfId="0" applyNumberFormat="1" applyFont="1" applyBorder="1"/>
    <xf numFmtId="0" fontId="6" fillId="2" borderId="5" xfId="0" applyFont="1" applyFill="1" applyBorder="1" applyAlignment="1">
      <alignment horizontal="left"/>
    </xf>
    <xf numFmtId="0" fontId="21" fillId="2" borderId="5" xfId="0" applyFont="1" applyFill="1" applyBorder="1" applyAlignment="1">
      <alignment horizontal="left"/>
    </xf>
    <xf numFmtId="49" fontId="14" fillId="8" borderId="35" xfId="0" applyNumberFormat="1" applyFont="1" applyFill="1" applyBorder="1" applyAlignment="1">
      <alignment horizontal="left"/>
    </xf>
    <xf numFmtId="164" fontId="14" fillId="8" borderId="35" xfId="0" applyNumberFormat="1" applyFont="1" applyFill="1" applyBorder="1" applyAlignment="1">
      <alignment horizontal="center"/>
    </xf>
    <xf numFmtId="179" fontId="14" fillId="0" borderId="0" xfId="0" applyNumberFormat="1" applyFont="1"/>
    <xf numFmtId="49" fontId="14" fillId="8" borderId="35" xfId="0" applyNumberFormat="1" applyFont="1" applyFill="1" applyBorder="1" applyAlignment="1">
      <alignment horizontal="center"/>
    </xf>
    <xf numFmtId="164" fontId="2" fillId="8" borderId="35" xfId="0" applyNumberFormat="1" applyFont="1" applyFill="1" applyBorder="1" applyAlignment="1">
      <alignment horizontal="center"/>
    </xf>
    <xf numFmtId="37" fontId="14" fillId="8" borderId="35" xfId="0" applyNumberFormat="1" applyFont="1" applyFill="1" applyBorder="1" applyAlignment="1">
      <alignment horizontal="center"/>
    </xf>
    <xf numFmtId="175" fontId="14" fillId="0" borderId="0" xfId="0" applyNumberFormat="1" applyFont="1"/>
    <xf numFmtId="166" fontId="14" fillId="8" borderId="35" xfId="0" applyNumberFormat="1" applyFont="1" applyFill="1" applyBorder="1"/>
    <xf numFmtId="167" fontId="2" fillId="8" borderId="35" xfId="0" applyNumberFormat="1" applyFont="1" applyFill="1" applyBorder="1" applyAlignment="1">
      <alignment horizontal="center"/>
    </xf>
    <xf numFmtId="167" fontId="13" fillId="0" borderId="0" xfId="0" applyNumberFormat="1" applyFont="1"/>
    <xf numFmtId="180" fontId="14" fillId="8" borderId="35" xfId="0" applyNumberFormat="1" applyFont="1" applyFill="1" applyBorder="1" applyAlignment="1">
      <alignment horizontal="center"/>
    </xf>
    <xf numFmtId="167" fontId="14" fillId="8" borderId="35" xfId="0" applyNumberFormat="1" applyFont="1" applyFill="1" applyBorder="1" applyAlignment="1">
      <alignment horizontal="center"/>
    </xf>
    <xf numFmtId="0" fontId="22" fillId="2" borderId="1" xfId="0" applyFont="1" applyFill="1" applyBorder="1"/>
    <xf numFmtId="0" fontId="23" fillId="2" borderId="1" xfId="0" applyFont="1" applyFill="1" applyBorder="1"/>
    <xf numFmtId="0" fontId="2" fillId="0" borderId="38" xfId="0" applyFont="1" applyBorder="1"/>
    <xf numFmtId="0" fontId="12" fillId="2" borderId="5" xfId="0" applyFont="1" applyFill="1" applyBorder="1"/>
    <xf numFmtId="0" fontId="24" fillId="2" borderId="5" xfId="0" applyFont="1" applyFill="1" applyBorder="1" applyAlignment="1">
      <alignment horizontal="center"/>
    </xf>
    <xf numFmtId="181" fontId="12" fillId="2" borderId="5" xfId="0" applyNumberFormat="1" applyFont="1" applyFill="1" applyBorder="1" applyAlignment="1">
      <alignment horizontal="center"/>
    </xf>
    <xf numFmtId="181" fontId="12" fillId="2" borderId="39" xfId="0" applyNumberFormat="1" applyFont="1" applyFill="1" applyBorder="1" applyAlignment="1">
      <alignment horizontal="center"/>
    </xf>
    <xf numFmtId="180" fontId="2" fillId="0" borderId="0" xfId="0" applyNumberFormat="1" applyFont="1"/>
    <xf numFmtId="180" fontId="2" fillId="0" borderId="7" xfId="0" applyNumberFormat="1" applyFont="1" applyBorder="1"/>
    <xf numFmtId="0" fontId="13" fillId="3" borderId="5" xfId="0" applyFont="1" applyFill="1" applyBorder="1"/>
    <xf numFmtId="181" fontId="4" fillId="3" borderId="5" xfId="0" applyNumberFormat="1" applyFont="1" applyFill="1" applyBorder="1" applyAlignment="1">
      <alignment horizontal="center"/>
    </xf>
    <xf numFmtId="181" fontId="4" fillId="3" borderId="25" xfId="0" applyNumberFormat="1" applyFont="1" applyFill="1" applyBorder="1" applyAlignment="1">
      <alignment horizontal="center"/>
    </xf>
    <xf numFmtId="0" fontId="19" fillId="0" borderId="0" xfId="0" applyFont="1" applyAlignment="1">
      <alignment horizontal="left"/>
    </xf>
    <xf numFmtId="182" fontId="14" fillId="0" borderId="0" xfId="0" applyNumberFormat="1" applyFont="1"/>
    <xf numFmtId="9" fontId="14" fillId="0" borderId="0" xfId="0" applyNumberFormat="1" applyFont="1"/>
    <xf numFmtId="0" fontId="13" fillId="0" borderId="0" xfId="0" applyFont="1" applyAlignment="1">
      <alignment horizontal="center"/>
    </xf>
    <xf numFmtId="183" fontId="2" fillId="0" borderId="0" xfId="0" applyNumberFormat="1" applyFont="1"/>
    <xf numFmtId="184" fontId="19" fillId="0" borderId="0" xfId="0" applyNumberFormat="1" applyFont="1"/>
    <xf numFmtId="177" fontId="25" fillId="0" borderId="0" xfId="0" applyNumberFormat="1" applyFont="1"/>
    <xf numFmtId="185" fontId="14" fillId="8" borderId="35" xfId="0" applyNumberFormat="1" applyFont="1" applyFill="1" applyBorder="1"/>
    <xf numFmtId="185" fontId="19" fillId="0" borderId="0" xfId="0" applyNumberFormat="1" applyFont="1"/>
    <xf numFmtId="174" fontId="14" fillId="7" borderId="14" xfId="0" applyNumberFormat="1" applyFont="1" applyFill="1" applyBorder="1"/>
    <xf numFmtId="166" fontId="14" fillId="7" borderId="14" xfId="0" applyNumberFormat="1" applyFont="1" applyFill="1" applyBorder="1" applyAlignment="1">
      <alignment horizontal="right"/>
    </xf>
    <xf numFmtId="4" fontId="2" fillId="7" borderId="16" xfId="0" applyNumberFormat="1" applyFont="1" applyFill="1" applyBorder="1"/>
    <xf numFmtId="177" fontId="19" fillId="0" borderId="0" xfId="0" applyNumberFormat="1" applyFont="1"/>
    <xf numFmtId="0" fontId="26" fillId="0" borderId="0" xfId="0" applyFont="1"/>
    <xf numFmtId="172" fontId="19" fillId="0" borderId="0" xfId="0" applyNumberFormat="1" applyFont="1"/>
    <xf numFmtId="172" fontId="14" fillId="0" borderId="20" xfId="0" applyNumberFormat="1" applyFont="1" applyBorder="1"/>
    <xf numFmtId="166" fontId="14" fillId="0" borderId="31" xfId="0" applyNumberFormat="1" applyFont="1" applyBorder="1"/>
    <xf numFmtId="0" fontId="25" fillId="0" borderId="0" xfId="0" applyFont="1" applyAlignment="1">
      <alignment horizontal="left"/>
    </xf>
    <xf numFmtId="177" fontId="13" fillId="0" borderId="0" xfId="0" applyNumberFormat="1" applyFont="1"/>
    <xf numFmtId="177" fontId="2" fillId="0" borderId="0" xfId="0" applyNumberFormat="1" applyFont="1"/>
    <xf numFmtId="167" fontId="14" fillId="0" borderId="0" xfId="0" applyNumberFormat="1" applyFont="1"/>
    <xf numFmtId="174" fontId="14" fillId="7" borderId="22" xfId="0" applyNumberFormat="1" applyFont="1" applyFill="1" applyBorder="1"/>
    <xf numFmtId="166" fontId="14" fillId="7" borderId="22" xfId="0" applyNumberFormat="1" applyFont="1" applyFill="1" applyBorder="1" applyAlignment="1">
      <alignment horizontal="right"/>
    </xf>
    <xf numFmtId="4" fontId="2" fillId="7" borderId="23" xfId="0" applyNumberFormat="1" applyFont="1" applyFill="1" applyBorder="1"/>
    <xf numFmtId="174" fontId="14" fillId="7" borderId="27" xfId="0" applyNumberFormat="1" applyFont="1" applyFill="1" applyBorder="1"/>
    <xf numFmtId="0" fontId="4" fillId="6" borderId="20" xfId="0" applyFont="1" applyFill="1" applyBorder="1" applyAlignment="1">
      <alignment horizontal="center"/>
    </xf>
    <xf numFmtId="174" fontId="14" fillId="7" borderId="1" xfId="0" applyNumberFormat="1" applyFont="1" applyFill="1" applyBorder="1"/>
    <xf numFmtId="174" fontId="14" fillId="7" borderId="16" xfId="0" applyNumberFormat="1" applyFont="1" applyFill="1" applyBorder="1"/>
    <xf numFmtId="0" fontId="2" fillId="7" borderId="24" xfId="0" applyFont="1" applyFill="1" applyBorder="1"/>
    <xf numFmtId="0" fontId="2" fillId="7" borderId="5" xfId="0" applyFont="1" applyFill="1" applyBorder="1"/>
    <xf numFmtId="0" fontId="2" fillId="0" borderId="8" xfId="0" applyFont="1" applyBorder="1"/>
    <xf numFmtId="0" fontId="2" fillId="7" borderId="23" xfId="0" applyFont="1" applyFill="1" applyBorder="1" applyAlignment="1">
      <alignment horizontal="center"/>
    </xf>
    <xf numFmtId="186" fontId="2" fillId="0" borderId="0" xfId="0" applyNumberFormat="1" applyFont="1"/>
    <xf numFmtId="187" fontId="2" fillId="9" borderId="1" xfId="0" applyNumberFormat="1" applyFont="1" applyFill="1" applyBorder="1"/>
    <xf numFmtId="187" fontId="14" fillId="9" borderId="1" xfId="0" applyNumberFormat="1" applyFont="1" applyFill="1" applyBorder="1"/>
    <xf numFmtId="4" fontId="14" fillId="0" borderId="20" xfId="0" applyNumberFormat="1" applyFont="1" applyBorder="1"/>
    <xf numFmtId="188" fontId="19" fillId="0" borderId="0" xfId="0" applyNumberFormat="1" applyFont="1"/>
    <xf numFmtId="189" fontId="2" fillId="0" borderId="0" xfId="0" applyNumberFormat="1" applyFont="1"/>
    <xf numFmtId="0" fontId="13" fillId="0" borderId="0" xfId="0" applyFont="1" applyAlignment="1">
      <alignment horizontal="left"/>
    </xf>
    <xf numFmtId="169" fontId="2" fillId="0" borderId="6" xfId="0" applyNumberFormat="1" applyFont="1" applyBorder="1"/>
    <xf numFmtId="169" fontId="2" fillId="0" borderId="7" xfId="0" applyNumberFormat="1" applyFont="1" applyBorder="1"/>
    <xf numFmtId="169" fontId="2" fillId="0" borderId="8" xfId="0" applyNumberFormat="1" applyFont="1" applyBorder="1"/>
    <xf numFmtId="0" fontId="27" fillId="0" borderId="0" xfId="0" applyFont="1"/>
    <xf numFmtId="181" fontId="4" fillId="0" borderId="0" xfId="0" applyNumberFormat="1" applyFont="1" applyAlignment="1">
      <alignment horizontal="center"/>
    </xf>
    <xf numFmtId="170" fontId="19" fillId="0" borderId="0" xfId="0" applyNumberFormat="1" applyFont="1"/>
    <xf numFmtId="190" fontId="14" fillId="8" borderId="40" xfId="0" applyNumberFormat="1" applyFont="1" applyFill="1" applyBorder="1"/>
    <xf numFmtId="169" fontId="2" fillId="0" borderId="9" xfId="0" applyNumberFormat="1" applyFont="1" applyBorder="1"/>
    <xf numFmtId="169" fontId="2" fillId="0" borderId="0" xfId="0" applyNumberFormat="1" applyFont="1"/>
    <xf numFmtId="169" fontId="2" fillId="0" borderId="10" xfId="0" applyNumberFormat="1" applyFont="1" applyBorder="1"/>
    <xf numFmtId="10" fontId="28" fillId="9" borderId="1" xfId="0" applyNumberFormat="1" applyFont="1" applyFill="1" applyBorder="1" applyAlignment="1">
      <alignment horizontal="left"/>
    </xf>
    <xf numFmtId="169" fontId="2" fillId="0" borderId="17" xfId="0" applyNumberFormat="1" applyFont="1" applyBorder="1"/>
    <xf numFmtId="170" fontId="14" fillId="8" borderId="35" xfId="0" applyNumberFormat="1" applyFont="1" applyFill="1" applyBorder="1" applyAlignment="1">
      <alignment horizontal="center"/>
    </xf>
    <xf numFmtId="169" fontId="2" fillId="0" borderId="18" xfId="0" applyNumberFormat="1" applyFont="1" applyBorder="1"/>
    <xf numFmtId="10" fontId="29" fillId="0" borderId="0" xfId="0" applyNumberFormat="1" applyFont="1"/>
    <xf numFmtId="169" fontId="2" fillId="0" borderId="19" xfId="0" applyNumberFormat="1" applyFont="1" applyBorder="1"/>
    <xf numFmtId="49" fontId="2" fillId="0" borderId="0" xfId="0" applyNumberFormat="1" applyFont="1" applyAlignment="1">
      <alignment horizontal="left"/>
    </xf>
    <xf numFmtId="0" fontId="24" fillId="2" borderId="5" xfId="0" applyFont="1" applyFill="1" applyBorder="1"/>
    <xf numFmtId="0" fontId="23" fillId="2" borderId="5" xfId="0" applyFont="1" applyFill="1" applyBorder="1"/>
    <xf numFmtId="0" fontId="22" fillId="2" borderId="5" xfId="0" applyFont="1" applyFill="1" applyBorder="1"/>
    <xf numFmtId="191" fontId="5" fillId="0" borderId="41" xfId="0" applyNumberFormat="1" applyFont="1" applyBorder="1" applyAlignment="1">
      <alignment horizontal="center"/>
    </xf>
    <xf numFmtId="191" fontId="14" fillId="8" borderId="40" xfId="0" applyNumberFormat="1" applyFont="1" applyFill="1" applyBorder="1" applyAlignment="1">
      <alignment horizontal="center"/>
    </xf>
    <xf numFmtId="192" fontId="2" fillId="0" borderId="41" xfId="0" applyNumberFormat="1" applyFont="1" applyBorder="1" applyAlignment="1">
      <alignment horizontal="center"/>
    </xf>
    <xf numFmtId="190" fontId="2" fillId="0" borderId="41" xfId="0" applyNumberFormat="1" applyFont="1" applyBorder="1" applyAlignment="1">
      <alignment horizontal="center"/>
    </xf>
    <xf numFmtId="192" fontId="14" fillId="8" borderId="40" xfId="0" applyNumberFormat="1" applyFont="1" applyFill="1" applyBorder="1" applyAlignment="1">
      <alignment horizontal="center"/>
    </xf>
    <xf numFmtId="190" fontId="14" fillId="8" borderId="40" xfId="0" applyNumberFormat="1" applyFont="1" applyFill="1" applyBorder="1" applyAlignment="1">
      <alignment horizontal="center"/>
    </xf>
    <xf numFmtId="167" fontId="2" fillId="0" borderId="0" xfId="0" applyNumberFormat="1" applyFont="1" applyAlignment="1">
      <alignment horizontal="center"/>
    </xf>
    <xf numFmtId="175" fontId="2" fillId="0" borderId="0" xfId="0" applyNumberFormat="1" applyFont="1" applyAlignment="1">
      <alignment horizontal="center"/>
    </xf>
    <xf numFmtId="0" fontId="2" fillId="7" borderId="23" xfId="0" applyFont="1" applyFill="1" applyBorder="1"/>
    <xf numFmtId="0" fontId="2" fillId="0" borderId="18" xfId="0" applyFont="1" applyBorder="1" applyAlignment="1">
      <alignment horizontal="left"/>
    </xf>
    <xf numFmtId="0" fontId="2" fillId="0" borderId="18" xfId="0" applyFont="1" applyBorder="1"/>
    <xf numFmtId="0" fontId="4" fillId="0" borderId="0" xfId="0" applyFont="1" applyAlignment="1">
      <alignment horizontal="left"/>
    </xf>
    <xf numFmtId="170" fontId="4" fillId="0" borderId="0" xfId="0" applyNumberFormat="1" applyFont="1"/>
    <xf numFmtId="194" fontId="2" fillId="8" borderId="42" xfId="0" applyNumberFormat="1" applyFont="1" applyFill="1" applyBorder="1"/>
    <xf numFmtId="194" fontId="2" fillId="8" borderId="42" xfId="0" applyNumberFormat="1" applyFont="1" applyFill="1" applyBorder="1" applyAlignment="1">
      <alignment horizontal="center"/>
    </xf>
    <xf numFmtId="174" fontId="2" fillId="0" borderId="18" xfId="0" applyNumberFormat="1" applyFont="1" applyBorder="1"/>
    <xf numFmtId="174" fontId="4" fillId="0" borderId="0" xfId="0" applyNumberFormat="1" applyFont="1"/>
    <xf numFmtId="0" fontId="12" fillId="2" borderId="43" xfId="0" applyFont="1" applyFill="1" applyBorder="1" applyAlignment="1">
      <alignment horizontal="center"/>
    </xf>
    <xf numFmtId="181" fontId="12" fillId="2" borderId="44" xfId="0" applyNumberFormat="1" applyFont="1" applyFill="1" applyBorder="1" applyAlignment="1">
      <alignment horizontal="center"/>
    </xf>
    <xf numFmtId="180" fontId="14" fillId="0" borderId="0" xfId="0" applyNumberFormat="1" applyFont="1"/>
    <xf numFmtId="170" fontId="30" fillId="0" borderId="7" xfId="0" applyNumberFormat="1" applyFont="1" applyBorder="1"/>
    <xf numFmtId="177" fontId="14" fillId="8" borderId="35" xfId="0" applyNumberFormat="1" applyFont="1" applyFill="1" applyBorder="1" applyAlignment="1">
      <alignment horizontal="center"/>
    </xf>
    <xf numFmtId="195" fontId="27" fillId="0" borderId="0" xfId="0" applyNumberFormat="1" applyFont="1"/>
    <xf numFmtId="165" fontId="27" fillId="0" borderId="0" xfId="0" applyNumberFormat="1" applyFont="1"/>
    <xf numFmtId="196" fontId="4" fillId="0" borderId="0" xfId="0" applyNumberFormat="1" applyFont="1"/>
    <xf numFmtId="177" fontId="4" fillId="0" borderId="0" xfId="0" applyNumberFormat="1" applyFont="1"/>
    <xf numFmtId="197" fontId="4" fillId="0" borderId="0" xfId="0" applyNumberFormat="1" applyFont="1"/>
    <xf numFmtId="198" fontId="2" fillId="0" borderId="0" xfId="0" applyNumberFormat="1" applyFont="1"/>
    <xf numFmtId="169" fontId="2" fillId="0" borderId="20" xfId="0" applyNumberFormat="1" applyFont="1" applyBorder="1"/>
    <xf numFmtId="198" fontId="14" fillId="0" borderId="0" xfId="0" applyNumberFormat="1" applyFont="1"/>
    <xf numFmtId="0" fontId="13" fillId="0" borderId="18" xfId="0" applyFont="1" applyBorder="1" applyAlignment="1">
      <alignment horizontal="center"/>
    </xf>
    <xf numFmtId="170" fontId="14" fillId="0" borderId="18" xfId="0" applyNumberFormat="1" applyFont="1" applyBorder="1"/>
    <xf numFmtId="171" fontId="13" fillId="0" borderId="0" xfId="0" applyNumberFormat="1" applyFont="1"/>
    <xf numFmtId="198" fontId="4" fillId="0" borderId="0" xfId="0" applyNumberFormat="1" applyFont="1"/>
    <xf numFmtId="170" fontId="30" fillId="0" borderId="0" xfId="0" applyNumberFormat="1" applyFont="1"/>
    <xf numFmtId="168" fontId="13" fillId="0" borderId="0" xfId="0" applyNumberFormat="1" applyFont="1"/>
    <xf numFmtId="170" fontId="14" fillId="8" borderId="35" xfId="0" applyNumberFormat="1" applyFont="1" applyFill="1" applyBorder="1"/>
    <xf numFmtId="0" fontId="13" fillId="0" borderId="7" xfId="0" applyFont="1" applyBorder="1" applyAlignment="1">
      <alignment horizontal="center"/>
    </xf>
    <xf numFmtId="170" fontId="19" fillId="0" borderId="18" xfId="0" applyNumberFormat="1" applyFont="1" applyBorder="1"/>
    <xf numFmtId="170" fontId="31" fillId="0" borderId="0" xfId="0" applyNumberFormat="1" applyFont="1"/>
    <xf numFmtId="0" fontId="4" fillId="10" borderId="1" xfId="0" applyFont="1" applyFill="1" applyBorder="1"/>
    <xf numFmtId="0" fontId="13" fillId="10" borderId="1" xfId="0" applyFont="1" applyFill="1" applyBorder="1" applyAlignment="1">
      <alignment horizontal="center"/>
    </xf>
    <xf numFmtId="170" fontId="30" fillId="10" borderId="1" xfId="0" applyNumberFormat="1" applyFont="1" applyFill="1" applyBorder="1"/>
    <xf numFmtId="194" fontId="2" fillId="0" borderId="0" xfId="0" applyNumberFormat="1" applyFont="1"/>
    <xf numFmtId="199" fontId="2" fillId="0" borderId="0" xfId="0" applyNumberFormat="1" applyFont="1"/>
    <xf numFmtId="193" fontId="2" fillId="0" borderId="0" xfId="0" applyNumberFormat="1" applyFont="1"/>
    <xf numFmtId="0" fontId="32" fillId="0" borderId="0" xfId="0" applyFont="1"/>
    <xf numFmtId="0" fontId="4" fillId="4" borderId="1" xfId="0" applyFont="1" applyFill="1" applyBorder="1"/>
    <xf numFmtId="0" fontId="13" fillId="4" borderId="1" xfId="0" applyFont="1" applyFill="1" applyBorder="1" applyAlignment="1">
      <alignment horizontal="center"/>
    </xf>
    <xf numFmtId="170" fontId="4" fillId="4" borderId="1" xfId="0" applyNumberFormat="1" applyFont="1" applyFill="1" applyBorder="1"/>
    <xf numFmtId="0" fontId="22" fillId="2" borderId="21" xfId="0" applyFont="1" applyFill="1" applyBorder="1"/>
    <xf numFmtId="0" fontId="22" fillId="2" borderId="14" xfId="0" applyFont="1" applyFill="1" applyBorder="1"/>
    <xf numFmtId="0" fontId="22" fillId="2" borderId="26" xfId="0" applyFont="1" applyFill="1" applyBorder="1"/>
    <xf numFmtId="167" fontId="33" fillId="11" borderId="26" xfId="0" applyNumberFormat="1" applyFont="1" applyFill="1" applyBorder="1"/>
    <xf numFmtId="200" fontId="12" fillId="11" borderId="1" xfId="0" applyNumberFormat="1" applyFont="1" applyFill="1" applyBorder="1" applyAlignment="1">
      <alignment horizontal="center"/>
    </xf>
    <xf numFmtId="200" fontId="12" fillId="11" borderId="25" xfId="0" applyNumberFormat="1" applyFont="1" applyFill="1" applyBorder="1" applyAlignment="1">
      <alignment horizontal="center"/>
    </xf>
    <xf numFmtId="179" fontId="12" fillId="11" borderId="1" xfId="0" applyNumberFormat="1" applyFont="1" applyFill="1" applyBorder="1" applyAlignment="1">
      <alignment horizontal="center"/>
    </xf>
    <xf numFmtId="166" fontId="2" fillId="0" borderId="6" xfId="0" applyNumberFormat="1" applyFont="1" applyBorder="1"/>
    <xf numFmtId="168" fontId="2" fillId="0" borderId="9" xfId="0" applyNumberFormat="1" applyFont="1" applyBorder="1"/>
    <xf numFmtId="179" fontId="12" fillId="11" borderId="34" xfId="0" applyNumberFormat="1" applyFont="1" applyFill="1" applyBorder="1" applyAlignment="1">
      <alignment horizontal="center"/>
    </xf>
    <xf numFmtId="192" fontId="12" fillId="11" borderId="1" xfId="0" applyNumberFormat="1" applyFont="1" applyFill="1" applyBorder="1" applyAlignment="1">
      <alignment horizontal="center"/>
    </xf>
    <xf numFmtId="192" fontId="12" fillId="11" borderId="16" xfId="0" applyNumberFormat="1" applyFont="1" applyFill="1" applyBorder="1" applyAlignment="1">
      <alignment horizontal="center"/>
    </xf>
    <xf numFmtId="0" fontId="13" fillId="0" borderId="18" xfId="0" applyFont="1" applyBorder="1"/>
    <xf numFmtId="0" fontId="9" fillId="2" borderId="5" xfId="0" applyFont="1" applyFill="1" applyBorder="1"/>
    <xf numFmtId="0" fontId="9" fillId="0" borderId="0" xfId="0" applyFont="1"/>
    <xf numFmtId="191" fontId="14" fillId="0" borderId="0" xfId="0" applyNumberFormat="1" applyFont="1"/>
    <xf numFmtId="191" fontId="2" fillId="8" borderId="40" xfId="0" applyNumberFormat="1" applyFont="1" applyFill="1" applyBorder="1" applyAlignment="1">
      <alignment horizontal="center"/>
    </xf>
    <xf numFmtId="0" fontId="34" fillId="0" borderId="0" xfId="0" applyFont="1"/>
    <xf numFmtId="201" fontId="2" fillId="0" borderId="0" xfId="0" applyNumberFormat="1" applyFont="1"/>
    <xf numFmtId="202" fontId="2" fillId="0" borderId="0" xfId="0" applyNumberFormat="1" applyFont="1"/>
    <xf numFmtId="0" fontId="4" fillId="4" borderId="12" xfId="0" applyFont="1" applyFill="1" applyBorder="1" applyAlignment="1">
      <alignment horizontal="left"/>
    </xf>
    <xf numFmtId="201" fontId="4" fillId="4" borderId="14" xfId="0" applyNumberFormat="1" applyFont="1" applyFill="1" applyBorder="1"/>
    <xf numFmtId="177" fontId="4" fillId="4" borderId="14" xfId="0" applyNumberFormat="1" applyFont="1" applyFill="1" applyBorder="1"/>
    <xf numFmtId="168" fontId="4" fillId="4" borderId="16" xfId="0" applyNumberFormat="1" applyFont="1" applyFill="1" applyBorder="1"/>
    <xf numFmtId="201" fontId="12" fillId="5" borderId="14" xfId="0" applyNumberFormat="1" applyFont="1" applyFill="1" applyBorder="1"/>
    <xf numFmtId="173" fontId="12" fillId="5" borderId="14" xfId="0" applyNumberFormat="1" applyFont="1" applyFill="1" applyBorder="1"/>
    <xf numFmtId="172" fontId="12" fillId="5" borderId="14" xfId="0" applyNumberFormat="1" applyFont="1" applyFill="1" applyBorder="1"/>
    <xf numFmtId="9" fontId="12" fillId="5" borderId="14" xfId="0" applyNumberFormat="1" applyFont="1" applyFill="1" applyBorder="1"/>
    <xf numFmtId="168" fontId="12" fillId="5" borderId="16" xfId="0" applyNumberFormat="1" applyFont="1" applyFill="1" applyBorder="1"/>
    <xf numFmtId="49" fontId="2" fillId="0" borderId="7" xfId="0" applyNumberFormat="1" applyFont="1" applyBorder="1"/>
    <xf numFmtId="201" fontId="2" fillId="0" borderId="7" xfId="0" applyNumberFormat="1" applyFont="1" applyBorder="1"/>
    <xf numFmtId="177" fontId="2" fillId="0" borderId="7" xfId="0" applyNumberFormat="1" applyFont="1" applyBorder="1"/>
    <xf numFmtId="171" fontId="2" fillId="0" borderId="7" xfId="0" applyNumberFormat="1" applyFont="1" applyBorder="1"/>
    <xf numFmtId="168" fontId="2" fillId="0" borderId="7" xfId="0" applyNumberFormat="1" applyFont="1" applyBorder="1"/>
    <xf numFmtId="49" fontId="2" fillId="0" borderId="0" xfId="0" applyNumberFormat="1" applyFont="1"/>
    <xf numFmtId="0" fontId="12" fillId="5" borderId="21" xfId="0" applyFont="1" applyFill="1" applyBorder="1"/>
    <xf numFmtId="0" fontId="12" fillId="5" borderId="22" xfId="0" applyFont="1" applyFill="1" applyBorder="1"/>
    <xf numFmtId="179" fontId="12" fillId="5" borderId="22" xfId="0" applyNumberFormat="1" applyFont="1" applyFill="1" applyBorder="1"/>
    <xf numFmtId="0" fontId="12" fillId="5" borderId="26" xfId="0" applyFont="1" applyFill="1" applyBorder="1"/>
    <xf numFmtId="0" fontId="12" fillId="5" borderId="1" xfId="0" applyFont="1" applyFill="1" applyBorder="1"/>
    <xf numFmtId="179" fontId="12" fillId="5" borderId="1" xfId="0" applyNumberFormat="1" applyFont="1" applyFill="1" applyBorder="1"/>
    <xf numFmtId="0" fontId="12" fillId="5" borderId="24" xfId="0" applyFont="1" applyFill="1" applyBorder="1"/>
    <xf numFmtId="0" fontId="12" fillId="5" borderId="5" xfId="0" applyFont="1" applyFill="1" applyBorder="1"/>
    <xf numFmtId="179" fontId="12" fillId="5" borderId="5" xfId="0" applyNumberFormat="1" applyFont="1" applyFill="1" applyBorder="1"/>
    <xf numFmtId="191" fontId="12" fillId="5" borderId="23" xfId="0" applyNumberFormat="1" applyFont="1" applyFill="1" applyBorder="1"/>
    <xf numFmtId="191" fontId="12" fillId="5" borderId="27" xfId="0" applyNumberFormat="1" applyFont="1" applyFill="1" applyBorder="1"/>
    <xf numFmtId="191" fontId="12" fillId="5" borderId="25" xfId="0" applyNumberFormat="1" applyFont="1" applyFill="1" applyBorder="1"/>
    <xf numFmtId="0" fontId="12" fillId="5" borderId="12" xfId="0" applyFont="1" applyFill="1" applyBorder="1"/>
    <xf numFmtId="0" fontId="12" fillId="5" borderId="14" xfId="0" applyFont="1" applyFill="1" applyBorder="1"/>
    <xf numFmtId="191" fontId="12" fillId="5" borderId="16" xfId="0" applyNumberFormat="1" applyFont="1" applyFill="1" applyBorder="1"/>
    <xf numFmtId="0" fontId="36" fillId="0" borderId="0" xfId="0" applyFont="1"/>
    <xf numFmtId="0" fontId="37" fillId="0" borderId="0" xfId="0" applyFont="1" applyAlignment="1">
      <alignment horizontal="left"/>
    </xf>
    <xf numFmtId="0" fontId="38" fillId="0" borderId="0" xfId="0" applyFont="1" applyAlignment="1">
      <alignment horizontal="left"/>
    </xf>
    <xf numFmtId="2" fontId="29" fillId="0" borderId="0" xfId="0" applyNumberFormat="1" applyFont="1"/>
    <xf numFmtId="10" fontId="39" fillId="0" borderId="0" xfId="0" applyNumberFormat="1" applyFont="1"/>
    <xf numFmtId="0" fontId="7" fillId="2" borderId="2" xfId="0" applyFont="1" applyFill="1" applyBorder="1" applyAlignment="1">
      <alignment horizontal="center"/>
    </xf>
    <xf numFmtId="0" fontId="8" fillId="0" borderId="4" xfId="0" applyFont="1" applyBorder="1"/>
    <xf numFmtId="0" fontId="8" fillId="0" borderId="3" xfId="0" applyFont="1" applyBorder="1"/>
    <xf numFmtId="0" fontId="4" fillId="3" borderId="11" xfId="0" applyFont="1" applyFill="1" applyBorder="1" applyAlignment="1">
      <alignment horizontal="center"/>
    </xf>
    <xf numFmtId="0" fontId="8" fillId="0" borderId="13" xfId="0" applyFont="1" applyBorder="1"/>
    <xf numFmtId="0" fontId="8" fillId="0" borderId="15" xfId="0" applyFont="1" applyBorder="1"/>
    <xf numFmtId="0" fontId="12" fillId="2" borderId="30" xfId="0" applyFont="1" applyFill="1" applyBorder="1" applyAlignment="1">
      <alignment horizontal="center"/>
    </xf>
    <xf numFmtId="0" fontId="8" fillId="0" borderId="31" xfId="0" applyFont="1" applyBorder="1"/>
    <xf numFmtId="0" fontId="8" fillId="0" borderId="32" xfId="0" applyFont="1" applyBorder="1"/>
    <xf numFmtId="0" fontId="4" fillId="6" borderId="28" xfId="0" applyFont="1" applyFill="1" applyBorder="1" applyAlignment="1">
      <alignment horizontal="center"/>
    </xf>
    <xf numFmtId="0" fontId="8" fillId="0" borderId="29" xfId="0" applyFont="1" applyBorder="1"/>
    <xf numFmtId="0" fontId="4" fillId="7" borderId="11" xfId="0" applyFont="1" applyFill="1" applyBorder="1" applyAlignment="1">
      <alignment horizontal="center"/>
    </xf>
    <xf numFmtId="0" fontId="12" fillId="2" borderId="45" xfId="0" applyFont="1" applyFill="1" applyBorder="1" applyAlignment="1">
      <alignment horizontal="center"/>
    </xf>
    <xf numFmtId="0" fontId="12" fillId="2" borderId="46" xfId="0" applyFont="1" applyFill="1" applyBorder="1" applyAlignment="1">
      <alignment horizontal="center" vertical="center" wrapText="1"/>
    </xf>
    <xf numFmtId="0" fontId="8" fillId="0" borderId="47" xfId="0" applyFont="1" applyBorder="1"/>
    <xf numFmtId="0" fontId="8" fillId="0" borderId="48" xfId="0" applyFont="1" applyBorder="1"/>
    <xf numFmtId="170" fontId="40" fillId="0" borderId="0" xfId="0" applyNumberFormat="1" applyFont="1"/>
    <xf numFmtId="0" fontId="1" fillId="0" borderId="4" xfId="1"/>
    <xf numFmtId="0" fontId="1" fillId="0" borderId="4" xfId="1"/>
    <xf numFmtId="167" fontId="13" fillId="0" borderId="49" xfId="0" applyNumberFormat="1" applyFont="1" applyBorder="1"/>
    <xf numFmtId="0" fontId="12" fillId="2" borderId="37" xfId="0" applyFont="1" applyFill="1" applyBorder="1" applyAlignment="1">
      <alignment horizontal="centerContinuous"/>
    </xf>
    <xf numFmtId="0" fontId="23" fillId="2" borderId="37" xfId="0" applyFont="1" applyFill="1" applyBorder="1" applyAlignment="1">
      <alignment horizontal="centerContinuous"/>
    </xf>
    <xf numFmtId="0" fontId="41" fillId="2" borderId="37" xfId="0" applyFont="1" applyFill="1" applyBorder="1" applyAlignment="1">
      <alignment horizontal="centerContinuous"/>
    </xf>
    <xf numFmtId="0" fontId="23" fillId="2" borderId="36" xfId="0" applyFont="1" applyFill="1" applyBorder="1" applyAlignment="1">
      <alignment horizontal="centerContinuous"/>
    </xf>
  </cellXfs>
  <cellStyles count="2">
    <cellStyle name="Normal" xfId="0" builtinId="0"/>
    <cellStyle name="Normal 2" xfId="1" xr:uid="{A384E953-4217-4B78-AD18-7D560BD901A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1" i="0">
                <a:solidFill>
                  <a:srgbClr val="000000"/>
                </a:solidFill>
                <a:latin typeface="+mn-lt"/>
              </a:defRPr>
            </a:pPr>
            <a:r>
              <a:rPr lang="en-US"/>
              <a:t>Jazz Pharmaceuticals Valuation - Range of Implied Share Prices</a:t>
            </a:r>
          </a:p>
        </c:rich>
      </c:tx>
      <c:overlay val="0"/>
    </c:title>
    <c:autoTitleDeleted val="0"/>
    <c:plotArea>
      <c:layout/>
      <c:barChart>
        <c:barDir val="bar"/>
        <c:grouping val="stacked"/>
        <c:varyColors val="1"/>
        <c:ser>
          <c:idx val="0"/>
          <c:order val="0"/>
          <c:tx>
            <c:strRef>
              <c:f>ValGraph!$N$33</c:f>
              <c:strCache>
                <c:ptCount val="1"/>
              </c:strCache>
            </c:strRef>
          </c:tx>
          <c:spPr>
            <a:solidFill>
              <a:srgbClr val="4F81BD"/>
            </a:solidFill>
          </c:spPr>
          <c:invertIfNegative val="1"/>
          <c:cat>
            <c:strRef>
              <c:f>ValGraph!$B$34:$B$46</c:f>
              <c:strCache>
                <c:ptCount val="12"/>
                <c:pt idx="0">
                  <c:v>10.00% - 11.60% WACC, 0.50% - 2.50% Terminal FCF Growth Rate:</c:v>
                </c:pt>
                <c:pt idx="3">
                  <c:v>2021-12-31 E Reported P / E:</c:v>
                </c:pt>
                <c:pt idx="4">
                  <c:v>2020-12-31 E Reported P / E:</c:v>
                </c:pt>
                <c:pt idx="5">
                  <c:v>LTM Reported P / E:</c:v>
                </c:pt>
                <c:pt idx="6">
                  <c:v>2021-12-31 E EV / EBITDA:</c:v>
                </c:pt>
                <c:pt idx="7">
                  <c:v>2020-12-31 E EV / EBITDA:</c:v>
                </c:pt>
                <c:pt idx="8">
                  <c:v>LTM EV / EBITDA:</c:v>
                </c:pt>
                <c:pt idx="9">
                  <c:v>2021-12-31 E EV / Revenue:</c:v>
                </c:pt>
                <c:pt idx="10">
                  <c:v>2020-12-31 E EV / Revenue:</c:v>
                </c:pt>
                <c:pt idx="11">
                  <c:v>LTM EV / Revenue:</c:v>
                </c:pt>
              </c:strCache>
            </c:strRef>
          </c:cat>
          <c:val>
            <c:numRef>
              <c:f>ValGraph!$N$34:$N$46</c:f>
              <c:numCache>
                <c:formatCode>General</c:formatCode>
                <c:ptCount val="13"/>
                <c:pt idx="0" formatCode="_(&quot;$&quot;* #,##0.00_);_(&quot;$&quot;* \(#,##0.00\);_(&quot;$&quot;* &quot;-&quot;??_);_(@_)">
                  <c:v>77.344388897729019</c:v>
                </c:pt>
                <c:pt idx="3" formatCode="_(* #,##0.00_);_(* \(#,##0.00\);_(* &quot;-&quot;??_);_(@_)">
                  <c:v>38.206783312527044</c:v>
                </c:pt>
                <c:pt idx="4" formatCode="_(* #,##0.00_);_(* \(#,##0.00\);_(* &quot;-&quot;??_);_(@_)">
                  <c:v>31.655484300850727</c:v>
                </c:pt>
                <c:pt idx="5" formatCode="_(* #,##0.00_);_(* \(#,##0.00\);_(* &quot;-&quot;??_);_(@_)">
                  <c:v>42.077328923349633</c:v>
                </c:pt>
                <c:pt idx="6" formatCode="_(* #,##0.00_);_(* \(#,##0.00\);_(* &quot;-&quot;??_);_(@_)">
                  <c:v>24.872019014479495</c:v>
                </c:pt>
                <c:pt idx="7" formatCode="_(* #,##0.00_);_(* \(#,##0.00\);_(* &quot;-&quot;??_);_(@_)">
                  <c:v>35.612715553376361</c:v>
                </c:pt>
                <c:pt idx="8" formatCode="_(* #,##0.00_);_(* \(#,##0.00\);_(* &quot;-&quot;??_);_(@_)">
                  <c:v>36.75006485084306</c:v>
                </c:pt>
                <c:pt idx="9" formatCode="_(* #,##0.00_);_(* \(#,##0.00\);_(* &quot;-&quot;??_);_(@_)">
                  <c:v>22.041871050732791</c:v>
                </c:pt>
                <c:pt idx="10" formatCode="_(* #,##0.00_);_(* \(#,##0.00\);_(* &quot;-&quot;??_);_(@_)">
                  <c:v>23.262541642825017</c:v>
                </c:pt>
                <c:pt idx="11" formatCode="_(* #,##0.00_);_(* \(#,##0.00\);_(* &quot;-&quot;??_);_(@_)">
                  <c:v>22.548874952648156</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0-E2F8-4E31-988C-D4A56F96D862}"/>
            </c:ext>
          </c:extLst>
        </c:ser>
        <c:ser>
          <c:idx val="1"/>
          <c:order val="1"/>
          <c:tx>
            <c:strRef>
              <c:f>ValGraph!$O$33</c:f>
              <c:strCache>
                <c:ptCount val="1"/>
              </c:strCache>
            </c:strRef>
          </c:tx>
          <c:spPr>
            <a:solidFill>
              <a:srgbClr val="C0504D"/>
            </a:solidFill>
          </c:spPr>
          <c:invertIfNegative val="1"/>
          <c:cat>
            <c:strRef>
              <c:f>ValGraph!$B$34:$B$46</c:f>
              <c:strCache>
                <c:ptCount val="12"/>
                <c:pt idx="0">
                  <c:v>10.00% - 11.60% WACC, 0.50% - 2.50% Terminal FCF Growth Rate:</c:v>
                </c:pt>
                <c:pt idx="3">
                  <c:v>2021-12-31 E Reported P / E:</c:v>
                </c:pt>
                <c:pt idx="4">
                  <c:v>2020-12-31 E Reported P / E:</c:v>
                </c:pt>
                <c:pt idx="5">
                  <c:v>LTM Reported P / E:</c:v>
                </c:pt>
                <c:pt idx="6">
                  <c:v>2021-12-31 E EV / EBITDA:</c:v>
                </c:pt>
                <c:pt idx="7">
                  <c:v>2020-12-31 E EV / EBITDA:</c:v>
                </c:pt>
                <c:pt idx="8">
                  <c:v>LTM EV / EBITDA:</c:v>
                </c:pt>
                <c:pt idx="9">
                  <c:v>2021-12-31 E EV / Revenue:</c:v>
                </c:pt>
                <c:pt idx="10">
                  <c:v>2020-12-31 E EV / Revenue:</c:v>
                </c:pt>
                <c:pt idx="11">
                  <c:v>LTM EV / Revenue:</c:v>
                </c:pt>
              </c:strCache>
            </c:strRef>
          </c:cat>
          <c:val>
            <c:numRef>
              <c:f>ValGraph!$O$34:$O$46</c:f>
              <c:numCache>
                <c:formatCode>General</c:formatCode>
                <c:ptCount val="13"/>
                <c:pt idx="0" formatCode="_(&quot;$&quot;* #,##0.00_);_(&quot;$&quot;* \(#,##0.00\);_(&quot;$&quot;* &quot;-&quot;??_);_(@_)">
                  <c:v>0</c:v>
                </c:pt>
                <c:pt idx="3" formatCode="_(* #,##0.00_);_(* \(#,##0.00\);_(* &quot;-&quot;??_);_(@_)">
                  <c:v>5.6945954899736009</c:v>
                </c:pt>
                <c:pt idx="4" formatCode="_(* #,##0.00_);_(* \(#,##0.00\);_(* &quot;-&quot;??_);_(@_)">
                  <c:v>12.51575815660949</c:v>
                </c:pt>
                <c:pt idx="5" formatCode="_(* #,##0.00_);_(* \(#,##0.00\);_(* &quot;-&quot;??_);_(@_)">
                  <c:v>5.0603571841431005</c:v>
                </c:pt>
                <c:pt idx="6" formatCode="_(* #,##0.00_);_(* \(#,##0.00\);_(* &quot;-&quot;??_);_(@_)">
                  <c:v>13.180388706215179</c:v>
                </c:pt>
                <c:pt idx="7" formatCode="_(* #,##0.00_);_(* \(#,##0.00\);_(* &quot;-&quot;??_);_(@_)">
                  <c:v>4.6959659352730583</c:v>
                </c:pt>
                <c:pt idx="8" formatCode="_(* #,##0.00_);_(* \(#,##0.00\);_(* &quot;-&quot;??_);_(@_)">
                  <c:v>4.3480617345823234</c:v>
                </c:pt>
                <c:pt idx="9" formatCode="_(* #,##0.00_);_(* \(#,##0.00\);_(* &quot;-&quot;??_);_(@_)">
                  <c:v>10.27158506117031</c:v>
                </c:pt>
                <c:pt idx="10" formatCode="_(* #,##0.00_);_(* \(#,##0.00\);_(* &quot;-&quot;??_);_(@_)">
                  <c:v>8.1762501724105583</c:v>
                </c:pt>
                <c:pt idx="11" formatCode="_(* #,##0.00_);_(* \(#,##0.00\);_(* &quot;-&quot;??_);_(@_)">
                  <c:v>10.724527588022355</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1-E2F8-4E31-988C-D4A56F96D862}"/>
            </c:ext>
          </c:extLst>
        </c:ser>
        <c:dLbls>
          <c:showLegendKey val="0"/>
          <c:showVal val="0"/>
          <c:showCatName val="0"/>
          <c:showSerName val="0"/>
          <c:showPercent val="0"/>
          <c:showBubbleSize val="0"/>
        </c:dLbls>
        <c:gapWidth val="150"/>
        <c:overlap val="100"/>
        <c:axId val="872099747"/>
        <c:axId val="838565668"/>
      </c:barChart>
      <c:catAx>
        <c:axId val="872099747"/>
        <c:scaling>
          <c:orientation val="maxMin"/>
        </c:scaling>
        <c:delete val="0"/>
        <c:axPos val="l"/>
        <c:title>
          <c:tx>
            <c:rich>
              <a:bodyPr/>
              <a:lstStyle/>
              <a:p>
                <a:pPr lvl="0">
                  <a:defRPr b="0">
                    <a:solidFill>
                      <a:srgbClr val="000000"/>
                    </a:solidFill>
                    <a:latin typeface="+mn-lt"/>
                  </a:defRPr>
                </a:pPr>
                <a:endParaRPr lang="en-US"/>
              </a:p>
            </c:rich>
          </c:tx>
          <c:overlay val="0"/>
        </c:title>
        <c:numFmt formatCode="General" sourceLinked="1"/>
        <c:majorTickMark val="cross"/>
        <c:minorTickMark val="cross"/>
        <c:tickLblPos val="nextTo"/>
        <c:txPr>
          <a:bodyPr/>
          <a:lstStyle/>
          <a:p>
            <a:pPr lvl="0">
              <a:defRPr sz="1200" b="0" i="0">
                <a:solidFill>
                  <a:srgbClr val="000000"/>
                </a:solidFill>
                <a:latin typeface="+mn-lt"/>
              </a:defRPr>
            </a:pPr>
            <a:endParaRPr lang="en-US"/>
          </a:p>
        </c:txPr>
        <c:crossAx val="838565668"/>
        <c:crosses val="autoZero"/>
        <c:auto val="1"/>
        <c:lblAlgn val="ctr"/>
        <c:lblOffset val="100"/>
        <c:noMultiLvlLbl val="1"/>
      </c:catAx>
      <c:valAx>
        <c:axId val="83856566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sz="1400" b="1" i="0">
                    <a:solidFill>
                      <a:srgbClr val="000000"/>
                    </a:solidFill>
                    <a:latin typeface="+mn-lt"/>
                  </a:defRPr>
                </a:pPr>
                <a:r>
                  <a:rPr lang="en-US"/>
                  <a:t>Implied Share Price</a:t>
                </a:r>
              </a:p>
            </c:rich>
          </c:tx>
          <c:overlay val="0"/>
        </c:title>
        <c:numFmt formatCode="_(&quot;$&quot;* #,##0.00_);_(&quot;$&quot;* \(#,##0.00\);_(&quot;$&quot;* &quot;-&quot;??_);_(@_)" sourceLinked="1"/>
        <c:majorTickMark val="cross"/>
        <c:minorTickMark val="cross"/>
        <c:tickLblPos val="nextTo"/>
        <c:spPr>
          <a:ln w="47625">
            <a:noFill/>
          </a:ln>
        </c:spPr>
        <c:txPr>
          <a:bodyPr/>
          <a:lstStyle/>
          <a:p>
            <a:pPr lvl="0">
              <a:defRPr sz="1200" b="0" i="0">
                <a:solidFill>
                  <a:srgbClr val="000000"/>
                </a:solidFill>
                <a:latin typeface="+mn-lt"/>
              </a:defRPr>
            </a:pPr>
            <a:endParaRPr lang="en-US"/>
          </a:p>
        </c:txPr>
        <c:crossAx val="872099747"/>
        <c:crosses val="max"/>
        <c:crossBetween val="between"/>
      </c:valAx>
    </c:plotArea>
    <c:legend>
      <c:legendPos val="r"/>
      <c:overlay val="0"/>
      <c:txPr>
        <a:bodyPr/>
        <a:lstStyle/>
        <a:p>
          <a:pPr lvl="0">
            <a:defRPr sz="1200" b="0" i="0">
              <a:solidFill>
                <a:srgbClr val="000000"/>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161925</xdr:colOff>
      <xdr:row>1</xdr:row>
      <xdr:rowOff>0</xdr:rowOff>
    </xdr:from>
    <xdr:ext cx="14801850" cy="5838825"/>
    <xdr:graphicFrame macro="">
      <xdr:nvGraphicFramePr>
        <xdr:cNvPr id="583914490" name="Chart 1">
          <a:extLst>
            <a:ext uri="{FF2B5EF4-FFF2-40B4-BE49-F238E27FC236}">
              <a16:creationId xmlns:a16="http://schemas.microsoft.com/office/drawing/2014/main" id="{00000000-0008-0000-0000-0000FAD3CD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15</xdr:col>
      <xdr:colOff>657225</xdr:colOff>
      <xdr:row>2</xdr:row>
      <xdr:rowOff>133350</xdr:rowOff>
    </xdr:from>
    <xdr:ext cx="38100" cy="4800600"/>
    <xdr:grpSp>
      <xdr:nvGrpSpPr>
        <xdr:cNvPr id="2" name="Shape 2">
          <a:extLst>
            <a:ext uri="{FF2B5EF4-FFF2-40B4-BE49-F238E27FC236}">
              <a16:creationId xmlns:a16="http://schemas.microsoft.com/office/drawing/2014/main" id="{00000000-0008-0000-0000-000002000000}"/>
            </a:ext>
          </a:extLst>
        </xdr:cNvPr>
        <xdr:cNvGrpSpPr/>
      </xdr:nvGrpSpPr>
      <xdr:grpSpPr>
        <a:xfrm>
          <a:off x="10839450" y="533400"/>
          <a:ext cx="38100" cy="4800600"/>
          <a:chOff x="5346000" y="1379700"/>
          <a:chExt cx="0" cy="4800600"/>
        </a:xfrm>
      </xdr:grpSpPr>
      <xdr:cxnSp macro="">
        <xdr:nvCxnSpPr>
          <xdr:cNvPr id="3" name="Shape 3">
            <a:extLst>
              <a:ext uri="{FF2B5EF4-FFF2-40B4-BE49-F238E27FC236}">
                <a16:creationId xmlns:a16="http://schemas.microsoft.com/office/drawing/2014/main" id="{00000000-0008-0000-0000-000003000000}"/>
              </a:ext>
            </a:extLst>
          </xdr:cNvPr>
          <xdr:cNvCxnSpPr/>
        </xdr:nvCxnSpPr>
        <xdr:spPr>
          <a:xfrm>
            <a:off x="5346000" y="1379700"/>
            <a:ext cx="0" cy="4800600"/>
          </a:xfrm>
          <a:prstGeom prst="straightConnector1">
            <a:avLst/>
          </a:prstGeom>
          <a:noFill/>
          <a:ln w="19050" cap="flat" cmpd="sng">
            <a:solidFill>
              <a:schemeClr val="accent2"/>
            </a:solidFill>
            <a:prstDash val="solid"/>
            <a:round/>
            <a:headEnd type="none" w="sm" len="sm"/>
            <a:tailEnd type="none" w="sm" len="sm"/>
          </a:ln>
        </xdr:spPr>
      </xdr:cxnSp>
    </xdr:grpSp>
    <xdr:clientData fLocksWithSheet="0"/>
  </xdr:oneCellAnchor>
  <xdr:oneCellAnchor>
    <xdr:from>
      <xdr:col>13</xdr:col>
      <xdr:colOff>552450</xdr:colOff>
      <xdr:row>3</xdr:row>
      <xdr:rowOff>114300</xdr:rowOff>
    </xdr:from>
    <xdr:ext cx="1476375" cy="295275"/>
    <xdr:sp macro="" textlink="">
      <xdr:nvSpPr>
        <xdr:cNvPr id="4" name="Shape 4">
          <a:extLst>
            <a:ext uri="{FF2B5EF4-FFF2-40B4-BE49-F238E27FC236}">
              <a16:creationId xmlns:a16="http://schemas.microsoft.com/office/drawing/2014/main" id="{00000000-0008-0000-0000-000004000000}"/>
            </a:ext>
          </a:extLst>
        </xdr:cNvPr>
        <xdr:cNvSpPr txBox="1"/>
      </xdr:nvSpPr>
      <xdr:spPr>
        <a:xfrm>
          <a:off x="4612575" y="3637125"/>
          <a:ext cx="1466850" cy="2857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chemeClr val="accent2"/>
              </a:solidFill>
            </a:rPr>
            <a:t>Current Share Price:</a:t>
          </a: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hyperlink" Target="http://phx.corporate-ir.net/phoenix.zhtml?c=92211&amp;p=irol-irhome" TargetMode="External"/><Relationship Id="rId13" Type="http://schemas.openxmlformats.org/officeDocument/2006/relationships/comments" Target="../comments2.xml"/><Relationship Id="rId3" Type="http://schemas.openxmlformats.org/officeDocument/2006/relationships/hyperlink" Target="http://ir.unither.com/" TargetMode="External"/><Relationship Id="rId7" Type="http://schemas.openxmlformats.org/officeDocument/2006/relationships/hyperlink" Target="http://ir.horizon-pharma.com/" TargetMode="External"/><Relationship Id="rId12" Type="http://schemas.openxmlformats.org/officeDocument/2006/relationships/vmlDrawing" Target="../drawings/vmlDrawing2.vml"/><Relationship Id="rId2" Type="http://schemas.openxmlformats.org/officeDocument/2006/relationships/hyperlink" Target="http://ir.alexionpharm.com/" TargetMode="External"/><Relationship Id="rId1" Type="http://schemas.openxmlformats.org/officeDocument/2006/relationships/hyperlink" Target="http://investors.vrtx.com/" TargetMode="External"/><Relationship Id="rId6" Type="http://schemas.openxmlformats.org/officeDocument/2006/relationships/hyperlink" Target="https://www.bioverativ.com/newsroom/investor-relations.aspx" TargetMode="External"/><Relationship Id="rId11" Type="http://schemas.openxmlformats.org/officeDocument/2006/relationships/hyperlink" Target="http://investor.jazzpharma.com/phoenix.zhtml?c=210227&amp;p=irol-irhome" TargetMode="External"/><Relationship Id="rId5" Type="http://schemas.openxmlformats.org/officeDocument/2006/relationships/hyperlink" Target="http://investors.biomarin.com/" TargetMode="External"/><Relationship Id="rId10" Type="http://schemas.openxmlformats.org/officeDocument/2006/relationships/hyperlink" Target="http://investors.emergentbiosolutions.com/phoenix.zhtml?c=202582&amp;p=irol-IRHome" TargetMode="External"/><Relationship Id="rId4" Type="http://schemas.openxmlformats.org/officeDocument/2006/relationships/hyperlink" Target="http://www.incyte.com/ir/investor-overview.aspx" TargetMode="External"/><Relationship Id="rId9" Type="http://schemas.openxmlformats.org/officeDocument/2006/relationships/hyperlink" Target="http://ir.acorda.com/investors/default.aspx"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activeCell="X23" sqref="X23"/>
    </sheetView>
  </sheetViews>
  <sheetFormatPr defaultColWidth="14.42578125" defaultRowHeight="15" customHeight="1"/>
  <cols>
    <col min="1" max="1" width="2.7109375" customWidth="1"/>
    <col min="2" max="18" width="10.7109375" customWidth="1"/>
    <col min="19" max="26" width="8.85546875"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1"/>
      <c r="B2" s="1"/>
      <c r="C2" s="1"/>
      <c r="D2" s="1"/>
      <c r="E2" s="1"/>
      <c r="F2" s="1"/>
      <c r="G2" s="1"/>
      <c r="H2" s="1"/>
      <c r="I2" s="1"/>
      <c r="J2" s="1"/>
      <c r="K2" s="1"/>
      <c r="L2" s="1"/>
      <c r="M2" s="1"/>
      <c r="N2" s="1"/>
      <c r="O2" s="1"/>
      <c r="P2" s="1"/>
      <c r="Q2" s="1"/>
      <c r="R2" s="1"/>
      <c r="S2" s="1"/>
      <c r="T2" s="1"/>
      <c r="U2" s="1"/>
      <c r="V2" s="1"/>
      <c r="W2" s="1"/>
      <c r="X2" s="1"/>
      <c r="Y2" s="1"/>
      <c r="Z2" s="1"/>
    </row>
    <row r="3" spans="1:26" ht="15.75" customHeight="1">
      <c r="A3" s="1"/>
      <c r="B3" s="1"/>
      <c r="C3" s="1"/>
      <c r="D3" s="1"/>
      <c r="E3" s="1"/>
      <c r="F3" s="1"/>
      <c r="G3" s="1"/>
      <c r="H3" s="1"/>
      <c r="I3" s="1"/>
      <c r="J3" s="1"/>
      <c r="K3" s="1"/>
      <c r="L3" s="1"/>
      <c r="M3" s="1"/>
      <c r="N3" s="1"/>
      <c r="O3" s="1"/>
      <c r="P3" s="1"/>
      <c r="Q3" s="1"/>
      <c r="R3" s="1"/>
      <c r="S3" s="1"/>
      <c r="T3" s="1"/>
      <c r="U3" s="1"/>
      <c r="V3" s="1"/>
      <c r="W3" s="1"/>
      <c r="X3" s="1"/>
      <c r="Y3" s="1"/>
      <c r="Z3" s="1"/>
    </row>
    <row r="4" spans="1:26" ht="15.75" customHeight="1">
      <c r="A4" s="1"/>
      <c r="B4" s="1"/>
      <c r="C4" s="1"/>
      <c r="D4" s="1"/>
      <c r="E4" s="1"/>
      <c r="F4" s="1"/>
      <c r="G4" s="1"/>
      <c r="H4" s="1"/>
      <c r="I4" s="1"/>
      <c r="J4" s="1"/>
      <c r="K4" s="1"/>
      <c r="L4" s="1"/>
      <c r="M4" s="1"/>
      <c r="N4" s="1"/>
      <c r="O4" s="1"/>
      <c r="P4" s="1"/>
      <c r="Q4" s="1"/>
      <c r="R4" s="1"/>
      <c r="S4" s="1"/>
      <c r="T4" s="1"/>
      <c r="U4" s="1"/>
      <c r="V4" s="1"/>
      <c r="W4" s="1"/>
      <c r="X4" s="1"/>
      <c r="Y4" s="1"/>
      <c r="Z4" s="1"/>
    </row>
    <row r="5" spans="1:26" ht="15.75" customHeight="1">
      <c r="A5" s="1"/>
      <c r="B5" s="1"/>
      <c r="C5" s="1"/>
      <c r="D5" s="1"/>
      <c r="E5" s="1"/>
      <c r="F5" s="1"/>
      <c r="G5" s="1"/>
      <c r="H5" s="1"/>
      <c r="I5" s="1"/>
      <c r="J5" s="1"/>
      <c r="K5" s="1"/>
      <c r="L5" s="1"/>
      <c r="M5" s="1"/>
      <c r="N5" s="1"/>
      <c r="O5" s="1"/>
      <c r="P5" s="1"/>
      <c r="Q5" s="1"/>
      <c r="R5" s="1"/>
      <c r="S5" s="1"/>
      <c r="T5" s="1"/>
      <c r="U5" s="1"/>
      <c r="V5" s="1"/>
      <c r="W5" s="1"/>
      <c r="X5" s="1"/>
      <c r="Y5" s="1"/>
      <c r="Z5" s="1"/>
    </row>
    <row r="6" spans="1:26" ht="15.75" customHeight="1">
      <c r="A6" s="1"/>
      <c r="B6" s="1"/>
      <c r="C6" s="1"/>
      <c r="D6" s="1"/>
      <c r="E6" s="1"/>
      <c r="F6" s="1"/>
      <c r="G6" s="1"/>
      <c r="H6" s="1"/>
      <c r="I6" s="1"/>
      <c r="J6" s="1"/>
      <c r="K6" s="1"/>
      <c r="L6" s="1"/>
      <c r="M6" s="1"/>
      <c r="N6" s="1"/>
      <c r="O6" s="1"/>
      <c r="P6" s="1"/>
      <c r="Q6" s="1"/>
      <c r="R6" s="1"/>
      <c r="S6" s="1"/>
      <c r="T6" s="1"/>
      <c r="U6" s="1"/>
      <c r="V6" s="1"/>
      <c r="W6" s="1"/>
      <c r="X6" s="1"/>
      <c r="Y6" s="1"/>
      <c r="Z6" s="1"/>
    </row>
    <row r="7" spans="1:26" ht="15.75" customHeight="1">
      <c r="A7" s="1"/>
      <c r="B7" s="1"/>
      <c r="C7" s="1"/>
      <c r="D7" s="1"/>
      <c r="E7" s="1"/>
      <c r="F7" s="1"/>
      <c r="G7" s="1"/>
      <c r="H7" s="1"/>
      <c r="I7" s="1"/>
      <c r="J7" s="1"/>
      <c r="K7" s="1"/>
      <c r="L7" s="1"/>
      <c r="M7" s="1"/>
      <c r="N7" s="1"/>
      <c r="O7" s="1"/>
      <c r="P7" s="1"/>
      <c r="Q7" s="1"/>
      <c r="R7" s="1"/>
      <c r="S7" s="1"/>
      <c r="T7" s="1"/>
      <c r="U7" s="1"/>
      <c r="V7" s="1"/>
      <c r="W7" s="1"/>
      <c r="X7" s="1"/>
      <c r="Y7" s="1"/>
      <c r="Z7" s="1"/>
    </row>
    <row r="8" spans="1:26" ht="15.75" customHeight="1">
      <c r="A8" s="1"/>
      <c r="B8" s="1"/>
      <c r="C8" s="1"/>
      <c r="D8" s="1"/>
      <c r="E8" s="1"/>
      <c r="F8" s="1"/>
      <c r="G8" s="1"/>
      <c r="H8" s="1"/>
      <c r="I8" s="1"/>
      <c r="J8" s="1"/>
      <c r="K8" s="1"/>
      <c r="L8" s="1"/>
      <c r="M8" s="1"/>
      <c r="N8" s="1"/>
      <c r="O8" s="1"/>
      <c r="P8" s="1"/>
      <c r="Q8" s="1"/>
      <c r="R8" s="1"/>
      <c r="S8" s="1"/>
      <c r="T8" s="1"/>
      <c r="U8" s="1"/>
      <c r="V8" s="1"/>
      <c r="W8" s="1"/>
      <c r="X8" s="1"/>
      <c r="Y8" s="1"/>
      <c r="Z8" s="1"/>
    </row>
    <row r="9" spans="1:26" ht="15.75" customHeight="1">
      <c r="A9" s="1"/>
      <c r="B9" s="1"/>
      <c r="C9" s="1"/>
      <c r="D9" s="1"/>
      <c r="E9" s="1"/>
      <c r="F9" s="1"/>
      <c r="G9" s="1"/>
      <c r="H9" s="1"/>
      <c r="I9" s="1"/>
      <c r="J9" s="1"/>
      <c r="K9" s="1"/>
      <c r="L9" s="1"/>
      <c r="M9" s="1"/>
      <c r="N9" s="1"/>
      <c r="O9" s="1"/>
      <c r="P9" s="1"/>
      <c r="Q9" s="1"/>
      <c r="R9" s="1"/>
      <c r="S9" s="1"/>
      <c r="T9" s="1"/>
      <c r="U9" s="1"/>
      <c r="V9" s="1"/>
      <c r="W9" s="1"/>
      <c r="X9" s="1"/>
      <c r="Y9" s="1"/>
      <c r="Z9" s="1"/>
    </row>
    <row r="10" spans="1:26"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t="s">
        <v>33</v>
      </c>
      <c r="J32" s="1" t="s">
        <v>15</v>
      </c>
      <c r="K32" s="1" t="s">
        <v>22</v>
      </c>
      <c r="L32" s="1" t="s">
        <v>14</v>
      </c>
      <c r="M32" s="1" t="s">
        <v>34</v>
      </c>
      <c r="N32" s="25" t="s">
        <v>35</v>
      </c>
      <c r="O32" s="25" t="s">
        <v>36</v>
      </c>
      <c r="P32" s="25" t="s">
        <v>37</v>
      </c>
      <c r="Q32" s="25" t="s">
        <v>38</v>
      </c>
      <c r="R32" s="25" t="s">
        <v>39</v>
      </c>
      <c r="S32" s="1"/>
      <c r="T32" s="1"/>
      <c r="U32" s="1"/>
      <c r="V32" s="1"/>
      <c r="W32" s="1"/>
      <c r="X32" s="1"/>
      <c r="Y32" s="1"/>
      <c r="Z32" s="1"/>
    </row>
    <row r="33" spans="1:26" ht="15.75" customHeight="1">
      <c r="A33" s="1"/>
      <c r="B33" s="1"/>
      <c r="C33" s="1"/>
      <c r="D33" s="1"/>
      <c r="E33" s="1"/>
      <c r="F33" s="1"/>
      <c r="G33" s="1"/>
      <c r="H33" s="1"/>
      <c r="I33" s="26"/>
      <c r="J33" s="26"/>
      <c r="K33" s="26"/>
      <c r="L33" s="26"/>
      <c r="M33" s="26"/>
      <c r="N33" s="26"/>
      <c r="O33" s="26"/>
      <c r="P33" s="26"/>
      <c r="Q33" s="26"/>
      <c r="R33" s="26"/>
      <c r="S33" s="1"/>
      <c r="T33" s="1"/>
      <c r="U33" s="1"/>
      <c r="V33" s="1"/>
      <c r="W33" s="1"/>
      <c r="X33" s="1"/>
      <c r="Y33" s="1"/>
      <c r="Z33" s="1"/>
    </row>
    <row r="34" spans="1:26" ht="15.75" customHeight="1">
      <c r="A34" s="1"/>
      <c r="B34" s="5" t="str">
        <f>+ValSum!B23</f>
        <v>10.00% - 11.60% WACC, 0.50% - 2.50% Terminal FCF Growth Rate:</v>
      </c>
      <c r="C34" s="1"/>
      <c r="D34" s="1"/>
      <c r="E34" s="1"/>
      <c r="F34" s="1"/>
      <c r="G34" s="1"/>
      <c r="H34" s="1"/>
      <c r="I34" s="26">
        <f>+ValSum!I23</f>
        <v>77.344388897729019</v>
      </c>
      <c r="J34" s="26">
        <f>+ValSum!J23</f>
        <v>77.344388897729019</v>
      </c>
      <c r="K34" s="26">
        <f>+ValSum!K23</f>
        <v>77.344388897729019</v>
      </c>
      <c r="L34" s="26">
        <f>+ValSum!L23</f>
        <v>77.344388897729019</v>
      </c>
      <c r="M34" s="26">
        <f>+ValSum!M23</f>
        <v>77.344388897729019</v>
      </c>
      <c r="N34" s="18">
        <f>+I34</f>
        <v>77.344388897729019</v>
      </c>
      <c r="O34" s="18">
        <f t="shared" ref="O34:R34" si="0">+J34-I34</f>
        <v>0</v>
      </c>
      <c r="P34" s="18">
        <f t="shared" si="0"/>
        <v>0</v>
      </c>
      <c r="Q34" s="18">
        <f t="shared" si="0"/>
        <v>0</v>
      </c>
      <c r="R34" s="18">
        <f t="shared" si="0"/>
        <v>0</v>
      </c>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28"/>
      <c r="J36" s="28"/>
      <c r="K36" s="28"/>
      <c r="L36" s="28"/>
      <c r="M36" s="28"/>
      <c r="N36" s="28"/>
      <c r="O36" s="28"/>
      <c r="P36" s="28"/>
      <c r="Q36" s="28"/>
      <c r="R36" s="28"/>
      <c r="S36" s="1"/>
      <c r="T36" s="1"/>
      <c r="U36" s="1"/>
      <c r="V36" s="1"/>
      <c r="W36" s="1"/>
      <c r="X36" s="1"/>
      <c r="Y36" s="1"/>
      <c r="Z36" s="1"/>
    </row>
    <row r="37" spans="1:26" ht="15.75" customHeight="1">
      <c r="A37" s="1"/>
      <c r="B37" s="5" t="str">
        <f>+ValSum!B20</f>
        <v>2021-12-31 E Reported P / E:</v>
      </c>
      <c r="C37" s="1"/>
      <c r="D37" s="1"/>
      <c r="E37" s="1"/>
      <c r="F37" s="1"/>
      <c r="G37" s="1"/>
      <c r="H37" s="1"/>
      <c r="I37" s="28">
        <f>+ValSum!I20</f>
        <v>38.206783312527044</v>
      </c>
      <c r="J37" s="28">
        <f>+ValSum!J20</f>
        <v>43.901378802500645</v>
      </c>
      <c r="K37" s="28">
        <f>+ValSum!K20</f>
        <v>48.104928408402685</v>
      </c>
      <c r="L37" s="28">
        <f>+ValSum!L20</f>
        <v>51.617147230302855</v>
      </c>
      <c r="M37" s="28">
        <f>+ValSum!M20</f>
        <v>58.563420891756223</v>
      </c>
      <c r="N37" s="21">
        <f t="shared" ref="N37:N45" si="1">+I37</f>
        <v>38.206783312527044</v>
      </c>
      <c r="O37" s="21">
        <f t="shared" ref="O37:R37" si="2">+J37-I37</f>
        <v>5.6945954899736009</v>
      </c>
      <c r="P37" s="21">
        <f t="shared" si="2"/>
        <v>4.2035496059020403</v>
      </c>
      <c r="Q37" s="21">
        <f t="shared" si="2"/>
        <v>3.51221882190017</v>
      </c>
      <c r="R37" s="21">
        <f t="shared" si="2"/>
        <v>6.9462736614533682</v>
      </c>
      <c r="S37" s="1"/>
      <c r="T37" s="1"/>
      <c r="U37" s="1"/>
      <c r="V37" s="1"/>
      <c r="W37" s="1"/>
      <c r="X37" s="1"/>
      <c r="Y37" s="1"/>
      <c r="Z37" s="1"/>
    </row>
    <row r="38" spans="1:26" ht="15.75" customHeight="1">
      <c r="A38" s="1"/>
      <c r="B38" s="5" t="str">
        <f>+ValSum!B19</f>
        <v>2020-12-31 E Reported P / E:</v>
      </c>
      <c r="C38" s="1"/>
      <c r="D38" s="1"/>
      <c r="E38" s="1"/>
      <c r="F38" s="1"/>
      <c r="G38" s="1"/>
      <c r="H38" s="1"/>
      <c r="I38" s="28">
        <f>+ValSum!I19</f>
        <v>31.655484300850727</v>
      </c>
      <c r="J38" s="28">
        <f>+ValSum!J19</f>
        <v>44.171242457460217</v>
      </c>
      <c r="K38" s="28">
        <f>+ValSum!K19</f>
        <v>47.126785573652299</v>
      </c>
      <c r="L38" s="28">
        <f>+ValSum!L19</f>
        <v>50.118024458195542</v>
      </c>
      <c r="M38" s="28">
        <f>+ValSum!M19</f>
        <v>59.89580557126127</v>
      </c>
      <c r="N38" s="21">
        <f t="shared" si="1"/>
        <v>31.655484300850727</v>
      </c>
      <c r="O38" s="21">
        <f t="shared" ref="O38:R38" si="3">+J38-I38</f>
        <v>12.51575815660949</v>
      </c>
      <c r="P38" s="21">
        <f t="shared" si="3"/>
        <v>2.9555431161920822</v>
      </c>
      <c r="Q38" s="21">
        <f t="shared" si="3"/>
        <v>2.9912388845432432</v>
      </c>
      <c r="R38" s="21">
        <f t="shared" si="3"/>
        <v>9.7777811130657284</v>
      </c>
      <c r="S38" s="1"/>
      <c r="T38" s="1"/>
      <c r="U38" s="1"/>
      <c r="V38" s="1"/>
      <c r="W38" s="1"/>
      <c r="X38" s="1"/>
      <c r="Y38" s="1"/>
      <c r="Z38" s="1"/>
    </row>
    <row r="39" spans="1:26" ht="15.75" customHeight="1">
      <c r="A39" s="1"/>
      <c r="B39" s="5" t="str">
        <f>+ValSum!B18</f>
        <v>LTM Reported P / E:</v>
      </c>
      <c r="C39" s="1"/>
      <c r="D39" s="1"/>
      <c r="E39" s="1"/>
      <c r="F39" s="1"/>
      <c r="G39" s="1"/>
      <c r="H39" s="1"/>
      <c r="I39" s="28">
        <f>+ValSum!I18</f>
        <v>42.077328923349633</v>
      </c>
      <c r="J39" s="28">
        <f>+ValSum!J18</f>
        <v>47.137686107492733</v>
      </c>
      <c r="K39" s="28">
        <f>+ValSum!K18</f>
        <v>65.300766639029248</v>
      </c>
      <c r="L39" s="28">
        <f>+ValSum!L18</f>
        <v>72.430703128074171</v>
      </c>
      <c r="M39" s="28">
        <f>+ValSum!M18</f>
        <v>77.454115844438618</v>
      </c>
      <c r="N39" s="21">
        <f t="shared" si="1"/>
        <v>42.077328923349633</v>
      </c>
      <c r="O39" s="21">
        <f t="shared" ref="O39:R39" si="4">+J39-I39</f>
        <v>5.0603571841431005</v>
      </c>
      <c r="P39" s="21">
        <f t="shared" si="4"/>
        <v>18.163080531536515</v>
      </c>
      <c r="Q39" s="21">
        <f t="shared" si="4"/>
        <v>7.1299364890449226</v>
      </c>
      <c r="R39" s="21">
        <f t="shared" si="4"/>
        <v>5.0234127163644473</v>
      </c>
      <c r="S39" s="1"/>
      <c r="T39" s="1"/>
      <c r="U39" s="1"/>
      <c r="V39" s="1"/>
      <c r="W39" s="1"/>
      <c r="X39" s="1"/>
      <c r="Y39" s="1"/>
      <c r="Z39" s="1"/>
    </row>
    <row r="40" spans="1:26" ht="15.75" customHeight="1">
      <c r="A40" s="1"/>
      <c r="B40" s="5" t="str">
        <f>+ValSum!B17</f>
        <v>2021-12-31 E EV / EBITDA:</v>
      </c>
      <c r="C40" s="1"/>
      <c r="D40" s="1"/>
      <c r="E40" s="1"/>
      <c r="F40" s="1"/>
      <c r="G40" s="1"/>
      <c r="H40" s="1"/>
      <c r="I40" s="28">
        <f>+ValSum!I17</f>
        <v>24.872019014479495</v>
      </c>
      <c r="J40" s="28">
        <f>+ValSum!J17</f>
        <v>38.052407720694674</v>
      </c>
      <c r="K40" s="28">
        <f>+ValSum!K17</f>
        <v>41.727667032298527</v>
      </c>
      <c r="L40" s="28">
        <f>+ValSum!L17</f>
        <v>47.366167085007426</v>
      </c>
      <c r="M40" s="28">
        <f>+ValSum!M17</f>
        <v>56.833527749268811</v>
      </c>
      <c r="N40" s="21">
        <f t="shared" si="1"/>
        <v>24.872019014479495</v>
      </c>
      <c r="O40" s="21">
        <f t="shared" ref="O40:R40" si="5">+J40-I40</f>
        <v>13.180388706215179</v>
      </c>
      <c r="P40" s="21">
        <f t="shared" si="5"/>
        <v>3.6752593116038526</v>
      </c>
      <c r="Q40" s="21">
        <f t="shared" si="5"/>
        <v>5.6385000527088991</v>
      </c>
      <c r="R40" s="21">
        <f t="shared" si="5"/>
        <v>9.4673606642613848</v>
      </c>
      <c r="S40" s="1"/>
      <c r="T40" s="1"/>
      <c r="U40" s="1"/>
      <c r="V40" s="1"/>
      <c r="W40" s="1"/>
      <c r="X40" s="1"/>
      <c r="Y40" s="1"/>
      <c r="Z40" s="1"/>
    </row>
    <row r="41" spans="1:26" ht="15.75" customHeight="1">
      <c r="A41" s="1"/>
      <c r="B41" s="5" t="str">
        <f>+ValSum!B16</f>
        <v>2020-12-31 E EV / EBITDA:</v>
      </c>
      <c r="C41" s="1"/>
      <c r="D41" s="1"/>
      <c r="E41" s="1"/>
      <c r="F41" s="1"/>
      <c r="G41" s="1"/>
      <c r="H41" s="1"/>
      <c r="I41" s="28">
        <f>+ValSum!I16</f>
        <v>35.612715553376361</v>
      </c>
      <c r="J41" s="28">
        <f>+ValSum!J16</f>
        <v>40.30868148864942</v>
      </c>
      <c r="K41" s="28">
        <f>+ValSum!K16</f>
        <v>42.219352850298414</v>
      </c>
      <c r="L41" s="28">
        <f>+ValSum!L16</f>
        <v>43.082295994460132</v>
      </c>
      <c r="M41" s="28">
        <f>+ValSum!M16</f>
        <v>45.963453778572436</v>
      </c>
      <c r="N41" s="21">
        <f t="shared" si="1"/>
        <v>35.612715553376361</v>
      </c>
      <c r="O41" s="21">
        <f t="shared" ref="O41:R41" si="6">+J41-I41</f>
        <v>4.6959659352730583</v>
      </c>
      <c r="P41" s="21">
        <f t="shared" si="6"/>
        <v>1.9106713616489941</v>
      </c>
      <c r="Q41" s="21">
        <f t="shared" si="6"/>
        <v>0.86294314416171858</v>
      </c>
      <c r="R41" s="21">
        <f t="shared" si="6"/>
        <v>2.8811577841123039</v>
      </c>
      <c r="S41" s="1"/>
      <c r="T41" s="1"/>
      <c r="U41" s="1"/>
      <c r="V41" s="1"/>
      <c r="W41" s="1"/>
      <c r="X41" s="1"/>
      <c r="Y41" s="1"/>
      <c r="Z41" s="1"/>
    </row>
    <row r="42" spans="1:26" ht="15.75" customHeight="1">
      <c r="A42" s="1"/>
      <c r="B42" s="5" t="str">
        <f>+ValSum!B15</f>
        <v>LTM EV / EBITDA:</v>
      </c>
      <c r="C42" s="1"/>
      <c r="D42" s="1"/>
      <c r="E42" s="1"/>
      <c r="F42" s="1"/>
      <c r="G42" s="1"/>
      <c r="H42" s="1"/>
      <c r="I42" s="28">
        <f>+ValSum!I15</f>
        <v>36.75006485084306</v>
      </c>
      <c r="J42" s="28">
        <f>+ValSum!J15</f>
        <v>41.098126585425383</v>
      </c>
      <c r="K42" s="28">
        <f>+ValSum!K15</f>
        <v>47.328686724228014</v>
      </c>
      <c r="L42" s="28">
        <f>+ValSum!L15</f>
        <v>57.029286838903225</v>
      </c>
      <c r="M42" s="28">
        <f>+ValSum!M15</f>
        <v>143.80156327724069</v>
      </c>
      <c r="N42" s="21">
        <f t="shared" si="1"/>
        <v>36.75006485084306</v>
      </c>
      <c r="O42" s="21">
        <f t="shared" ref="O42:R42" si="7">+J42-I42</f>
        <v>4.3480617345823234</v>
      </c>
      <c r="P42" s="21">
        <f t="shared" si="7"/>
        <v>6.2305601388026304</v>
      </c>
      <c r="Q42" s="21">
        <f t="shared" si="7"/>
        <v>9.7006001146752112</v>
      </c>
      <c r="R42" s="21">
        <f t="shared" si="7"/>
        <v>86.772276438337457</v>
      </c>
      <c r="S42" s="1"/>
      <c r="T42" s="1"/>
      <c r="U42" s="1"/>
      <c r="V42" s="1"/>
      <c r="W42" s="1"/>
      <c r="X42" s="1"/>
      <c r="Y42" s="1"/>
      <c r="Z42" s="1"/>
    </row>
    <row r="43" spans="1:26" ht="15.75" customHeight="1">
      <c r="A43" s="1"/>
      <c r="B43" s="5" t="str">
        <f>+ValSum!B14</f>
        <v>2021-12-31 E EV / Revenue:</v>
      </c>
      <c r="C43" s="1"/>
      <c r="D43" s="1"/>
      <c r="E43" s="1"/>
      <c r="F43" s="1"/>
      <c r="G43" s="1"/>
      <c r="H43" s="1"/>
      <c r="I43" s="28">
        <f>+ValSum!I14</f>
        <v>22.041871050732791</v>
      </c>
      <c r="J43" s="28">
        <f>+ValSum!J14</f>
        <v>32.313456111903101</v>
      </c>
      <c r="K43" s="28">
        <f>+ValSum!K14</f>
        <v>38.911580347958314</v>
      </c>
      <c r="L43" s="28">
        <f>+ValSum!L14</f>
        <v>46.594279000865093</v>
      </c>
      <c r="M43" s="28">
        <f>+ValSum!M14</f>
        <v>132.21121837307047</v>
      </c>
      <c r="N43" s="21">
        <f t="shared" si="1"/>
        <v>22.041871050732791</v>
      </c>
      <c r="O43" s="21">
        <f t="shared" ref="O43:R43" si="8">+J43-I43</f>
        <v>10.27158506117031</v>
      </c>
      <c r="P43" s="21">
        <f t="shared" si="8"/>
        <v>6.598124236055213</v>
      </c>
      <c r="Q43" s="21">
        <f t="shared" si="8"/>
        <v>7.6826986529067796</v>
      </c>
      <c r="R43" s="21">
        <f t="shared" si="8"/>
        <v>85.616939372205366</v>
      </c>
      <c r="S43" s="1"/>
      <c r="T43" s="1"/>
      <c r="U43" s="1"/>
      <c r="V43" s="1"/>
      <c r="W43" s="1"/>
      <c r="X43" s="1"/>
      <c r="Y43" s="1"/>
      <c r="Z43" s="1"/>
    </row>
    <row r="44" spans="1:26" ht="15.75" customHeight="1">
      <c r="A44" s="1"/>
      <c r="B44" s="5" t="str">
        <f>+ValSum!B13</f>
        <v>2020-12-31 E EV / Revenue:</v>
      </c>
      <c r="C44" s="1"/>
      <c r="D44" s="1"/>
      <c r="E44" s="1"/>
      <c r="F44" s="1"/>
      <c r="G44" s="1"/>
      <c r="H44" s="1"/>
      <c r="I44" s="28">
        <f>+ValSum!I13</f>
        <v>23.262541642825017</v>
      </c>
      <c r="J44" s="28">
        <f>+ValSum!J13</f>
        <v>31.438791815235575</v>
      </c>
      <c r="K44" s="28">
        <f>+ValSum!K13</f>
        <v>37.246694892723383</v>
      </c>
      <c r="L44" s="28">
        <f>+ValSum!L13</f>
        <v>54.428280701525061</v>
      </c>
      <c r="M44" s="28">
        <f>+ValSum!M13</f>
        <v>87.620839465671381</v>
      </c>
      <c r="N44" s="21">
        <f t="shared" si="1"/>
        <v>23.262541642825017</v>
      </c>
      <c r="O44" s="21">
        <f t="shared" ref="O44:R44" si="9">+J44-I44</f>
        <v>8.1762501724105583</v>
      </c>
      <c r="P44" s="21">
        <f t="shared" si="9"/>
        <v>5.8079030774878078</v>
      </c>
      <c r="Q44" s="21">
        <f t="shared" si="9"/>
        <v>17.181585808801678</v>
      </c>
      <c r="R44" s="21">
        <f t="shared" si="9"/>
        <v>33.19255876414632</v>
      </c>
      <c r="S44" s="1"/>
      <c r="T44" s="1"/>
      <c r="U44" s="1"/>
      <c r="V44" s="1"/>
      <c r="W44" s="1"/>
      <c r="X44" s="1"/>
      <c r="Y44" s="1"/>
      <c r="Z44" s="1"/>
    </row>
    <row r="45" spans="1:26" ht="15.75" customHeight="1">
      <c r="A45" s="1"/>
      <c r="B45" s="5" t="str">
        <f>+ValSum!B12</f>
        <v>LTM EV / Revenue:</v>
      </c>
      <c r="C45" s="1"/>
      <c r="D45" s="1"/>
      <c r="E45" s="1"/>
      <c r="F45" s="1"/>
      <c r="G45" s="1"/>
      <c r="H45" s="1"/>
      <c r="I45" s="28">
        <f>+ValSum!I12</f>
        <v>22.548874952648156</v>
      </c>
      <c r="J45" s="28">
        <f>+ValSum!J12</f>
        <v>33.27340254067051</v>
      </c>
      <c r="K45" s="28">
        <f>+ValSum!K12</f>
        <v>42.544303466480201</v>
      </c>
      <c r="L45" s="28">
        <f>+ValSum!L12</f>
        <v>55.345571674869028</v>
      </c>
      <c r="M45" s="28">
        <f>+ValSum!M12</f>
        <v>572.21189687695312</v>
      </c>
      <c r="N45" s="21">
        <f t="shared" si="1"/>
        <v>22.548874952648156</v>
      </c>
      <c r="O45" s="21">
        <f t="shared" ref="O45:R45" si="10">+J45-I45</f>
        <v>10.724527588022355</v>
      </c>
      <c r="P45" s="21">
        <f t="shared" si="10"/>
        <v>9.2709009258096913</v>
      </c>
      <c r="Q45" s="21">
        <f t="shared" si="10"/>
        <v>12.801268208388827</v>
      </c>
      <c r="R45" s="21">
        <f t="shared" si="10"/>
        <v>516.86632520208411</v>
      </c>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scale="37" orientation="portrait"/>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defaultColWidth="14.42578125" defaultRowHeight="15" customHeight="1"/>
  <cols>
    <col min="1" max="1" width="2.7109375" customWidth="1"/>
    <col min="2" max="2" width="46.42578125" customWidth="1"/>
    <col min="3" max="13" width="12.7109375" customWidth="1"/>
    <col min="14" max="26" width="8.85546875"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1"/>
      <c r="B2" s="2" t="str">
        <f>"Valuation Summary - "&amp;TEXT(Company_Name,"")&amp;" - "&amp;Scenario&amp;" Case"</f>
        <v>Valuation Summary - Activision Blizzard - Base Case</v>
      </c>
      <c r="C2" s="1"/>
      <c r="D2" s="1"/>
      <c r="E2" s="1"/>
      <c r="F2" s="1"/>
      <c r="G2" s="1"/>
      <c r="H2" s="1"/>
      <c r="I2" s="1"/>
      <c r="J2" s="1"/>
      <c r="K2" s="1"/>
      <c r="L2" s="1"/>
      <c r="M2" s="1"/>
      <c r="N2" s="1"/>
      <c r="O2" s="1"/>
      <c r="P2" s="1"/>
      <c r="Q2" s="1"/>
      <c r="R2" s="1"/>
      <c r="S2" s="1"/>
      <c r="T2" s="1"/>
      <c r="U2" s="1"/>
      <c r="V2" s="1"/>
      <c r="W2" s="1"/>
      <c r="X2" s="1"/>
      <c r="Y2" s="1"/>
      <c r="Z2" s="1"/>
    </row>
    <row r="3" spans="1:26" ht="15.75" customHeight="1">
      <c r="A3" s="1"/>
      <c r="B3" s="1" t="str">
        <f>+'ATVI-DCF'!$B$3</f>
        <v>($ in Millions Except Per Share and Per Unit Data)</v>
      </c>
      <c r="C3" s="1"/>
      <c r="D3" s="1"/>
      <c r="E3" s="1"/>
      <c r="F3" s="1"/>
      <c r="G3" s="1"/>
      <c r="H3" s="1"/>
      <c r="I3" s="1"/>
      <c r="J3" s="1"/>
      <c r="K3" s="1"/>
      <c r="L3" s="1"/>
      <c r="M3" s="1"/>
      <c r="N3" s="1"/>
      <c r="O3" s="1"/>
      <c r="P3" s="1"/>
      <c r="Q3" s="1"/>
      <c r="R3" s="1"/>
      <c r="S3" s="1"/>
      <c r="T3" s="1"/>
      <c r="U3" s="1"/>
      <c r="V3" s="1"/>
      <c r="W3" s="1"/>
      <c r="X3" s="1"/>
      <c r="Y3" s="1"/>
      <c r="Z3" s="1"/>
    </row>
    <row r="4" spans="1:26" ht="15.75" customHeight="1">
      <c r="A4" s="1"/>
      <c r="B4" s="1"/>
      <c r="C4" s="1"/>
      <c r="D4" s="1"/>
      <c r="E4" s="1"/>
      <c r="F4" s="1"/>
      <c r="G4" s="1"/>
      <c r="H4" s="1"/>
      <c r="I4" s="1"/>
      <c r="J4" s="1"/>
      <c r="K4" s="1"/>
      <c r="L4" s="1"/>
      <c r="M4" s="1"/>
      <c r="N4" s="1"/>
      <c r="O4" s="1"/>
      <c r="P4" s="1"/>
      <c r="Q4" s="1"/>
      <c r="R4" s="1"/>
      <c r="S4" s="1"/>
      <c r="T4" s="1"/>
      <c r="U4" s="1"/>
      <c r="V4" s="1"/>
      <c r="W4" s="1"/>
      <c r="X4" s="1"/>
      <c r="Y4" s="1"/>
      <c r="Z4" s="1"/>
    </row>
    <row r="5" spans="1:26" ht="15.75" customHeight="1">
      <c r="A5" s="1"/>
      <c r="B5" s="7" t="str">
        <f>"Valuation Statistics - "&amp;TEXT(Company_Name,"")</f>
        <v>Valuation Statistics - Activision Blizzard</v>
      </c>
      <c r="C5" s="362" t="s">
        <v>4</v>
      </c>
      <c r="D5" s="363"/>
      <c r="E5" s="363"/>
      <c r="F5" s="363"/>
      <c r="G5" s="363"/>
      <c r="H5" s="364"/>
      <c r="I5" s="362" t="s">
        <v>6</v>
      </c>
      <c r="J5" s="363"/>
      <c r="K5" s="363"/>
      <c r="L5" s="363"/>
      <c r="M5" s="364"/>
      <c r="N5" s="1"/>
      <c r="O5" s="1"/>
      <c r="P5" s="1"/>
      <c r="Q5" s="1"/>
      <c r="R5" s="1"/>
      <c r="S5" s="1"/>
      <c r="T5" s="1"/>
      <c r="U5" s="1"/>
      <c r="V5" s="1"/>
      <c r="W5" s="1"/>
      <c r="X5" s="1"/>
      <c r="Y5" s="1"/>
      <c r="Z5" s="1"/>
    </row>
    <row r="6" spans="1:26" ht="15.75" customHeight="1">
      <c r="A6" s="1"/>
      <c r="B6" s="8"/>
      <c r="C6" s="9"/>
      <c r="D6" s="10"/>
      <c r="E6" s="10"/>
      <c r="F6" s="12"/>
      <c r="G6" s="10"/>
      <c r="H6" s="10"/>
      <c r="I6" s="10"/>
      <c r="J6" s="10"/>
      <c r="K6" s="10"/>
      <c r="L6" s="10"/>
      <c r="M6" s="10"/>
      <c r="N6" s="1"/>
      <c r="O6" s="1"/>
      <c r="P6" s="1"/>
      <c r="Q6" s="1"/>
      <c r="R6" s="1"/>
      <c r="S6" s="1"/>
      <c r="T6" s="1"/>
      <c r="U6" s="1"/>
      <c r="V6" s="1"/>
      <c r="W6" s="1"/>
      <c r="X6" s="1"/>
      <c r="Y6" s="1"/>
      <c r="Z6" s="1"/>
    </row>
    <row r="7" spans="1:26" ht="15.75" customHeight="1">
      <c r="A7" s="1"/>
      <c r="B7" s="8"/>
      <c r="C7" s="9"/>
      <c r="D7" s="9" t="s">
        <v>14</v>
      </c>
      <c r="E7" s="9"/>
      <c r="F7" s="9" t="s">
        <v>15</v>
      </c>
      <c r="G7" s="10"/>
      <c r="H7" s="9" t="s">
        <v>18</v>
      </c>
      <c r="I7" s="9"/>
      <c r="J7" s="9" t="s">
        <v>15</v>
      </c>
      <c r="K7" s="9"/>
      <c r="L7" s="9" t="s">
        <v>14</v>
      </c>
      <c r="M7" s="9"/>
      <c r="N7" s="1"/>
      <c r="O7" s="1"/>
      <c r="P7" s="1"/>
      <c r="Q7" s="1"/>
      <c r="R7" s="1"/>
      <c r="S7" s="1"/>
      <c r="T7" s="1"/>
      <c r="U7" s="1"/>
      <c r="V7" s="1"/>
      <c r="W7" s="1"/>
      <c r="X7" s="1"/>
      <c r="Y7" s="1"/>
      <c r="Z7" s="1"/>
    </row>
    <row r="8" spans="1:26" ht="15.75" customHeight="1">
      <c r="A8" s="1"/>
      <c r="B8" s="8"/>
      <c r="C8" s="9" t="s">
        <v>20</v>
      </c>
      <c r="D8" s="9" t="s">
        <v>21</v>
      </c>
      <c r="E8" s="9" t="s">
        <v>22</v>
      </c>
      <c r="F8" s="9" t="s">
        <v>21</v>
      </c>
      <c r="G8" s="9" t="s">
        <v>23</v>
      </c>
      <c r="H8" s="9" t="s">
        <v>24</v>
      </c>
      <c r="I8" s="9" t="s">
        <v>23</v>
      </c>
      <c r="J8" s="9" t="s">
        <v>21</v>
      </c>
      <c r="K8" s="9" t="s">
        <v>22</v>
      </c>
      <c r="L8" s="9" t="s">
        <v>21</v>
      </c>
      <c r="M8" s="9" t="s">
        <v>20</v>
      </c>
      <c r="N8" s="1"/>
      <c r="O8" s="1"/>
      <c r="P8" s="1"/>
      <c r="Q8" s="1"/>
      <c r="R8" s="1"/>
      <c r="S8" s="1"/>
      <c r="T8" s="1"/>
      <c r="U8" s="1"/>
      <c r="V8" s="1"/>
      <c r="W8" s="1"/>
      <c r="X8" s="1"/>
      <c r="Y8" s="1"/>
      <c r="Z8" s="1"/>
    </row>
    <row r="9" spans="1:26" ht="15.75" customHeight="1">
      <c r="A9" s="1"/>
      <c r="B9" s="13" t="s">
        <v>25</v>
      </c>
      <c r="C9" s="14" t="s">
        <v>26</v>
      </c>
      <c r="D9" s="14" t="s">
        <v>26</v>
      </c>
      <c r="E9" s="14" t="s">
        <v>26</v>
      </c>
      <c r="F9" s="14" t="s">
        <v>26</v>
      </c>
      <c r="G9" s="14" t="s">
        <v>26</v>
      </c>
      <c r="H9" s="14" t="s">
        <v>27</v>
      </c>
      <c r="I9" s="14" t="s">
        <v>26</v>
      </c>
      <c r="J9" s="14" t="s">
        <v>26</v>
      </c>
      <c r="K9" s="14" t="s">
        <v>26</v>
      </c>
      <c r="L9" s="14" t="s">
        <v>26</v>
      </c>
      <c r="M9" s="14" t="s">
        <v>26</v>
      </c>
      <c r="N9" s="1"/>
      <c r="O9" s="1"/>
      <c r="P9" s="1"/>
      <c r="Q9" s="1"/>
      <c r="R9" s="1"/>
      <c r="S9" s="1"/>
      <c r="T9" s="1"/>
      <c r="U9" s="1"/>
      <c r="V9" s="1"/>
      <c r="W9" s="1"/>
      <c r="X9" s="1"/>
      <c r="Y9" s="1"/>
      <c r="Z9" s="1"/>
    </row>
    <row r="10" spans="1:26"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1"/>
      <c r="B11" s="3" t="s">
        <v>29</v>
      </c>
      <c r="C11" s="17"/>
      <c r="D11" s="1"/>
      <c r="E11" s="1"/>
      <c r="F11" s="1"/>
      <c r="G11" s="1"/>
      <c r="H11" s="1"/>
      <c r="I11" s="1"/>
      <c r="J11" s="1"/>
      <c r="K11" s="1"/>
      <c r="L11" s="1"/>
      <c r="M11" s="1"/>
      <c r="N11" s="1"/>
      <c r="O11" s="1"/>
      <c r="P11" s="1"/>
      <c r="Q11" s="1"/>
      <c r="R11" s="1"/>
      <c r="S11" s="1"/>
      <c r="T11" s="1"/>
      <c r="U11" s="1"/>
      <c r="V11" s="1"/>
      <c r="W11" s="1"/>
      <c r="X11" s="1"/>
      <c r="Y11" s="1"/>
      <c r="Z11" s="1"/>
    </row>
    <row r="12" spans="1:26" ht="15.75" customHeight="1">
      <c r="A12" s="1"/>
      <c r="B12" s="19" t="str">
        <f>TEXT(LTM,"mm/dd/yyyy")&amp;" EV / Revenue:"</f>
        <v>LTM EV / Revenue:</v>
      </c>
      <c r="C12" s="22">
        <f t="array" ref="C12:G12">TRANSPOSE('Public Comps'!G43:G47)</f>
        <v>67.507531590712105</v>
      </c>
      <c r="D12" s="22">
        <v>6.0953052490867652</v>
      </c>
      <c r="E12" s="22">
        <v>4.574303894691977</v>
      </c>
      <c r="F12" s="22">
        <v>3.472768278449216</v>
      </c>
      <c r="G12" s="22">
        <v>2.1985178900434161</v>
      </c>
      <c r="H12" s="24">
        <f t="array" ref="H12:H17">TRANSPOSE('Public Comps'!G26:L26)</f>
        <v>6489</v>
      </c>
      <c r="I12" s="18">
        <f t="shared" ref="I12:M12" si="0">+I42</f>
        <v>22.548874952648156</v>
      </c>
      <c r="J12" s="18">
        <f t="shared" si="0"/>
        <v>33.27340254067051</v>
      </c>
      <c r="K12" s="18">
        <f t="shared" si="0"/>
        <v>42.544303466480201</v>
      </c>
      <c r="L12" s="18">
        <f t="shared" si="0"/>
        <v>55.345571674869028</v>
      </c>
      <c r="M12" s="18">
        <f t="shared" si="0"/>
        <v>572.21189687695312</v>
      </c>
      <c r="N12" s="1"/>
      <c r="O12" s="1"/>
      <c r="P12" s="1"/>
      <c r="Q12" s="1"/>
      <c r="R12" s="1"/>
      <c r="S12" s="1"/>
      <c r="T12" s="1"/>
      <c r="U12" s="1"/>
      <c r="V12" s="1"/>
      <c r="W12" s="1"/>
      <c r="X12" s="1"/>
      <c r="Y12" s="1"/>
      <c r="Z12" s="1"/>
    </row>
    <row r="13" spans="1:26" ht="15.75" customHeight="1">
      <c r="A13" s="1"/>
      <c r="B13" s="19" t="str">
        <f>TEXT(Forward_Year_1,"aaaa-mm-dd")&amp;" E EV / Revenue:"</f>
        <v>2020-12-31 E EV / Revenue:</v>
      </c>
      <c r="C13" s="22">
        <f t="array" ref="C13:G13">TRANSPOSE('Public Comps'!H43:H47)</f>
        <v>9.4759804747106795</v>
      </c>
      <c r="D13" s="22">
        <v>5.7125300618935038</v>
      </c>
      <c r="E13" s="22">
        <v>3.7644414356308418</v>
      </c>
      <c r="F13" s="22">
        <v>3.1059277190509746</v>
      </c>
      <c r="G13" s="22">
        <v>2.1788852362673663</v>
      </c>
      <c r="H13" s="27">
        <v>6800</v>
      </c>
      <c r="I13" s="21">
        <f t="shared" ref="I13:M13" si="1">+I45</f>
        <v>23.262541642825017</v>
      </c>
      <c r="J13" s="21">
        <f t="shared" si="1"/>
        <v>31.438791815235575</v>
      </c>
      <c r="K13" s="21">
        <f t="shared" si="1"/>
        <v>37.246694892723383</v>
      </c>
      <c r="L13" s="21">
        <f t="shared" si="1"/>
        <v>54.428280701525061</v>
      </c>
      <c r="M13" s="21">
        <f t="shared" si="1"/>
        <v>87.620839465671381</v>
      </c>
      <c r="N13" s="1"/>
      <c r="O13" s="1"/>
      <c r="P13" s="1"/>
      <c r="Q13" s="1"/>
      <c r="R13" s="1"/>
      <c r="S13" s="1"/>
      <c r="T13" s="1"/>
      <c r="U13" s="1"/>
      <c r="V13" s="1"/>
      <c r="W13" s="1"/>
      <c r="X13" s="1"/>
      <c r="Y13" s="1"/>
      <c r="Z13" s="1"/>
    </row>
    <row r="14" spans="1:26" ht="15.75" customHeight="1">
      <c r="A14" s="1"/>
      <c r="B14" s="19" t="str">
        <f>TEXT(Forward_Year_2,"aaaa-mm-dd")&amp;" E EV / Revenue:"</f>
        <v>2021-12-31 E EV / Revenue:</v>
      </c>
      <c r="C14" s="22">
        <f t="array" ref="C14:G14">TRANSPOSE('Public Comps'!I43:I47)</f>
        <v>13.31749991450638</v>
      </c>
      <c r="D14" s="22">
        <v>4.4211845161276262</v>
      </c>
      <c r="E14" s="22">
        <v>3.6228879310344828</v>
      </c>
      <c r="F14" s="22">
        <v>2.9372876903338665</v>
      </c>
      <c r="G14" s="22">
        <v>1.8699841752176523</v>
      </c>
      <c r="H14" s="27">
        <v>7420</v>
      </c>
      <c r="I14" s="21">
        <f t="shared" ref="I14:M14" si="2">+I48</f>
        <v>22.041871050732791</v>
      </c>
      <c r="J14" s="21">
        <f t="shared" si="2"/>
        <v>32.313456111903101</v>
      </c>
      <c r="K14" s="21">
        <f t="shared" si="2"/>
        <v>38.911580347958314</v>
      </c>
      <c r="L14" s="21">
        <f t="shared" si="2"/>
        <v>46.594279000865093</v>
      </c>
      <c r="M14" s="21">
        <f t="shared" si="2"/>
        <v>132.21121837307047</v>
      </c>
      <c r="N14" s="1"/>
      <c r="O14" s="1"/>
      <c r="P14" s="1"/>
      <c r="Q14" s="1"/>
      <c r="R14" s="1"/>
      <c r="S14" s="1"/>
      <c r="T14" s="1"/>
      <c r="U14" s="1"/>
      <c r="V14" s="1"/>
      <c r="W14" s="1"/>
      <c r="X14" s="1"/>
      <c r="Y14" s="1"/>
      <c r="Z14" s="1"/>
    </row>
    <row r="15" spans="1:26" ht="15.75" customHeight="1">
      <c r="A15" s="1"/>
      <c r="B15" s="19" t="str">
        <f>TEXT(LTM,"mm/dd/yyyy")&amp;" EV / EBITDA:"</f>
        <v>LTM EV / EBITDA:</v>
      </c>
      <c r="C15" s="22">
        <f t="array" ref="C15:G15">TRANSPOSE('Public Comps'!J43:J47)</f>
        <v>55.685790845866961</v>
      </c>
      <c r="D15" s="22">
        <v>21.111410931676684</v>
      </c>
      <c r="E15" s="22">
        <v>17.246210575906872</v>
      </c>
      <c r="F15" s="22">
        <v>14.763646303546754</v>
      </c>
      <c r="G15" s="22">
        <v>13.031162790697675</v>
      </c>
      <c r="H15" s="27">
        <v>1935</v>
      </c>
      <c r="I15" s="21">
        <f t="shared" ref="I15:M15" si="3">+I51</f>
        <v>36.75006485084306</v>
      </c>
      <c r="J15" s="21">
        <f t="shared" si="3"/>
        <v>41.098126585425383</v>
      </c>
      <c r="K15" s="21">
        <f t="shared" si="3"/>
        <v>47.328686724228014</v>
      </c>
      <c r="L15" s="21">
        <f t="shared" si="3"/>
        <v>57.029286838903225</v>
      </c>
      <c r="M15" s="21">
        <f t="shared" si="3"/>
        <v>143.80156327724069</v>
      </c>
      <c r="N15" s="1"/>
      <c r="O15" s="1"/>
      <c r="P15" s="1"/>
      <c r="Q15" s="1"/>
      <c r="R15" s="1"/>
      <c r="S15" s="1"/>
      <c r="T15" s="1"/>
      <c r="U15" s="1"/>
      <c r="V15" s="1"/>
      <c r="W15" s="1"/>
      <c r="X15" s="1"/>
      <c r="Y15" s="1"/>
      <c r="Z15" s="1"/>
    </row>
    <row r="16" spans="1:26" ht="15.75" customHeight="1">
      <c r="A16" s="1"/>
      <c r="B16" s="19" t="str">
        <f>TEXT(Forward_Year_1,"aaaa-mm-dd")&amp;" E EV / EBITDA:"</f>
        <v>2020-12-31 E EV / EBITDA:</v>
      </c>
      <c r="C16" s="22">
        <f t="array" ref="C16:G16">TRANSPOSE('Public Comps'!K43:K47)</f>
        <v>15.938352451726685</v>
      </c>
      <c r="D16" s="22">
        <v>14.842860193335458</v>
      </c>
      <c r="E16" s="22">
        <v>14.514746426337373</v>
      </c>
      <c r="F16" s="22">
        <v>13.788258728732433</v>
      </c>
      <c r="G16" s="22">
        <v>12.002728496362478</v>
      </c>
      <c r="H16" s="27">
        <v>2027.7392510402217</v>
      </c>
      <c r="I16" s="21">
        <f t="shared" ref="I16:M16" si="4">+I54</f>
        <v>35.612715553376361</v>
      </c>
      <c r="J16" s="21">
        <f t="shared" si="4"/>
        <v>40.30868148864942</v>
      </c>
      <c r="K16" s="21">
        <f t="shared" si="4"/>
        <v>42.219352850298414</v>
      </c>
      <c r="L16" s="21">
        <f t="shared" si="4"/>
        <v>43.082295994460132</v>
      </c>
      <c r="M16" s="21">
        <f t="shared" si="4"/>
        <v>45.963453778572436</v>
      </c>
      <c r="N16" s="1"/>
      <c r="O16" s="1"/>
      <c r="P16" s="1"/>
      <c r="Q16" s="1"/>
      <c r="R16" s="1"/>
      <c r="S16" s="1"/>
      <c r="T16" s="1"/>
      <c r="U16" s="1"/>
      <c r="V16" s="1"/>
      <c r="W16" s="1"/>
      <c r="X16" s="1"/>
      <c r="Y16" s="1"/>
      <c r="Z16" s="1"/>
    </row>
    <row r="17" spans="1:26" ht="15.75" customHeight="1">
      <c r="A17" s="1"/>
      <c r="B17" s="19" t="str">
        <f>TEXT(Forward_Year_2,"aaaa-mm-dd")&amp;" E EV / EBITDA:"</f>
        <v>2021-12-31 E EV / EBITDA:</v>
      </c>
      <c r="C17" s="22">
        <f t="array" ref="C17:G17">TRANSPOSE('Public Comps'!L43:L47)</f>
        <v>18.394313028313668</v>
      </c>
      <c r="D17" s="22">
        <v>15.095359485395768</v>
      </c>
      <c r="E17" s="22">
        <v>13.130593339341479</v>
      </c>
      <c r="F17" s="22">
        <v>11.849929154556939</v>
      </c>
      <c r="G17" s="22">
        <v>7.2571507064364207</v>
      </c>
      <c r="H17" s="27">
        <v>2212.6213592233007</v>
      </c>
      <c r="I17" s="21">
        <f t="shared" ref="I17:M17" si="5">+I57</f>
        <v>24.872019014479495</v>
      </c>
      <c r="J17" s="21">
        <f t="shared" si="5"/>
        <v>38.052407720694674</v>
      </c>
      <c r="K17" s="21">
        <f t="shared" si="5"/>
        <v>41.727667032298527</v>
      </c>
      <c r="L17" s="21">
        <f t="shared" si="5"/>
        <v>47.366167085007426</v>
      </c>
      <c r="M17" s="21">
        <f t="shared" si="5"/>
        <v>56.833527749268811</v>
      </c>
      <c r="N17" s="1"/>
      <c r="O17" s="1"/>
      <c r="P17" s="1"/>
      <c r="Q17" s="1"/>
      <c r="R17" s="1"/>
      <c r="S17" s="1"/>
      <c r="T17" s="1"/>
      <c r="U17" s="1"/>
      <c r="V17" s="1"/>
      <c r="W17" s="1"/>
      <c r="X17" s="1"/>
      <c r="Y17" s="1"/>
      <c r="Z17" s="1"/>
    </row>
    <row r="18" spans="1:26" ht="15.75" customHeight="1">
      <c r="A18" s="1"/>
      <c r="B18" s="19" t="str">
        <f>TEXT(LTM,"mm/dd/yyyy")&amp;" Reported P / E:"</f>
        <v>LTM Reported P / E:</v>
      </c>
      <c r="C18" s="22">
        <f t="array" ref="C18:G18">TRANSPOSE('Public Comps'!M43:M47)</f>
        <v>39.731951640759931</v>
      </c>
      <c r="D18" s="22">
        <v>37.155071265299526</v>
      </c>
      <c r="E18" s="22">
        <v>33.49759885475153</v>
      </c>
      <c r="F18" s="22">
        <v>24.180409839572121</v>
      </c>
      <c r="G18" s="22">
        <v>21.584577910780151</v>
      </c>
      <c r="H18" s="27">
        <f t="array" ref="H18:H20">TRANSPOSE('Public Comps'!M26:O26)</f>
        <v>1503</v>
      </c>
      <c r="I18" s="21">
        <f t="shared" ref="I18:M18" si="6">+I60</f>
        <v>42.077328923349633</v>
      </c>
      <c r="J18" s="21">
        <f t="shared" si="6"/>
        <v>47.137686107492733</v>
      </c>
      <c r="K18" s="21">
        <f t="shared" si="6"/>
        <v>65.300766639029248</v>
      </c>
      <c r="L18" s="21">
        <f t="shared" si="6"/>
        <v>72.430703128074171</v>
      </c>
      <c r="M18" s="21">
        <f t="shared" si="6"/>
        <v>77.454115844438618</v>
      </c>
      <c r="N18" s="1"/>
      <c r="O18" s="1"/>
      <c r="P18" s="1"/>
      <c r="Q18" s="1"/>
      <c r="R18" s="1"/>
      <c r="S18" s="1"/>
      <c r="T18" s="1"/>
      <c r="U18" s="1"/>
      <c r="V18" s="1"/>
      <c r="W18" s="1"/>
      <c r="X18" s="1"/>
      <c r="Y18" s="1"/>
      <c r="Z18" s="1"/>
    </row>
    <row r="19" spans="1:26" ht="15.75" customHeight="1">
      <c r="A19" s="1"/>
      <c r="B19" s="19" t="str">
        <f>TEXT(Forward_Year_1,"aaaa-mm-dd")&amp;" E Reported P / E:"</f>
        <v>2020-12-31 E Reported P / E:</v>
      </c>
      <c r="C19" s="22">
        <f t="array" ref="C19:G19">TRANSPOSE('Public Comps'!N43:N47)</f>
        <v>29.319777434672417</v>
      </c>
      <c r="D19" s="22">
        <v>24.533426148371589</v>
      </c>
      <c r="E19" s="22">
        <v>23.069175730295129</v>
      </c>
      <c r="F19" s="22">
        <v>21.622398856040874</v>
      </c>
      <c r="G19" s="22">
        <v>15.49577212353312</v>
      </c>
      <c r="H19" s="27">
        <v>1575.0346740638004</v>
      </c>
      <c r="I19" s="21">
        <f t="shared" ref="I19:M19" si="7">+I63</f>
        <v>31.655484300850727</v>
      </c>
      <c r="J19" s="21">
        <f t="shared" si="7"/>
        <v>44.171242457460217</v>
      </c>
      <c r="K19" s="21">
        <f t="shared" si="7"/>
        <v>47.126785573652299</v>
      </c>
      <c r="L19" s="21">
        <f t="shared" si="7"/>
        <v>50.118024458195542</v>
      </c>
      <c r="M19" s="21">
        <f t="shared" si="7"/>
        <v>59.89580557126127</v>
      </c>
      <c r="N19" s="1"/>
      <c r="O19" s="1"/>
      <c r="P19" s="1"/>
      <c r="Q19" s="1"/>
      <c r="R19" s="1"/>
      <c r="S19" s="1"/>
      <c r="T19" s="1"/>
      <c r="U19" s="1"/>
      <c r="V19" s="1"/>
      <c r="W19" s="1"/>
      <c r="X19" s="1"/>
      <c r="Y19" s="1"/>
      <c r="Z19" s="1"/>
    </row>
    <row r="20" spans="1:26" ht="15.75" customHeight="1">
      <c r="A20" s="1"/>
      <c r="B20" s="19" t="str">
        <f>TEXT(Forward_Year_2,"aaaa-mm-dd")&amp;" E Reported P / E:"</f>
        <v>2021-12-31 E Reported P / E:</v>
      </c>
      <c r="C20" s="22">
        <f t="array" ref="C20:G20">TRANSPOSE('Public Comps'!O43:O47)</f>
        <v>26.272155368190244</v>
      </c>
      <c r="D20" s="22">
        <v>23.155985272850753</v>
      </c>
      <c r="E20" s="22">
        <v>21.580367640359746</v>
      </c>
      <c r="F20" s="22">
        <v>19.694611879126558</v>
      </c>
      <c r="G20" s="22">
        <v>17.139957536988533</v>
      </c>
      <c r="H20" s="27">
        <v>1718.6407766990292</v>
      </c>
      <c r="I20" s="21">
        <f t="shared" ref="I20:M20" si="8">+I66</f>
        <v>38.206783312527044</v>
      </c>
      <c r="J20" s="21">
        <f t="shared" si="8"/>
        <v>43.901378802500645</v>
      </c>
      <c r="K20" s="21">
        <f t="shared" si="8"/>
        <v>48.104928408402685</v>
      </c>
      <c r="L20" s="21">
        <f t="shared" si="8"/>
        <v>51.617147230302855</v>
      </c>
      <c r="M20" s="21">
        <f t="shared" si="8"/>
        <v>58.563420891756223</v>
      </c>
      <c r="N20" s="1"/>
      <c r="O20" s="1"/>
      <c r="P20" s="1"/>
      <c r="Q20" s="1"/>
      <c r="R20" s="1"/>
      <c r="S20" s="1"/>
      <c r="T20" s="1"/>
      <c r="U20" s="1"/>
      <c r="V20" s="1"/>
      <c r="W20" s="1"/>
      <c r="X20" s="1"/>
      <c r="Y20" s="1"/>
      <c r="Z20" s="1"/>
    </row>
    <row r="21" spans="1:26" ht="15.75" customHeight="1">
      <c r="A21" s="1"/>
      <c r="B21" s="1"/>
      <c r="C21" s="23"/>
      <c r="D21" s="1"/>
      <c r="E21" s="23"/>
      <c r="F21" s="1"/>
      <c r="G21" s="1"/>
      <c r="H21" s="1"/>
      <c r="I21" s="1"/>
      <c r="J21" s="1"/>
      <c r="K21" s="1"/>
      <c r="L21" s="1"/>
      <c r="M21" s="1"/>
      <c r="N21" s="1"/>
      <c r="O21" s="1"/>
      <c r="P21" s="1"/>
      <c r="Q21" s="1"/>
      <c r="R21" s="1"/>
      <c r="S21" s="1"/>
      <c r="T21" s="1"/>
      <c r="U21" s="1"/>
      <c r="V21" s="1"/>
      <c r="W21" s="1"/>
      <c r="X21" s="1"/>
      <c r="Y21" s="1"/>
      <c r="Z21" s="1"/>
    </row>
    <row r="22" spans="1:26" ht="15.75" customHeight="1">
      <c r="A22" s="1"/>
      <c r="B22" s="3" t="s">
        <v>43</v>
      </c>
      <c r="C22" s="23"/>
      <c r="D22" s="1"/>
      <c r="E22" s="23"/>
      <c r="F22" s="1"/>
      <c r="G22" s="1"/>
      <c r="H22" s="1"/>
      <c r="I22" s="1"/>
      <c r="J22" s="1"/>
      <c r="K22" s="1"/>
      <c r="L22" s="1"/>
      <c r="M22" s="1"/>
      <c r="N22" s="1"/>
      <c r="O22" s="1"/>
      <c r="P22" s="1"/>
      <c r="Q22" s="1"/>
      <c r="R22" s="1"/>
      <c r="S22" s="1"/>
      <c r="T22" s="1"/>
      <c r="U22" s="1"/>
      <c r="V22" s="1"/>
      <c r="W22" s="1"/>
      <c r="X22" s="1"/>
      <c r="Y22" s="1"/>
      <c r="Z22" s="1"/>
    </row>
    <row r="23" spans="1:26" ht="15.75" customHeight="1">
      <c r="A23" s="1"/>
      <c r="B23" s="19" t="str">
        <f>TEXT('ATVI-DCF'!D254,"0.00%")&amp;" - "&amp;TEXT('ATVI-DCF'!D262,"0.00%")&amp;" WACC, "&amp;TEXT('ATVI-DCF'!E253,"0.00%")&amp;" - "&amp;TEXT('ATVI-DCF'!M253,"0.00%")&amp;" Terminal FCF Growth Rate:"</f>
        <v>10.00% - 11.60% WACC, 0.50% - 2.50% Terminal FCF Growth Rate:</v>
      </c>
      <c r="C23" s="33"/>
      <c r="D23" s="33"/>
      <c r="E23" s="33"/>
      <c r="F23" s="33"/>
      <c r="G23" s="33"/>
      <c r="H23" s="18"/>
      <c r="I23" s="26">
        <f>+'ATVI-DCF'!E262</f>
        <v>77.344388897729019</v>
      </c>
      <c r="J23" s="26">
        <f>+'ATVI-DCF'!G260</f>
        <v>77.344388897729019</v>
      </c>
      <c r="K23" s="26">
        <f>+'ATVI-DCF'!I258</f>
        <v>77.344388897729019</v>
      </c>
      <c r="L23" s="26">
        <f>+'ATVI-DCF'!K256</f>
        <v>77.344388897729019</v>
      </c>
      <c r="M23" s="26">
        <f>+'ATVI-DCF'!M254</f>
        <v>77.344388897729019</v>
      </c>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37" t="s">
        <v>45</v>
      </c>
      <c r="C25" s="38"/>
      <c r="D25" s="38"/>
      <c r="E25" s="38"/>
      <c r="F25" s="1"/>
      <c r="G25" s="39"/>
      <c r="H25" s="365" t="s">
        <v>46</v>
      </c>
      <c r="I25" s="366"/>
      <c r="J25" s="366"/>
      <c r="K25" s="366"/>
      <c r="L25" s="366"/>
      <c r="M25" s="367"/>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3" t="s">
        <v>47</v>
      </c>
      <c r="C27" s="1"/>
      <c r="D27" s="1"/>
      <c r="E27" s="45">
        <f>+I27</f>
        <v>14266.182588491727</v>
      </c>
      <c r="F27" s="1"/>
      <c r="G27" s="1" t="s">
        <v>48</v>
      </c>
      <c r="H27" s="1"/>
      <c r="I27" s="17">
        <f t="shared" ref="I27:I35" si="9">+G12*$H12</f>
        <v>14266.182588491727</v>
      </c>
      <c r="J27" s="17">
        <f t="shared" ref="J27:J35" si="10">+F12*$H12</f>
        <v>22534.793358856961</v>
      </c>
      <c r="K27" s="17">
        <f t="shared" ref="K27:K35" si="11">+E12*$H12</f>
        <v>29682.657972656238</v>
      </c>
      <c r="L27" s="17">
        <f t="shared" ref="L27:L35" si="12">+D12*$H12</f>
        <v>39552.435761324021</v>
      </c>
      <c r="M27" s="17">
        <f t="shared" ref="M27:M35" si="13">+C12*$H12</f>
        <v>438056.37249213085</v>
      </c>
      <c r="N27" s="1"/>
      <c r="O27" s="1"/>
      <c r="P27" s="1"/>
      <c r="Q27" s="1"/>
      <c r="R27" s="1"/>
      <c r="S27" s="1"/>
      <c r="T27" s="1"/>
      <c r="U27" s="1"/>
      <c r="V27" s="1"/>
      <c r="W27" s="1"/>
      <c r="X27" s="1"/>
      <c r="Y27" s="1"/>
      <c r="Z27" s="1"/>
    </row>
    <row r="28" spans="1:26" ht="15.75" customHeight="1">
      <c r="A28" s="1"/>
      <c r="B28" s="19" t="s">
        <v>49</v>
      </c>
      <c r="C28" s="1"/>
      <c r="D28" s="1"/>
      <c r="E28" s="27">
        <f>-'Public-Comps-Data'!BE17</f>
        <v>5794</v>
      </c>
      <c r="F28" s="1"/>
      <c r="G28" s="1" t="s">
        <v>48</v>
      </c>
      <c r="H28" s="1"/>
      <c r="I28" s="23">
        <f t="shared" si="9"/>
        <v>14816.41960661809</v>
      </c>
      <c r="J28" s="23">
        <f t="shared" si="10"/>
        <v>21120.308489546627</v>
      </c>
      <c r="K28" s="23">
        <f t="shared" si="11"/>
        <v>25598.201762289726</v>
      </c>
      <c r="L28" s="23">
        <f t="shared" si="12"/>
        <v>38845.204420875823</v>
      </c>
      <c r="M28" s="23">
        <f t="shared" si="13"/>
        <v>64436.667228032624</v>
      </c>
      <c r="N28" s="1"/>
      <c r="O28" s="1"/>
      <c r="P28" s="1"/>
      <c r="Q28" s="1"/>
      <c r="R28" s="1"/>
      <c r="S28" s="1"/>
      <c r="T28" s="1"/>
      <c r="U28" s="1"/>
      <c r="V28" s="1"/>
      <c r="W28" s="1"/>
      <c r="X28" s="1"/>
      <c r="Y28" s="1"/>
      <c r="Z28" s="1"/>
    </row>
    <row r="29" spans="1:26" ht="15.75" customHeight="1">
      <c r="A29" s="1"/>
      <c r="B29" s="19" t="s">
        <v>51</v>
      </c>
      <c r="C29" s="1"/>
      <c r="D29" s="1"/>
      <c r="E29" s="27">
        <f>-'Public-Comps-Data'!BE18</f>
        <v>0</v>
      </c>
      <c r="F29" s="1"/>
      <c r="G29" s="1" t="s">
        <v>48</v>
      </c>
      <c r="H29" s="1"/>
      <c r="I29" s="23">
        <f t="shared" si="9"/>
        <v>13875.282580114979</v>
      </c>
      <c r="J29" s="23">
        <f t="shared" si="10"/>
        <v>21794.674662277288</v>
      </c>
      <c r="K29" s="23">
        <f t="shared" si="11"/>
        <v>26881.828448275861</v>
      </c>
      <c r="L29" s="23">
        <f t="shared" si="12"/>
        <v>32805.189109666986</v>
      </c>
      <c r="M29" s="23">
        <f t="shared" si="13"/>
        <v>98815.849365637332</v>
      </c>
      <c r="N29" s="1"/>
      <c r="O29" s="1"/>
      <c r="P29" s="1"/>
      <c r="Q29" s="1"/>
      <c r="R29" s="1"/>
      <c r="S29" s="1"/>
      <c r="T29" s="1"/>
      <c r="U29" s="1"/>
      <c r="V29" s="1"/>
      <c r="W29" s="1"/>
      <c r="X29" s="1"/>
      <c r="Y29" s="1"/>
      <c r="Z29" s="1"/>
    </row>
    <row r="30" spans="1:26" ht="15.75" customHeight="1">
      <c r="A30" s="1"/>
      <c r="B30" s="19" t="s">
        <v>52</v>
      </c>
      <c r="C30" s="1"/>
      <c r="D30" s="1"/>
      <c r="E30" s="27">
        <f>-'Public-Comps-Data'!BE19</f>
        <v>0</v>
      </c>
      <c r="F30" s="1"/>
      <c r="G30" s="1" t="s">
        <v>48</v>
      </c>
      <c r="H30" s="1"/>
      <c r="I30" s="23">
        <f t="shared" si="9"/>
        <v>25215.3</v>
      </c>
      <c r="J30" s="23">
        <f t="shared" si="10"/>
        <v>28567.655597362969</v>
      </c>
      <c r="K30" s="23">
        <f t="shared" si="11"/>
        <v>33371.417464379796</v>
      </c>
      <c r="L30" s="23">
        <f t="shared" si="12"/>
        <v>40850.580152794384</v>
      </c>
      <c r="M30" s="23">
        <f t="shared" si="13"/>
        <v>107752.00528675257</v>
      </c>
      <c r="N30" s="1"/>
      <c r="O30" s="1"/>
      <c r="P30" s="1"/>
      <c r="Q30" s="1"/>
      <c r="R30" s="1"/>
      <c r="S30" s="1"/>
      <c r="T30" s="1"/>
      <c r="U30" s="1"/>
      <c r="V30" s="1"/>
      <c r="W30" s="1"/>
      <c r="X30" s="1"/>
      <c r="Y30" s="1"/>
      <c r="Z30" s="1"/>
    </row>
    <row r="31" spans="1:26" ht="15.75" customHeight="1">
      <c r="A31" s="1"/>
      <c r="B31" s="19" t="s">
        <v>53</v>
      </c>
      <c r="C31" s="1"/>
      <c r="D31" s="1"/>
      <c r="E31" s="27">
        <f>-'Public-Comps-Data'!BE20</f>
        <v>0</v>
      </c>
      <c r="F31" s="1"/>
      <c r="G31" s="1" t="s">
        <v>48</v>
      </c>
      <c r="H31" s="1"/>
      <c r="I31" s="23">
        <f t="shared" si="9"/>
        <v>24338.403691653177</v>
      </c>
      <c r="J31" s="23">
        <f t="shared" si="10"/>
        <v>27958.993427748705</v>
      </c>
      <c r="K31" s="23">
        <f t="shared" si="11"/>
        <v>29432.12104758008</v>
      </c>
      <c r="L31" s="23">
        <f t="shared" si="12"/>
        <v>30097.450211728763</v>
      </c>
      <c r="M31" s="23">
        <f t="shared" si="13"/>
        <v>32318.822863279347</v>
      </c>
      <c r="N31" s="1"/>
      <c r="O31" s="1"/>
      <c r="P31" s="1"/>
      <c r="Q31" s="1"/>
      <c r="R31" s="1"/>
      <c r="S31" s="1"/>
      <c r="T31" s="1"/>
      <c r="U31" s="1"/>
      <c r="V31" s="1"/>
      <c r="W31" s="1"/>
      <c r="X31" s="1"/>
      <c r="Y31" s="1"/>
      <c r="Z31" s="1"/>
    </row>
    <row r="32" spans="1:26" ht="15.75" customHeight="1">
      <c r="A32" s="1"/>
      <c r="B32" s="19" t="s">
        <v>54</v>
      </c>
      <c r="C32" s="1"/>
      <c r="D32" s="1"/>
      <c r="E32" s="23">
        <f>-'Public-Comps-Data'!BE21</f>
        <v>-2675</v>
      </c>
      <c r="F32" s="1"/>
      <c r="G32" s="1" t="s">
        <v>48</v>
      </c>
      <c r="H32" s="1"/>
      <c r="I32" s="23">
        <f t="shared" si="9"/>
        <v>16057.32666016369</v>
      </c>
      <c r="J32" s="23">
        <f t="shared" si="10"/>
        <v>26219.406352655595</v>
      </c>
      <c r="K32" s="23">
        <f t="shared" si="11"/>
        <v>29053.03128190216</v>
      </c>
      <c r="L32" s="23">
        <f t="shared" si="12"/>
        <v>33400.314822540728</v>
      </c>
      <c r="M32" s="23">
        <f t="shared" si="13"/>
        <v>40699.649894686256</v>
      </c>
      <c r="N32" s="1"/>
      <c r="O32" s="1"/>
      <c r="P32" s="1"/>
      <c r="Q32" s="1"/>
      <c r="R32" s="1"/>
      <c r="S32" s="1"/>
      <c r="T32" s="1"/>
      <c r="U32" s="1"/>
      <c r="V32" s="1"/>
      <c r="W32" s="1"/>
      <c r="X32" s="1"/>
      <c r="Y32" s="1"/>
      <c r="Z32" s="1"/>
    </row>
    <row r="33" spans="1:26" ht="15.75" customHeight="1">
      <c r="A33" s="1"/>
      <c r="B33" s="19" t="s">
        <v>55</v>
      </c>
      <c r="C33" s="1"/>
      <c r="D33" s="1"/>
      <c r="E33" s="27">
        <f>-'Public-Comps-Data'!BE22</f>
        <v>0</v>
      </c>
      <c r="F33" s="1"/>
      <c r="G33" s="1" t="s">
        <v>56</v>
      </c>
      <c r="H33" s="1"/>
      <c r="I33" s="23">
        <f t="shared" si="9"/>
        <v>32441.620599902566</v>
      </c>
      <c r="J33" s="23">
        <f t="shared" si="10"/>
        <v>36343.155988876897</v>
      </c>
      <c r="K33" s="23">
        <f t="shared" si="11"/>
        <v>50346.891078691551</v>
      </c>
      <c r="L33" s="23">
        <f t="shared" si="12"/>
        <v>55844.07211174519</v>
      </c>
      <c r="M33" s="23">
        <f t="shared" si="13"/>
        <v>59717.123316062178</v>
      </c>
      <c r="N33" s="1"/>
      <c r="O33" s="1"/>
      <c r="P33" s="1"/>
      <c r="Q33" s="1"/>
      <c r="R33" s="1"/>
      <c r="S33" s="1"/>
      <c r="T33" s="1"/>
      <c r="U33" s="1"/>
      <c r="V33" s="1"/>
      <c r="W33" s="1"/>
      <c r="X33" s="1"/>
      <c r="Y33" s="1"/>
      <c r="Z33" s="1"/>
    </row>
    <row r="34" spans="1:26" ht="15.75" customHeight="1">
      <c r="A34" s="1"/>
      <c r="B34" s="19" t="s">
        <v>57</v>
      </c>
      <c r="C34" s="1"/>
      <c r="D34" s="1"/>
      <c r="E34" s="27">
        <f>-'Public-Comps-Data'!BE23</f>
        <v>0</v>
      </c>
      <c r="F34" s="1"/>
      <c r="G34" s="1" t="s">
        <v>56</v>
      </c>
      <c r="H34" s="1"/>
      <c r="I34" s="23">
        <f t="shared" si="9"/>
        <v>24406.378395955911</v>
      </c>
      <c r="J34" s="23">
        <f t="shared" si="10"/>
        <v>34056.02793470183</v>
      </c>
      <c r="K34" s="23">
        <f t="shared" si="11"/>
        <v>36334.751677285924</v>
      </c>
      <c r="L34" s="23">
        <f t="shared" si="12"/>
        <v>38640.996857268765</v>
      </c>
      <c r="M34" s="23">
        <f t="shared" si="13"/>
        <v>46179.666095442437</v>
      </c>
      <c r="N34" s="1"/>
      <c r="O34" s="1"/>
      <c r="P34" s="1"/>
      <c r="Q34" s="1"/>
      <c r="R34" s="1"/>
      <c r="S34" s="1"/>
      <c r="T34" s="1"/>
      <c r="U34" s="1"/>
      <c r="V34" s="1"/>
      <c r="W34" s="1"/>
      <c r="X34" s="1"/>
      <c r="Y34" s="1"/>
      <c r="Z34" s="1"/>
    </row>
    <row r="35" spans="1:26" ht="15.75" customHeight="1">
      <c r="A35" s="1"/>
      <c r="B35" s="19" t="s">
        <v>58</v>
      </c>
      <c r="C35" s="1"/>
      <c r="D35" s="1"/>
      <c r="E35" s="27">
        <f>-'Public-Comps-Data'!BE24</f>
        <v>0</v>
      </c>
      <c r="F35" s="1"/>
      <c r="G35" s="1" t="s">
        <v>56</v>
      </c>
      <c r="H35" s="1"/>
      <c r="I35" s="23">
        <f t="shared" si="9"/>
        <v>29457.429933958352</v>
      </c>
      <c r="J35" s="23">
        <f t="shared" si="10"/>
        <v>33847.963056727996</v>
      </c>
      <c r="K35" s="23">
        <f t="shared" si="11"/>
        <v>37088.89980287847</v>
      </c>
      <c r="L35" s="23">
        <f t="shared" si="12"/>
        <v>39796.8205145635</v>
      </c>
      <c r="M35" s="23">
        <f t="shared" si="13"/>
        <v>45152.397507544047</v>
      </c>
      <c r="N35" s="1"/>
      <c r="O35" s="1"/>
      <c r="P35" s="1"/>
      <c r="Q35" s="1"/>
      <c r="R35" s="1"/>
      <c r="S35" s="1"/>
      <c r="T35" s="1"/>
      <c r="U35" s="1"/>
      <c r="V35" s="1"/>
      <c r="W35" s="1"/>
      <c r="X35" s="1"/>
      <c r="Y35" s="1"/>
      <c r="Z35" s="1"/>
    </row>
    <row r="36" spans="1:26" ht="15.75" customHeight="1">
      <c r="A36" s="1"/>
      <c r="B36" s="19" t="s">
        <v>59</v>
      </c>
      <c r="C36" s="1"/>
      <c r="D36" s="1"/>
      <c r="E36" s="27">
        <f>-'Public-Comps-Data'!BE25</f>
        <v>0</v>
      </c>
      <c r="F36" s="1"/>
      <c r="G36" s="1"/>
      <c r="H36" s="1"/>
      <c r="I36" s="1"/>
      <c r="J36" s="1"/>
      <c r="K36" s="1"/>
      <c r="L36" s="1"/>
      <c r="M36" s="1"/>
      <c r="N36" s="1"/>
      <c r="O36" s="1"/>
      <c r="P36" s="1"/>
      <c r="Q36" s="1"/>
      <c r="R36" s="1"/>
      <c r="S36" s="1"/>
      <c r="T36" s="1"/>
      <c r="U36" s="1"/>
      <c r="V36" s="1"/>
      <c r="W36" s="1"/>
      <c r="X36" s="1"/>
      <c r="Y36" s="1"/>
      <c r="Z36" s="1"/>
    </row>
    <row r="37" spans="1:26" ht="15.75" customHeight="1">
      <c r="A37" s="1"/>
      <c r="B37" s="58" t="s">
        <v>60</v>
      </c>
      <c r="C37" s="30"/>
      <c r="D37" s="30"/>
      <c r="E37" s="59">
        <f>SUM(E27:E36)</f>
        <v>17385.182588491727</v>
      </c>
      <c r="F37" s="1"/>
      <c r="G37" s="1" t="s">
        <v>48</v>
      </c>
      <c r="H37" s="1"/>
      <c r="I37" s="23" t="e">
        <f t="shared" ref="I37:M37" si="14">+#REF!*#REF!</f>
        <v>#REF!</v>
      </c>
      <c r="J37" s="23" t="e">
        <f t="shared" si="14"/>
        <v>#REF!</v>
      </c>
      <c r="K37" s="23" t="e">
        <f t="shared" si="14"/>
        <v>#REF!</v>
      </c>
      <c r="L37" s="23" t="e">
        <f t="shared" si="14"/>
        <v>#REF!</v>
      </c>
      <c r="M37" s="23" t="e">
        <f t="shared" si="14"/>
        <v>#REF!</v>
      </c>
      <c r="N37" s="1"/>
      <c r="O37" s="1"/>
      <c r="P37" s="1"/>
      <c r="Q37" s="1"/>
      <c r="R37" s="1"/>
      <c r="S37" s="1"/>
      <c r="T37" s="1"/>
      <c r="U37" s="1"/>
      <c r="V37" s="1"/>
      <c r="W37" s="1"/>
      <c r="X37" s="1"/>
      <c r="Y37" s="1"/>
      <c r="Z37" s="1"/>
    </row>
    <row r="38" spans="1:26" ht="15.75" customHeight="1">
      <c r="A38" s="1"/>
      <c r="B38" s="1"/>
      <c r="C38" s="1"/>
      <c r="D38" s="1"/>
      <c r="E38" s="1"/>
      <c r="F38" s="1"/>
      <c r="G38" s="1" t="s">
        <v>48</v>
      </c>
      <c r="H38" s="1"/>
      <c r="I38" s="23" t="e">
        <f t="shared" ref="I38:M38" si="15">+#REF!*#REF!</f>
        <v>#REF!</v>
      </c>
      <c r="J38" s="23" t="e">
        <f t="shared" si="15"/>
        <v>#REF!</v>
      </c>
      <c r="K38" s="23" t="e">
        <f t="shared" si="15"/>
        <v>#REF!</v>
      </c>
      <c r="L38" s="23" t="e">
        <f t="shared" si="15"/>
        <v>#REF!</v>
      </c>
      <c r="M38" s="23" t="e">
        <f t="shared" si="15"/>
        <v>#REF!</v>
      </c>
      <c r="N38" s="1"/>
      <c r="O38" s="1"/>
      <c r="P38" s="1"/>
      <c r="Q38" s="1"/>
      <c r="R38" s="1"/>
      <c r="S38" s="1"/>
      <c r="T38" s="1"/>
      <c r="U38" s="1"/>
      <c r="V38" s="1"/>
      <c r="W38" s="1"/>
      <c r="X38" s="1"/>
      <c r="Y38" s="1"/>
      <c r="Z38" s="1"/>
    </row>
    <row r="39" spans="1:26" ht="15.75" customHeight="1">
      <c r="A39" s="1"/>
      <c r="B39" s="1" t="s">
        <v>61</v>
      </c>
      <c r="C39" s="1"/>
      <c r="D39" s="1"/>
      <c r="E39" s="60">
        <v>771</v>
      </c>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62" t="s">
        <v>62</v>
      </c>
      <c r="C41" s="63"/>
      <c r="D41" s="63"/>
      <c r="E41" s="65">
        <f>+E37/E39</f>
        <v>22.548874952648156</v>
      </c>
      <c r="F41" s="1"/>
      <c r="G41" s="1" t="s">
        <v>48</v>
      </c>
      <c r="H41" s="1"/>
      <c r="I41" s="66">
        <f t="shared" ref="I41:M41" si="16">+I27</f>
        <v>14266.182588491727</v>
      </c>
      <c r="J41" s="66">
        <f t="shared" si="16"/>
        <v>22534.793358856961</v>
      </c>
      <c r="K41" s="66">
        <f t="shared" si="16"/>
        <v>29682.657972656238</v>
      </c>
      <c r="L41" s="66">
        <f t="shared" si="16"/>
        <v>39552.435761324021</v>
      </c>
      <c r="M41" s="66">
        <f t="shared" si="16"/>
        <v>438056.37249213085</v>
      </c>
      <c r="N41" s="1"/>
      <c r="O41" s="1"/>
      <c r="P41" s="1"/>
      <c r="Q41" s="1"/>
      <c r="R41" s="1"/>
      <c r="S41" s="1"/>
      <c r="T41" s="1"/>
      <c r="U41" s="1"/>
      <c r="V41" s="1"/>
      <c r="W41" s="1"/>
      <c r="X41" s="1"/>
      <c r="Y41" s="1"/>
      <c r="Z41" s="1"/>
    </row>
    <row r="42" spans="1:26" ht="15.75" customHeight="1">
      <c r="A42" s="1"/>
      <c r="B42" s="67" t="s">
        <v>63</v>
      </c>
      <c r="C42" s="68"/>
      <c r="D42" s="68"/>
      <c r="E42" s="69">
        <f>+E41/Share_Price-1</f>
        <v>-0.63149411745958228</v>
      </c>
      <c r="F42" s="1"/>
      <c r="G42" s="1"/>
      <c r="H42" s="18">
        <f>+$E$41</f>
        <v>22.548874952648156</v>
      </c>
      <c r="I42" s="70">
        <v>22.548874952648156</v>
      </c>
      <c r="J42" s="71">
        <v>33.27340254067051</v>
      </c>
      <c r="K42" s="71">
        <v>42.544303466480201</v>
      </c>
      <c r="L42" s="71">
        <v>55.345571674869028</v>
      </c>
      <c r="M42" s="71">
        <v>572.21189687695312</v>
      </c>
      <c r="N42" s="1"/>
      <c r="O42" s="1"/>
      <c r="P42" s="1"/>
      <c r="Q42" s="1"/>
      <c r="R42" s="1"/>
      <c r="S42" s="1"/>
      <c r="T42" s="1"/>
      <c r="U42" s="1"/>
      <c r="V42" s="1"/>
      <c r="W42" s="1"/>
      <c r="X42" s="1"/>
      <c r="Y42" s="1"/>
      <c r="Z42" s="1"/>
    </row>
    <row r="43" spans="1:26" ht="15.75" customHeight="1">
      <c r="A43" s="1"/>
      <c r="B43" s="72"/>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73"/>
      <c r="C44" s="73"/>
      <c r="D44" s="74" t="s">
        <v>67</v>
      </c>
      <c r="E44" s="73"/>
      <c r="F44" s="1"/>
      <c r="G44" s="1" t="s">
        <v>48</v>
      </c>
      <c r="H44" s="1"/>
      <c r="I44" s="75">
        <f t="shared" ref="I44:M44" si="17">+I28</f>
        <v>14816.41960661809</v>
      </c>
      <c r="J44" s="75">
        <f t="shared" si="17"/>
        <v>21120.308489546627</v>
      </c>
      <c r="K44" s="75">
        <f t="shared" si="17"/>
        <v>25598.201762289726</v>
      </c>
      <c r="L44" s="75">
        <f t="shared" si="17"/>
        <v>38845.204420875823</v>
      </c>
      <c r="M44" s="75">
        <f t="shared" si="17"/>
        <v>64436.667228032624</v>
      </c>
      <c r="N44" s="1"/>
      <c r="O44" s="1"/>
      <c r="P44" s="1"/>
      <c r="Q44" s="1"/>
      <c r="R44" s="1"/>
      <c r="S44" s="1"/>
      <c r="T44" s="1"/>
      <c r="U44" s="1"/>
      <c r="V44" s="1"/>
      <c r="W44" s="1"/>
      <c r="X44" s="1"/>
      <c r="Y44" s="1"/>
      <c r="Z44" s="1"/>
    </row>
    <row r="45" spans="1:26" ht="15.75" customHeight="1">
      <c r="A45" s="1"/>
      <c r="B45" s="37" t="s">
        <v>68</v>
      </c>
      <c r="C45" s="39" t="s">
        <v>69</v>
      </c>
      <c r="D45" s="39" t="s">
        <v>70</v>
      </c>
      <c r="E45" s="39"/>
      <c r="F45" s="1"/>
      <c r="G45" s="1"/>
      <c r="H45" s="18">
        <f>+$E$41</f>
        <v>22.548874952648156</v>
      </c>
      <c r="I45" s="70">
        <v>23.262541642825017</v>
      </c>
      <c r="J45" s="71">
        <v>31.438791815235575</v>
      </c>
      <c r="K45" s="71">
        <v>37.246694892723383</v>
      </c>
      <c r="L45" s="71">
        <v>54.428280701525061</v>
      </c>
      <c r="M45" s="71">
        <v>87.620839465671381</v>
      </c>
      <c r="N45" s="1"/>
      <c r="O45" s="1"/>
      <c r="P45" s="1"/>
      <c r="Q45" s="1"/>
      <c r="R45" s="1"/>
      <c r="S45" s="1"/>
      <c r="T45" s="1"/>
      <c r="U45" s="1"/>
      <c r="V45" s="1"/>
      <c r="W45" s="1"/>
      <c r="X45" s="1"/>
      <c r="Y45" s="1"/>
      <c r="Z45" s="1"/>
    </row>
    <row r="46" spans="1:26" ht="15.75" customHeight="1">
      <c r="A46" s="1"/>
      <c r="B46" s="19" t="s">
        <v>71</v>
      </c>
      <c r="C46" s="77">
        <f>+'Public-Comps-Data'!BC38</f>
        <v>0</v>
      </c>
      <c r="D46" s="78">
        <f>+'Public-Comps-Data'!BD38</f>
        <v>0</v>
      </c>
      <c r="E46" s="79">
        <f>IF(D46&lt;$E$41,C46-((C46*D46)/$E$41),0)</f>
        <v>0</v>
      </c>
      <c r="F46" s="1"/>
      <c r="G46" s="1"/>
      <c r="H46" s="1"/>
      <c r="I46" s="1"/>
      <c r="J46" s="1"/>
      <c r="K46" s="1"/>
      <c r="L46" s="1"/>
      <c r="M46" s="1"/>
      <c r="N46" s="1"/>
      <c r="O46" s="1"/>
      <c r="P46" s="1"/>
      <c r="Q46" s="1"/>
      <c r="R46" s="1"/>
      <c r="S46" s="1"/>
      <c r="T46" s="1"/>
      <c r="U46" s="1"/>
      <c r="V46" s="1"/>
      <c r="W46" s="1"/>
      <c r="X46" s="1"/>
      <c r="Y46" s="1"/>
      <c r="Z46" s="1"/>
    </row>
    <row r="47" spans="1:26" ht="15.75" customHeight="1">
      <c r="A47" s="1"/>
      <c r="B47" s="19" t="s">
        <v>72</v>
      </c>
      <c r="C47" s="24">
        <f>+'Public-Comps-Data'!BB49</f>
        <v>0</v>
      </c>
      <c r="D47" s="81">
        <f>+'Public-Comps-Data'!BD49</f>
        <v>0</v>
      </c>
      <c r="E47" s="82">
        <f>IFERROR(IF(D47&gt;E41,0,(1000/D47)*C47/1000),0)</f>
        <v>0</v>
      </c>
      <c r="F47" s="1"/>
      <c r="G47" s="1" t="s">
        <v>48</v>
      </c>
      <c r="H47" s="1"/>
      <c r="I47" s="75">
        <f t="shared" ref="I47:M47" si="18">+I29</f>
        <v>13875.282580114979</v>
      </c>
      <c r="J47" s="75">
        <f t="shared" si="18"/>
        <v>21794.674662277288</v>
      </c>
      <c r="K47" s="75">
        <f t="shared" si="18"/>
        <v>26881.828448275861</v>
      </c>
      <c r="L47" s="75">
        <f t="shared" si="18"/>
        <v>32805.189109666986</v>
      </c>
      <c r="M47" s="75">
        <f t="shared" si="18"/>
        <v>98815.849365637332</v>
      </c>
      <c r="N47" s="1"/>
      <c r="O47" s="1"/>
      <c r="P47" s="1"/>
      <c r="Q47" s="1"/>
      <c r="R47" s="1"/>
      <c r="S47" s="1"/>
      <c r="T47" s="1"/>
      <c r="U47" s="1"/>
      <c r="V47" s="1"/>
      <c r="W47" s="1"/>
      <c r="X47" s="1"/>
      <c r="Y47" s="1"/>
      <c r="Z47" s="1"/>
    </row>
    <row r="48" spans="1:26" ht="15.75" customHeight="1">
      <c r="A48" s="1"/>
      <c r="B48" s="19" t="s">
        <v>73</v>
      </c>
      <c r="C48" s="83">
        <f>+'Public-Comps-Data'!BD53</f>
        <v>0</v>
      </c>
      <c r="D48" s="72"/>
      <c r="E48" s="82">
        <f>+C48</f>
        <v>0</v>
      </c>
      <c r="F48" s="1"/>
      <c r="G48" s="1"/>
      <c r="H48" s="18">
        <f>+$E$41</f>
        <v>22.548874952648156</v>
      </c>
      <c r="I48" s="70">
        <v>22.041871050732791</v>
      </c>
      <c r="J48" s="71">
        <v>32.313456111903101</v>
      </c>
      <c r="K48" s="71">
        <v>38.911580347958314</v>
      </c>
      <c r="L48" s="71">
        <v>46.594279000865093</v>
      </c>
      <c r="M48" s="71">
        <v>132.21121837307047</v>
      </c>
      <c r="N48" s="1"/>
      <c r="O48" s="1"/>
      <c r="P48" s="1"/>
      <c r="Q48" s="1"/>
      <c r="R48" s="1"/>
      <c r="S48" s="1"/>
      <c r="T48" s="1"/>
      <c r="U48" s="1"/>
      <c r="V48" s="1"/>
      <c r="W48" s="1"/>
      <c r="X48" s="1"/>
      <c r="Y48" s="1"/>
      <c r="Z48" s="1"/>
    </row>
    <row r="49" spans="1:26" ht="15.75" customHeight="1">
      <c r="A49" s="1"/>
      <c r="B49" s="84" t="s">
        <v>74</v>
      </c>
      <c r="C49" s="85"/>
      <c r="D49" s="86"/>
      <c r="E49" s="85">
        <f>SUM(E46:E48)</f>
        <v>0</v>
      </c>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t="s">
        <v>48</v>
      </c>
      <c r="H50" s="1"/>
      <c r="I50" s="75">
        <f t="shared" ref="I50:M50" si="19">+I30</f>
        <v>25215.3</v>
      </c>
      <c r="J50" s="75">
        <f t="shared" si="19"/>
        <v>28567.655597362969</v>
      </c>
      <c r="K50" s="75">
        <f t="shared" si="19"/>
        <v>33371.417464379796</v>
      </c>
      <c r="L50" s="75">
        <f t="shared" si="19"/>
        <v>40850.580152794384</v>
      </c>
      <c r="M50" s="75">
        <f t="shared" si="19"/>
        <v>107752.00528675257</v>
      </c>
      <c r="N50" s="1"/>
      <c r="O50" s="1"/>
      <c r="P50" s="1"/>
      <c r="Q50" s="1"/>
      <c r="R50" s="1"/>
      <c r="S50" s="1"/>
      <c r="T50" s="1"/>
      <c r="U50" s="1"/>
      <c r="V50" s="1"/>
      <c r="W50" s="1"/>
      <c r="X50" s="1"/>
      <c r="Y50" s="1"/>
      <c r="Z50" s="1"/>
    </row>
    <row r="51" spans="1:26" ht="15.75" customHeight="1">
      <c r="A51" s="1"/>
      <c r="B51" s="1"/>
      <c r="C51" s="1"/>
      <c r="D51" s="1"/>
      <c r="E51" s="1"/>
      <c r="F51" s="1"/>
      <c r="G51" s="1"/>
      <c r="H51" s="18">
        <f>+$E$41</f>
        <v>22.548874952648156</v>
      </c>
      <c r="I51" s="70">
        <v>36.75006485084306</v>
      </c>
      <c r="J51" s="71">
        <v>41.098126585425383</v>
      </c>
      <c r="K51" s="71">
        <v>47.328686724228014</v>
      </c>
      <c r="L51" s="71">
        <v>57.029286838903225</v>
      </c>
      <c r="M51" s="71">
        <v>143.80156327724069</v>
      </c>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t="s">
        <v>48</v>
      </c>
      <c r="H53" s="1"/>
      <c r="I53" s="75">
        <f t="shared" ref="I53:M53" si="20">+I31</f>
        <v>24338.403691653177</v>
      </c>
      <c r="J53" s="75">
        <f t="shared" si="20"/>
        <v>27958.993427748705</v>
      </c>
      <c r="K53" s="75">
        <f t="shared" si="20"/>
        <v>29432.12104758008</v>
      </c>
      <c r="L53" s="75">
        <f t="shared" si="20"/>
        <v>30097.450211728763</v>
      </c>
      <c r="M53" s="75">
        <f t="shared" si="20"/>
        <v>32318.822863279347</v>
      </c>
      <c r="N53" s="1"/>
      <c r="O53" s="1"/>
      <c r="P53" s="1"/>
      <c r="Q53" s="1"/>
      <c r="R53" s="1"/>
      <c r="S53" s="1"/>
      <c r="T53" s="1"/>
      <c r="U53" s="1"/>
      <c r="V53" s="1"/>
      <c r="W53" s="1"/>
      <c r="X53" s="1"/>
      <c r="Y53" s="1"/>
      <c r="Z53" s="1"/>
    </row>
    <row r="54" spans="1:26" ht="15.75" customHeight="1">
      <c r="A54" s="1"/>
      <c r="B54" s="1"/>
      <c r="C54" s="1"/>
      <c r="D54" s="1"/>
      <c r="E54" s="1"/>
      <c r="F54" s="1"/>
      <c r="G54" s="1"/>
      <c r="H54" s="18">
        <f>+$E$41</f>
        <v>22.548874952648156</v>
      </c>
      <c r="I54" s="70">
        <v>35.612715553376361</v>
      </c>
      <c r="J54" s="71">
        <v>40.30868148864942</v>
      </c>
      <c r="K54" s="71">
        <v>42.219352850298414</v>
      </c>
      <c r="L54" s="71">
        <v>43.082295994460132</v>
      </c>
      <c r="M54" s="71">
        <v>45.963453778572436</v>
      </c>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t="s">
        <v>48</v>
      </c>
      <c r="H56" s="1"/>
      <c r="I56" s="75">
        <f t="shared" ref="I56:M56" si="21">+I32</f>
        <v>16057.32666016369</v>
      </c>
      <c r="J56" s="75">
        <f t="shared" si="21"/>
        <v>26219.406352655595</v>
      </c>
      <c r="K56" s="75">
        <f t="shared" si="21"/>
        <v>29053.03128190216</v>
      </c>
      <c r="L56" s="75">
        <f t="shared" si="21"/>
        <v>33400.314822540728</v>
      </c>
      <c r="M56" s="75">
        <f t="shared" si="21"/>
        <v>40699.649894686256</v>
      </c>
      <c r="N56" s="1"/>
      <c r="O56" s="1"/>
      <c r="P56" s="1"/>
      <c r="Q56" s="1"/>
      <c r="R56" s="1"/>
      <c r="S56" s="1"/>
      <c r="T56" s="1"/>
      <c r="U56" s="1"/>
      <c r="V56" s="1"/>
      <c r="W56" s="1"/>
      <c r="X56" s="1"/>
      <c r="Y56" s="1"/>
      <c r="Z56" s="1"/>
    </row>
    <row r="57" spans="1:26" ht="15.75" customHeight="1">
      <c r="A57" s="1"/>
      <c r="B57" s="1"/>
      <c r="C57" s="1"/>
      <c r="D57" s="1"/>
      <c r="E57" s="1"/>
      <c r="F57" s="1"/>
      <c r="G57" s="1"/>
      <c r="H57" s="18">
        <f>+$E$41</f>
        <v>22.548874952648156</v>
      </c>
      <c r="I57" s="70">
        <v>24.872019014479495</v>
      </c>
      <c r="J57" s="71">
        <v>38.052407720694674</v>
      </c>
      <c r="K57" s="71">
        <v>41.727667032298527</v>
      </c>
      <c r="L57" s="71">
        <v>47.366167085007426</v>
      </c>
      <c r="M57" s="71">
        <v>56.833527749268811</v>
      </c>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t="s">
        <v>56</v>
      </c>
      <c r="H59" s="1"/>
      <c r="I59" s="75">
        <f t="shared" ref="I59:M59" si="22">+I33</f>
        <v>32441.620599902566</v>
      </c>
      <c r="J59" s="75">
        <f t="shared" si="22"/>
        <v>36343.155988876897</v>
      </c>
      <c r="K59" s="75">
        <f t="shared" si="22"/>
        <v>50346.891078691551</v>
      </c>
      <c r="L59" s="75">
        <f t="shared" si="22"/>
        <v>55844.07211174519</v>
      </c>
      <c r="M59" s="75">
        <f t="shared" si="22"/>
        <v>59717.123316062178</v>
      </c>
      <c r="N59" s="1"/>
      <c r="O59" s="1"/>
      <c r="P59" s="1"/>
      <c r="Q59" s="1"/>
      <c r="R59" s="1"/>
      <c r="S59" s="1"/>
      <c r="T59" s="1"/>
      <c r="U59" s="1"/>
      <c r="V59" s="1"/>
      <c r="W59" s="1"/>
      <c r="X59" s="1"/>
      <c r="Y59" s="1"/>
      <c r="Z59" s="1"/>
    </row>
    <row r="60" spans="1:26" ht="15.75" customHeight="1">
      <c r="A60" s="1"/>
      <c r="B60" s="1"/>
      <c r="C60" s="1"/>
      <c r="D60" s="1"/>
      <c r="E60" s="1"/>
      <c r="F60" s="1"/>
      <c r="G60" s="1"/>
      <c r="H60" s="18">
        <f>+$E$41</f>
        <v>22.548874952648156</v>
      </c>
      <c r="I60" s="70">
        <v>42.077328923349633</v>
      </c>
      <c r="J60" s="71">
        <v>47.137686107492733</v>
      </c>
      <c r="K60" s="71">
        <v>65.300766639029248</v>
      </c>
      <c r="L60" s="71">
        <v>72.430703128074171</v>
      </c>
      <c r="M60" s="71">
        <v>77.454115844438618</v>
      </c>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t="s">
        <v>56</v>
      </c>
      <c r="H62" s="1"/>
      <c r="I62" s="75">
        <f t="shared" ref="I62:M62" si="23">+I34</f>
        <v>24406.378395955911</v>
      </c>
      <c r="J62" s="75">
        <f t="shared" si="23"/>
        <v>34056.02793470183</v>
      </c>
      <c r="K62" s="75">
        <f t="shared" si="23"/>
        <v>36334.751677285924</v>
      </c>
      <c r="L62" s="75">
        <f t="shared" si="23"/>
        <v>38640.996857268765</v>
      </c>
      <c r="M62" s="75">
        <f t="shared" si="23"/>
        <v>46179.666095442437</v>
      </c>
      <c r="N62" s="1"/>
      <c r="O62" s="1"/>
      <c r="P62" s="1"/>
      <c r="Q62" s="1"/>
      <c r="R62" s="1"/>
      <c r="S62" s="1"/>
      <c r="T62" s="1"/>
      <c r="U62" s="1"/>
      <c r="V62" s="1"/>
      <c r="W62" s="1"/>
      <c r="X62" s="1"/>
      <c r="Y62" s="1"/>
      <c r="Z62" s="1"/>
    </row>
    <row r="63" spans="1:26" ht="15.75" customHeight="1">
      <c r="A63" s="1"/>
      <c r="B63" s="1"/>
      <c r="C63" s="1"/>
      <c r="D63" s="1"/>
      <c r="E63" s="1"/>
      <c r="F63" s="1"/>
      <c r="G63" s="1"/>
      <c r="H63" s="18">
        <f>+$E$41</f>
        <v>22.548874952648156</v>
      </c>
      <c r="I63" s="70">
        <v>31.655484300850727</v>
      </c>
      <c r="J63" s="71">
        <v>44.171242457460217</v>
      </c>
      <c r="K63" s="71">
        <v>47.126785573652299</v>
      </c>
      <c r="L63" s="71">
        <v>50.118024458195542</v>
      </c>
      <c r="M63" s="71">
        <v>59.89580557126127</v>
      </c>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t="s">
        <v>56</v>
      </c>
      <c r="H65" s="1"/>
      <c r="I65" s="75">
        <f t="shared" ref="I65:M65" si="24">+I35</f>
        <v>29457.429933958352</v>
      </c>
      <c r="J65" s="75">
        <f t="shared" si="24"/>
        <v>33847.963056727996</v>
      </c>
      <c r="K65" s="75">
        <f t="shared" si="24"/>
        <v>37088.89980287847</v>
      </c>
      <c r="L65" s="75">
        <f t="shared" si="24"/>
        <v>39796.8205145635</v>
      </c>
      <c r="M65" s="75">
        <f t="shared" si="24"/>
        <v>45152.397507544047</v>
      </c>
      <c r="N65" s="1"/>
      <c r="O65" s="1"/>
      <c r="P65" s="1"/>
      <c r="Q65" s="1"/>
      <c r="R65" s="1"/>
      <c r="S65" s="1"/>
      <c r="T65" s="1"/>
      <c r="U65" s="1"/>
      <c r="V65" s="1"/>
      <c r="W65" s="1"/>
      <c r="X65" s="1"/>
      <c r="Y65" s="1"/>
      <c r="Z65" s="1"/>
    </row>
    <row r="66" spans="1:26" ht="15.75" customHeight="1">
      <c r="A66" s="1"/>
      <c r="B66" s="1"/>
      <c r="C66" s="1"/>
      <c r="D66" s="1"/>
      <c r="E66" s="1"/>
      <c r="F66" s="1"/>
      <c r="G66" s="1"/>
      <c r="H66" s="18">
        <f>+$E$41</f>
        <v>22.548874952648156</v>
      </c>
      <c r="I66" s="70">
        <v>38.206783312527044</v>
      </c>
      <c r="J66" s="71">
        <v>43.901378802500645</v>
      </c>
      <c r="K66" s="71">
        <v>48.104928408402685</v>
      </c>
      <c r="L66" s="71">
        <v>51.617147230302855</v>
      </c>
      <c r="M66" s="71">
        <v>58.563420891756223</v>
      </c>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t="s">
        <v>48</v>
      </c>
      <c r="H68" s="1"/>
      <c r="I68" s="75" t="e">
        <f t="shared" ref="I68:M68" si="25">+I37</f>
        <v>#REF!</v>
      </c>
      <c r="J68" s="75" t="e">
        <f t="shared" si="25"/>
        <v>#REF!</v>
      </c>
      <c r="K68" s="75" t="e">
        <f t="shared" si="25"/>
        <v>#REF!</v>
      </c>
      <c r="L68" s="75" t="e">
        <f t="shared" si="25"/>
        <v>#REF!</v>
      </c>
      <c r="M68" s="75" t="e">
        <f t="shared" si="25"/>
        <v>#REF!</v>
      </c>
      <c r="N68" s="1"/>
      <c r="O68" s="1"/>
      <c r="P68" s="1"/>
      <c r="Q68" s="1"/>
      <c r="R68" s="1"/>
      <c r="S68" s="1"/>
      <c r="T68" s="1"/>
      <c r="U68" s="1"/>
      <c r="V68" s="1"/>
      <c r="W68" s="1"/>
      <c r="X68" s="1"/>
      <c r="Y68" s="1"/>
      <c r="Z68" s="1"/>
    </row>
    <row r="69" spans="1:26" ht="15.75" customHeight="1">
      <c r="A69" s="1"/>
      <c r="B69" s="1"/>
      <c r="C69" s="1"/>
      <c r="D69" s="1"/>
      <c r="E69" s="1"/>
      <c r="F69" s="1"/>
      <c r="G69" s="1"/>
      <c r="H69" s="18">
        <f>+$E$41</f>
        <v>22.548874952648156</v>
      </c>
      <c r="I69" s="70"/>
      <c r="J69" s="71" t="e">
        <v>#REF!</v>
      </c>
      <c r="K69" s="71" t="e">
        <v>#REF!</v>
      </c>
      <c r="L69" s="71" t="e">
        <v>#REF!</v>
      </c>
      <c r="M69" s="71" t="e">
        <v>#REF!</v>
      </c>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t="s">
        <v>48</v>
      </c>
      <c r="H71" s="1"/>
      <c r="I71" s="17" t="e">
        <f t="shared" ref="I71:M71" si="26">+I38</f>
        <v>#REF!</v>
      </c>
      <c r="J71" s="17" t="e">
        <f t="shared" si="26"/>
        <v>#REF!</v>
      </c>
      <c r="K71" s="17" t="e">
        <f t="shared" si="26"/>
        <v>#REF!</v>
      </c>
      <c r="L71" s="17" t="e">
        <f t="shared" si="26"/>
        <v>#REF!</v>
      </c>
      <c r="M71" s="17" t="e">
        <f t="shared" si="26"/>
        <v>#REF!</v>
      </c>
      <c r="N71" s="1"/>
      <c r="O71" s="1"/>
      <c r="P71" s="1"/>
      <c r="Q71" s="1"/>
      <c r="R71" s="1"/>
      <c r="S71" s="1"/>
      <c r="T71" s="1"/>
      <c r="U71" s="1"/>
      <c r="V71" s="1"/>
      <c r="W71" s="1"/>
      <c r="X71" s="1"/>
      <c r="Y71" s="1"/>
      <c r="Z71" s="1"/>
    </row>
    <row r="72" spans="1:26" ht="15.75" customHeight="1">
      <c r="A72" s="1"/>
      <c r="B72" s="1"/>
      <c r="C72" s="1"/>
      <c r="D72" s="1"/>
      <c r="E72" s="1"/>
      <c r="F72" s="1"/>
      <c r="G72" s="1"/>
      <c r="H72" s="18">
        <f>+$E$41</f>
        <v>22.548874952648156</v>
      </c>
      <c r="I72" s="70"/>
      <c r="J72" s="71" t="e">
        <v>#REF!</v>
      </c>
      <c r="K72" s="71" t="e">
        <v>#REF!</v>
      </c>
      <c r="L72" s="71" t="e">
        <v>#REF!</v>
      </c>
      <c r="M72" s="71" t="e">
        <v>#REF!</v>
      </c>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C5:H5"/>
    <mergeCell ref="I5:M5"/>
    <mergeCell ref="H25:M25"/>
  </mergeCells>
  <pageMargins left="0.7" right="0.7" top="0.75" bottom="0.75" header="0" footer="0"/>
  <pageSetup scale="44"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defaultColWidth="14.42578125" defaultRowHeight="15" customHeight="1" outlineLevelRow="1" outlineLevelCol="1"/>
  <cols>
    <col min="1" max="1" width="1.7109375" customWidth="1"/>
    <col min="2" max="2" width="40.7109375" customWidth="1"/>
    <col min="3" max="3" width="10.140625" customWidth="1" outlineLevel="1"/>
    <col min="4" max="4" width="14" customWidth="1" outlineLevel="1"/>
    <col min="5" max="6" width="15.7109375" customWidth="1"/>
    <col min="7" max="9" width="14.5703125" customWidth="1"/>
    <col min="10" max="20" width="12.7109375" customWidth="1"/>
    <col min="21" max="26" width="9.140625"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1"/>
      <c r="B2" s="2" t="s">
        <v>0</v>
      </c>
      <c r="C2" s="3"/>
      <c r="D2" s="3"/>
      <c r="E2" s="1"/>
      <c r="F2" s="1"/>
      <c r="G2" s="1"/>
      <c r="H2" s="1"/>
      <c r="I2" s="1"/>
      <c r="J2" s="1"/>
      <c r="K2" s="1"/>
      <c r="L2" s="1"/>
      <c r="M2" s="1"/>
      <c r="N2" s="1"/>
      <c r="O2" s="1"/>
      <c r="P2" s="1"/>
      <c r="Q2" s="1"/>
      <c r="R2" s="1"/>
      <c r="S2" s="1"/>
      <c r="T2" s="1"/>
      <c r="U2" s="1"/>
      <c r="V2" s="1"/>
      <c r="W2" s="1"/>
      <c r="X2" s="1"/>
      <c r="Y2" s="1"/>
      <c r="Z2" s="1"/>
    </row>
    <row r="3" spans="1:26" ht="15.75" customHeight="1">
      <c r="A3" s="1"/>
      <c r="B3" s="1" t="str">
        <f>+'ATVI-DCF'!$B$3</f>
        <v>($ in Millions Except Per Share and Per Unit Data)</v>
      </c>
      <c r="C3" s="1"/>
      <c r="D3" s="3"/>
      <c r="E3" s="1"/>
      <c r="F3" s="1"/>
      <c r="G3" s="1"/>
      <c r="H3" s="1"/>
      <c r="I3" s="1"/>
      <c r="J3" s="1"/>
      <c r="K3" s="1"/>
      <c r="L3" s="1"/>
      <c r="M3" s="1"/>
      <c r="N3" s="1"/>
      <c r="O3" s="1"/>
      <c r="P3" s="1"/>
      <c r="Q3" s="1"/>
      <c r="R3" s="1"/>
      <c r="S3" s="1"/>
      <c r="T3" s="1"/>
      <c r="U3" s="1"/>
      <c r="V3" s="1"/>
      <c r="W3" s="1"/>
      <c r="X3" s="1"/>
      <c r="Y3" s="1"/>
      <c r="Z3" s="1"/>
    </row>
    <row r="4" spans="1:26" ht="15.75" customHeight="1">
      <c r="A4" s="1"/>
      <c r="B4" s="1"/>
      <c r="C4" s="1"/>
      <c r="D4" s="3"/>
      <c r="E4" s="1"/>
      <c r="F4" s="1"/>
      <c r="G4" s="1"/>
      <c r="H4" s="1"/>
      <c r="I4" s="1"/>
      <c r="J4" s="1"/>
      <c r="K4" s="1"/>
      <c r="L4" s="1"/>
      <c r="M4" s="1"/>
      <c r="N4" s="1"/>
      <c r="O4" s="1"/>
      <c r="P4" s="1"/>
      <c r="Q4" s="1"/>
      <c r="R4" s="1"/>
      <c r="S4" s="1"/>
      <c r="T4" s="1"/>
      <c r="U4" s="1"/>
      <c r="V4" s="1"/>
      <c r="W4" s="1"/>
      <c r="X4" s="1"/>
      <c r="Y4" s="1"/>
      <c r="Z4" s="1"/>
    </row>
    <row r="5" spans="1:26" ht="15.75" hidden="1" customHeight="1" outlineLevel="1">
      <c r="A5" s="1"/>
      <c r="B5" s="4">
        <f>Inputs!$F$13</f>
        <v>2</v>
      </c>
      <c r="C5" s="5"/>
      <c r="D5" s="4">
        <f>Inputs!$F$14</f>
        <v>34</v>
      </c>
      <c r="E5" s="4">
        <f>Inputs!$F$15</f>
        <v>59</v>
      </c>
      <c r="F5" s="4">
        <f>Inputs!$F$16</f>
        <v>60</v>
      </c>
      <c r="G5" s="4">
        <f>Inputs!$F$17</f>
        <v>6</v>
      </c>
      <c r="H5" s="4">
        <f>Inputs!$F$18</f>
        <v>71</v>
      </c>
      <c r="I5" s="4">
        <f>Inputs!$F$19</f>
        <v>75</v>
      </c>
      <c r="J5" s="4">
        <f>Inputs!$F$20</f>
        <v>12</v>
      </c>
      <c r="K5" s="4">
        <f>Inputs!$F$21</f>
        <v>72</v>
      </c>
      <c r="L5" s="4">
        <f>Inputs!$F$22</f>
        <v>76</v>
      </c>
      <c r="M5" s="4">
        <f>Inputs!$F$23</f>
        <v>7</v>
      </c>
      <c r="N5" s="4">
        <f>Inputs!$F$24</f>
        <v>73</v>
      </c>
      <c r="O5" s="4">
        <f>Inputs!$F$25</f>
        <v>77</v>
      </c>
      <c r="P5" s="1"/>
      <c r="Q5" s="1"/>
      <c r="R5" s="1"/>
      <c r="S5" s="1"/>
      <c r="T5" s="1"/>
      <c r="U5" s="1"/>
      <c r="V5" s="1"/>
      <c r="W5" s="1"/>
      <c r="X5" s="1"/>
      <c r="Y5" s="1"/>
      <c r="Z5" s="1"/>
    </row>
    <row r="6" spans="1:26" ht="15.75" customHeight="1" collapsed="1">
      <c r="A6" s="1"/>
      <c r="B6" s="6" t="s">
        <v>1</v>
      </c>
      <c r="C6" s="7"/>
      <c r="D6" s="7"/>
      <c r="E6" s="362" t="s">
        <v>2</v>
      </c>
      <c r="F6" s="364"/>
      <c r="G6" s="8"/>
      <c r="H6" s="8"/>
      <c r="I6" s="8"/>
      <c r="J6" s="8"/>
      <c r="K6" s="8"/>
      <c r="L6" s="8"/>
      <c r="M6" s="8"/>
      <c r="N6" s="8"/>
      <c r="O6" s="8"/>
      <c r="P6" s="9" t="s">
        <v>3</v>
      </c>
      <c r="Q6" s="9" t="s">
        <v>3</v>
      </c>
      <c r="R6" s="10"/>
      <c r="S6" s="11"/>
      <c r="T6" s="11"/>
      <c r="U6" s="1"/>
      <c r="V6" s="1"/>
      <c r="W6" s="1"/>
      <c r="X6" s="1"/>
      <c r="Y6" s="1"/>
      <c r="Z6" s="1"/>
    </row>
    <row r="7" spans="1:26" ht="15.75" customHeight="1">
      <c r="A7" s="1"/>
      <c r="B7" s="8"/>
      <c r="C7" s="8"/>
      <c r="D7" s="9" t="s">
        <v>5</v>
      </c>
      <c r="E7" s="9" t="s">
        <v>7</v>
      </c>
      <c r="F7" s="9" t="s">
        <v>8</v>
      </c>
      <c r="G7" s="362" t="s">
        <v>9</v>
      </c>
      <c r="H7" s="363"/>
      <c r="I7" s="364"/>
      <c r="J7" s="362" t="s">
        <v>10</v>
      </c>
      <c r="K7" s="363"/>
      <c r="L7" s="364"/>
      <c r="M7" s="362" t="s">
        <v>11</v>
      </c>
      <c r="N7" s="363"/>
      <c r="O7" s="364"/>
      <c r="P7" s="9" t="s">
        <v>9</v>
      </c>
      <c r="Q7" s="9" t="s">
        <v>10</v>
      </c>
      <c r="R7" s="362" t="s">
        <v>12</v>
      </c>
      <c r="S7" s="363"/>
      <c r="T7" s="364"/>
      <c r="U7" s="1"/>
      <c r="V7" s="1"/>
      <c r="W7" s="1"/>
      <c r="X7" s="1"/>
      <c r="Y7" s="1"/>
      <c r="Z7" s="1"/>
    </row>
    <row r="8" spans="1:26" ht="15.75" customHeight="1">
      <c r="A8" s="1"/>
      <c r="B8" s="13" t="s">
        <v>13</v>
      </c>
      <c r="C8" s="13" t="s">
        <v>16</v>
      </c>
      <c r="D8" s="14" t="s">
        <v>17</v>
      </c>
      <c r="E8" s="14" t="s">
        <v>19</v>
      </c>
      <c r="F8" s="14" t="s">
        <v>19</v>
      </c>
      <c r="G8" s="15" t="str">
        <f>LTM</f>
        <v>LTM</v>
      </c>
      <c r="H8" s="16">
        <f>Forward_Year_1</f>
        <v>44196</v>
      </c>
      <c r="I8" s="16">
        <f>Forward_Year_2</f>
        <v>44561</v>
      </c>
      <c r="J8" s="15" t="str">
        <f>LTM</f>
        <v>LTM</v>
      </c>
      <c r="K8" s="16">
        <f>Forward_Year_1</f>
        <v>44196</v>
      </c>
      <c r="L8" s="16">
        <f>Forward_Year_2</f>
        <v>44561</v>
      </c>
      <c r="M8" s="15" t="str">
        <f>LTM</f>
        <v>LTM</v>
      </c>
      <c r="N8" s="16">
        <f>Forward_Year_1</f>
        <v>44196</v>
      </c>
      <c r="O8" s="16">
        <f>Forward_Year_2</f>
        <v>44561</v>
      </c>
      <c r="P8" s="14" t="s">
        <v>28</v>
      </c>
      <c r="Q8" s="14" t="s">
        <v>28</v>
      </c>
      <c r="R8" s="15" t="str">
        <f>LTM</f>
        <v>LTM</v>
      </c>
      <c r="S8" s="16">
        <f>Forward_Year_1</f>
        <v>44196</v>
      </c>
      <c r="T8" s="16">
        <f>Forward_Year_2</f>
        <v>44561</v>
      </c>
      <c r="U8" s="1"/>
      <c r="V8" s="1"/>
      <c r="W8" s="1"/>
      <c r="X8" s="1"/>
      <c r="Y8" s="1"/>
      <c r="Z8" s="1"/>
    </row>
    <row r="9" spans="1:26" ht="15.75" customHeight="1">
      <c r="A9" s="1"/>
      <c r="B9" s="1" t="str">
        <f>HLOOKUP($C9,Comps_Range,'Public Comps'!B$5,FALSE)</f>
        <v>Ubisoft</v>
      </c>
      <c r="C9" s="1" t="s">
        <v>30</v>
      </c>
      <c r="D9" s="18">
        <f>HLOOKUP($C9,Comps_Range,'Public Comps'!D$5,FALSE)</f>
        <v>81.31</v>
      </c>
      <c r="E9" s="17">
        <f>HLOOKUP($C9,Comps_Range,'Public Comps'!E$5,FALSE)</f>
        <v>9638.16</v>
      </c>
      <c r="F9" s="17">
        <f>HLOOKUP($C9,Comps_Range,'Public Comps'!F$5,FALSE)</f>
        <v>10077.714900000001</v>
      </c>
      <c r="G9" s="17">
        <f>HLOOKUP($C9,Comps_Range,'Public Comps'!G$5,FALSE)</f>
        <v>1935.8400000000001</v>
      </c>
      <c r="H9" s="17">
        <f>HLOOKUP($C9,Comps_Range,'Public Comps'!H$5,FALSE)</f>
        <v>1590.3100000000002</v>
      </c>
      <c r="I9" s="17">
        <f>HLOOKUP($C9,Comps_Range,'Public Comps'!I$5,FALSE)</f>
        <v>2781.6800000000003</v>
      </c>
      <c r="J9" s="17">
        <f>HLOOKUP($C9,Comps_Range,'Public Comps'!J$5,FALSE)</f>
        <v>773.35500000000002</v>
      </c>
      <c r="K9" s="17">
        <f>HLOOKUP($C9,Comps_Range,'Public Comps'!K$5,FALSE)</f>
        <v>733.52640000000008</v>
      </c>
      <c r="L9" s="17">
        <f>HLOOKUP($C9,Comps_Range,'Public Comps'!L$5,FALSE)</f>
        <v>1388.66</v>
      </c>
      <c r="M9" s="17">
        <f>HLOOKUP($C9,Comps_Range,'Public Comps'!M$5,FALSE)</f>
        <v>-43.381999999999998</v>
      </c>
      <c r="N9" s="17">
        <f>HLOOKUP($C9,Comps_Range,'Public Comps'!N$5,FALSE)</f>
        <v>29.1248</v>
      </c>
      <c r="O9" s="17">
        <f>HLOOKUP($C9,Comps_Range,'Public Comps'!O$5,FALSE)</f>
        <v>463.05380000000002</v>
      </c>
      <c r="P9" s="20">
        <f t="shared" ref="P9:P18" si="0">IFERROR(+I9/H9-1,"N/A")</f>
        <v>0.74914324880054828</v>
      </c>
      <c r="Q9" s="20">
        <f t="shared" ref="Q9:Q18" si="1">IFERROR(+L9/K9-1,"N/A")</f>
        <v>0.89312886352829279</v>
      </c>
      <c r="R9" s="20">
        <f t="shared" ref="R9:T9" si="2">IFERROR(+J9/G9,"N/A")</f>
        <v>0.3994932432432432</v>
      </c>
      <c r="S9" s="20">
        <f t="shared" si="2"/>
        <v>0.46124742974640165</v>
      </c>
      <c r="T9" s="20">
        <f t="shared" si="2"/>
        <v>0.49921630094043884</v>
      </c>
      <c r="U9" s="1"/>
      <c r="V9" s="1"/>
      <c r="W9" s="1"/>
      <c r="X9" s="1"/>
      <c r="Y9" s="1"/>
      <c r="Z9" s="1"/>
    </row>
    <row r="10" spans="1:26" ht="15.75" customHeight="1">
      <c r="A10" s="1"/>
      <c r="B10" s="1" t="str">
        <f>HLOOKUP($C10,Comps_Range,'Public Comps'!B$5,FALSE)</f>
        <v>Electronic Arts</v>
      </c>
      <c r="C10" s="1" t="s">
        <v>31</v>
      </c>
      <c r="D10" s="21">
        <f>HLOOKUP($C10,Comps_Range,'Public Comps'!D$5,FALSE)</f>
        <v>109.65</v>
      </c>
      <c r="E10" s="23">
        <f>HLOOKUP($C10,Comps_Range,'Public Comps'!E$5,FALSE)</f>
        <v>31762.315500000004</v>
      </c>
      <c r="F10" s="23">
        <f>HLOOKUP($C10,Comps_Range,'Public Comps'!F$5,FALSE)</f>
        <v>26397.115500000004</v>
      </c>
      <c r="G10" s="23">
        <f>HLOOKUP($C10,Comps_Range,'Public Comps'!G$5,FALSE)</f>
        <v>4950</v>
      </c>
      <c r="H10" s="23">
        <f>HLOOKUP($C10,Comps_Range,'Public Comps'!H$5,FALSE)</f>
        <v>5188</v>
      </c>
      <c r="I10" s="23">
        <f>HLOOKUP($C10,Comps_Range,'Public Comps'!I$5,FALSE)</f>
        <v>5376</v>
      </c>
      <c r="J10" s="23">
        <f>HLOOKUP($C10,Comps_Range,'Public Comps'!J$5,FALSE)</f>
        <v>1989</v>
      </c>
      <c r="K10" s="23">
        <f>HLOOKUP($C10,Comps_Range,'Public Comps'!K$5,FALSE)</f>
        <v>1781</v>
      </c>
      <c r="L10" s="23">
        <f>HLOOKUP($C10,Comps_Range,'Public Comps'!L$5,FALSE)</f>
        <v>1839</v>
      </c>
      <c r="M10" s="23">
        <f>HLOOKUP($C10,Comps_Range,'Public Comps'!M$5,FALSE)</f>
        <v>1019</v>
      </c>
      <c r="N10" s="23">
        <f>HLOOKUP($C10,Comps_Range,'Public Comps'!N$5,FALSE)</f>
        <v>1381.9939999999999</v>
      </c>
      <c r="O10" s="23">
        <f>HLOOKUP($C10,Comps_Range,'Public Comps'!O$5,FALSE)</f>
        <v>1445.91</v>
      </c>
      <c r="P10" s="20">
        <f t="shared" si="0"/>
        <v>3.6237471087124051E-2</v>
      </c>
      <c r="Q10" s="20">
        <f t="shared" si="1"/>
        <v>3.2565974171813616E-2</v>
      </c>
      <c r="R10" s="20">
        <f t="shared" ref="R10:T10" si="3">IFERROR(+J10/G10,"N/A")</f>
        <v>0.4018181818181818</v>
      </c>
      <c r="S10" s="20">
        <f t="shared" si="3"/>
        <v>0.34329221279876637</v>
      </c>
      <c r="T10" s="20">
        <f t="shared" si="3"/>
        <v>0.34207589285714285</v>
      </c>
      <c r="U10" s="1"/>
      <c r="V10" s="1"/>
      <c r="W10" s="1"/>
      <c r="X10" s="1"/>
      <c r="Y10" s="1"/>
      <c r="Z10" s="1"/>
    </row>
    <row r="11" spans="1:26" ht="15.75" customHeight="1">
      <c r="A11" s="1"/>
      <c r="B11" s="1" t="str">
        <f>HLOOKUP($C11,Comps_Range,'Public Comps'!B$5,FALSE)</f>
        <v>Take Two Initiative</v>
      </c>
      <c r="C11" s="1" t="s">
        <v>32</v>
      </c>
      <c r="D11" s="21">
        <f>HLOOKUP($C11,Comps_Range,'Public Comps'!D$5,FALSE)</f>
        <v>110.72</v>
      </c>
      <c r="E11" s="23">
        <f>HLOOKUP($C11,Comps_Range,'Public Comps'!E$5,FALSE)</f>
        <v>12557.8624</v>
      </c>
      <c r="F11" s="23">
        <f>HLOOKUP($C11,Comps_Range,'Public Comps'!F$5,FALSE)</f>
        <v>10573.662399999999</v>
      </c>
      <c r="G11" s="23">
        <f>HLOOKUP($C11,Comps_Range,'Public Comps'!G$5,FALSE)</f>
        <v>2867.4</v>
      </c>
      <c r="H11" s="23">
        <f>HLOOKUP($C11,Comps_Range,'Public Comps'!H$5,FALSE)</f>
        <v>2838</v>
      </c>
      <c r="I11" s="23">
        <f>HLOOKUP($C11,Comps_Range,'Public Comps'!I$5,FALSE)</f>
        <v>2689</v>
      </c>
      <c r="J11" s="23">
        <f>HLOOKUP($C11,Comps_Range,'Public Comps'!J$5,FALSE)</f>
        <v>588.29999999999995</v>
      </c>
      <c r="K11" s="23">
        <f>HLOOKUP($C11,Comps_Range,'Public Comps'!K$5,FALSE)</f>
        <v>663.41</v>
      </c>
      <c r="L11" s="23">
        <f>HLOOKUP($C11,Comps_Range,'Public Comps'!L$5,FALSE)</f>
        <v>667.67</v>
      </c>
      <c r="M11" s="23">
        <f>HLOOKUP($C11,Comps_Range,'Public Comps'!M$5,FALSE)</f>
        <v>334</v>
      </c>
      <c r="N11" s="23">
        <f>HLOOKUP($C11,Comps_Range,'Public Comps'!N$5,FALSE)</f>
        <v>542.33000000000004</v>
      </c>
      <c r="O11" s="23">
        <f>HLOOKUP($C11,Comps_Range,'Public Comps'!O$5,FALSE)</f>
        <v>515.83000000000004</v>
      </c>
      <c r="P11" s="20">
        <f t="shared" si="0"/>
        <v>-5.2501761804087388E-2</v>
      </c>
      <c r="Q11" s="20">
        <f t="shared" si="1"/>
        <v>6.4213683845586456E-3</v>
      </c>
      <c r="R11" s="20">
        <f t="shared" ref="R11:T11" si="4">IFERROR(+J11/G11,"N/A")</f>
        <v>0.2051684452814396</v>
      </c>
      <c r="S11" s="20">
        <f t="shared" si="4"/>
        <v>0.23375968992248061</v>
      </c>
      <c r="T11" s="20">
        <f t="shared" si="4"/>
        <v>0.24829676459650427</v>
      </c>
      <c r="U11" s="1"/>
      <c r="V11" s="1"/>
      <c r="W11" s="1"/>
      <c r="X11" s="1"/>
      <c r="Y11" s="1"/>
      <c r="Z11" s="1"/>
    </row>
    <row r="12" spans="1:26" ht="15.75" customHeight="1">
      <c r="A12" s="1"/>
      <c r="B12" s="1" t="str">
        <f>HLOOKUP($C12,Comps_Range,'Public Comps'!B$5,FALSE)</f>
        <v>Netmarble Games (BILL KRW)</v>
      </c>
      <c r="C12" s="1">
        <v>251270</v>
      </c>
      <c r="D12" s="21">
        <f>HLOOKUP($C12,Comps_Range,'Public Comps'!D$5,FALSE)</f>
        <v>94100</v>
      </c>
      <c r="E12" s="23">
        <f>HLOOKUP($C12,Comps_Range,'Public Comps'!E$5,FALSE)</f>
        <v>8051.68</v>
      </c>
      <c r="F12" s="23">
        <f>HLOOKUP($C12,Comps_Range,'Public Comps'!F$5,FALSE)</f>
        <v>6265</v>
      </c>
      <c r="G12" s="23">
        <f>HLOOKUP($C12,Comps_Range,'Public Comps'!G$5,FALSE)</f>
        <v>2215</v>
      </c>
      <c r="H12" s="23">
        <f>HLOOKUP($C12,Comps_Range,'Public Comps'!H$5,FALSE)</f>
        <v>2520</v>
      </c>
      <c r="I12" s="23">
        <f>HLOOKUP($C12,Comps_Range,'Public Comps'!I$5,FALSE)</f>
        <v>2670</v>
      </c>
      <c r="J12" s="23">
        <f>HLOOKUP($C12,Comps_Range,'Public Comps'!J$5,FALSE)</f>
        <v>324.57499999999999</v>
      </c>
      <c r="K12" s="23">
        <f>HLOOKUP($C12,Comps_Range,'Public Comps'!K$5,FALSE)</f>
        <v>431.63</v>
      </c>
      <c r="L12" s="23">
        <f>HLOOKUP($C12,Comps_Range,'Public Comps'!L$5,FALSE)</f>
        <v>477.13</v>
      </c>
      <c r="M12" s="23">
        <f>HLOOKUP($C12,Comps_Range,'Public Comps'!M$5,FALSE)</f>
        <v>202.65</v>
      </c>
      <c r="N12" s="23">
        <f>HLOOKUP($C12,Comps_Range,'Public Comps'!N$5,FALSE)</f>
        <v>274.61599999999999</v>
      </c>
      <c r="O12" s="23">
        <f>HLOOKUP($C12,Comps_Range,'Public Comps'!O$5,FALSE)</f>
        <v>306.47199999999998</v>
      </c>
      <c r="P12" s="20">
        <f t="shared" si="0"/>
        <v>5.9523809523809534E-2</v>
      </c>
      <c r="Q12" s="20">
        <f t="shared" si="1"/>
        <v>0.10541435952088585</v>
      </c>
      <c r="R12" s="20">
        <f t="shared" ref="R12:T12" si="5">IFERROR(+J12/G12,"N/A")</f>
        <v>0.14653498871331827</v>
      </c>
      <c r="S12" s="20">
        <f t="shared" si="5"/>
        <v>0.17128174603174603</v>
      </c>
      <c r="T12" s="20">
        <f t="shared" si="5"/>
        <v>0.17870037453183521</v>
      </c>
      <c r="U12" s="1"/>
      <c r="V12" s="1"/>
      <c r="W12" s="1"/>
      <c r="X12" s="1"/>
      <c r="Y12" s="1"/>
      <c r="Z12" s="1"/>
    </row>
    <row r="13" spans="1:26" ht="15.75" customHeight="1">
      <c r="A13" s="1"/>
      <c r="B13" s="1" t="str">
        <f>HLOOKUP($C13,Comps_Range,'Public Comps'!B$5,FALSE)</f>
        <v>Square Enix Co. (MILL JPY)</v>
      </c>
      <c r="C13" s="1">
        <v>9684</v>
      </c>
      <c r="D13" s="21">
        <f>HLOOKUP($C13,Comps_Range,'Public Comps'!D$5,FALSE)</f>
        <v>5200</v>
      </c>
      <c r="E13" s="23">
        <f>HLOOKUP($C13,Comps_Range,'Public Comps'!E$5,FALSE)</f>
        <v>620297.6</v>
      </c>
      <c r="F13" s="23">
        <f>HLOOKUP($C13,Comps_Range,'Public Comps'!F$5,FALSE)</f>
        <v>619307.1</v>
      </c>
      <c r="G13" s="23">
        <f>HLOOKUP($C13,Comps_Range,'Public Comps'!G$5,FALSE)</f>
        <v>281693</v>
      </c>
      <c r="H13" s="23">
        <f>HLOOKUP($C13,Comps_Range,'Public Comps'!H$5,FALSE)</f>
        <v>284231.17</v>
      </c>
      <c r="I13" s="23">
        <f>HLOOKUP($C13,Comps_Range,'Public Comps'!I$5,FALSE)</f>
        <v>331183.07</v>
      </c>
      <c r="J13" s="23">
        <f>HLOOKUP($C13,Comps_Range,'Public Comps'!J$5,FALSE)</f>
        <v>40581</v>
      </c>
      <c r="K13" s="23">
        <f>HLOOKUP($C13,Comps_Range,'Public Comps'!K$5,FALSE)</f>
        <v>44754.75</v>
      </c>
      <c r="L13" s="23">
        <f>HLOOKUP($C13,Comps_Range,'Public Comps'!L$5,FALSE)</f>
        <v>54460.89</v>
      </c>
      <c r="M13" s="23">
        <f>HLOOKUP($C13,Comps_Range,'Public Comps'!M$5,FALSE)</f>
        <v>28738</v>
      </c>
      <c r="N13" s="23">
        <f>HLOOKUP($C13,Comps_Range,'Public Comps'!N$5,FALSE)</f>
        <v>24819.08</v>
      </c>
      <c r="O13" s="23">
        <f>HLOOKUP($C13,Comps_Range,'Public Comps'!O$5,FALSE)</f>
        <v>33394.43</v>
      </c>
      <c r="P13" s="20">
        <f t="shared" si="0"/>
        <v>0.16518913108650257</v>
      </c>
      <c r="Q13" s="20">
        <f t="shared" si="1"/>
        <v>0.21687396309888896</v>
      </c>
      <c r="R13" s="20">
        <f t="shared" ref="R13:T13" si="6">IFERROR(+J13/G13,"N/A")</f>
        <v>0.14406108777995905</v>
      </c>
      <c r="S13" s="20">
        <f t="shared" si="6"/>
        <v>0.15745897960452404</v>
      </c>
      <c r="T13" s="20">
        <f t="shared" si="6"/>
        <v>0.1644434602288094</v>
      </c>
      <c r="U13" s="1"/>
      <c r="V13" s="1"/>
      <c r="W13" s="1"/>
      <c r="X13" s="1"/>
      <c r="Y13" s="1"/>
      <c r="Z13" s="1"/>
    </row>
    <row r="14" spans="1:26" ht="15.75" customHeight="1">
      <c r="A14" s="1"/>
      <c r="B14" s="1" t="str">
        <f>HLOOKUP($C14,Comps_Range,'Public Comps'!B$5,FALSE)</f>
        <v>Nintendo (MILL JPY)</v>
      </c>
      <c r="C14" s="1">
        <v>7974</v>
      </c>
      <c r="D14" s="21">
        <f>HLOOKUP($C14,Comps_Range,'Public Comps'!D$5,FALSE)</f>
        <v>40650</v>
      </c>
      <c r="E14" s="23">
        <f>HLOOKUP($C14,Comps_Range,'Public Comps'!E$5,FALSE)</f>
        <v>4842380.8033500006</v>
      </c>
      <c r="F14" s="23">
        <f>HLOOKUP($C14,Comps_Range,'Public Comps'!F$5,FALSE)</f>
        <v>4833542.8033500006</v>
      </c>
      <c r="G14" s="23">
        <f>HLOOKUP($C14,Comps_Range,'Public Comps'!G$5,FALSE)</f>
        <v>1225933</v>
      </c>
      <c r="H14" s="23">
        <f>HLOOKUP($C14,Comps_Range,'Public Comps'!H$5,FALSE)</f>
        <v>1284000</v>
      </c>
      <c r="I14" s="23">
        <f>HLOOKUP($C14,Comps_Range,'Public Comps'!I$5,FALSE)</f>
        <v>1370000</v>
      </c>
      <c r="J14" s="23">
        <f>HLOOKUP($C14,Comps_Range,'Public Comps'!J$5,FALSE)</f>
        <v>292602</v>
      </c>
      <c r="K14" s="23">
        <f>HLOOKUP($C14,Comps_Range,'Public Comps'!K$5,FALSE)</f>
        <v>325180</v>
      </c>
      <c r="L14" s="23">
        <f>HLOOKUP($C14,Comps_Range,'Public Comps'!L$5,FALSE)</f>
        <v>392070</v>
      </c>
      <c r="M14" s="23">
        <f>HLOOKUP($C14,Comps_Range,'Public Comps'!M$5,FALSE)</f>
        <v>221614</v>
      </c>
      <c r="N14" s="23">
        <f>HLOOKUP($C14,Comps_Range,'Public Comps'!N$5,FALSE)</f>
        <v>228750</v>
      </c>
      <c r="O14" s="23">
        <f>HLOOKUP($C14,Comps_Range,'Public Comps'!O$5,FALSE)</f>
        <v>282520</v>
      </c>
      <c r="P14" s="20">
        <f t="shared" si="0"/>
        <v>6.6978193146417508E-2</v>
      </c>
      <c r="Q14" s="20">
        <f t="shared" si="1"/>
        <v>0.20570145765422221</v>
      </c>
      <c r="R14" s="20">
        <f t="shared" ref="R14:T14" si="7">IFERROR(+J14/G14,"N/A")</f>
        <v>0.2386769913200803</v>
      </c>
      <c r="S14" s="20">
        <f t="shared" si="7"/>
        <v>0.25325545171339564</v>
      </c>
      <c r="T14" s="20">
        <f t="shared" si="7"/>
        <v>0.28618248175182481</v>
      </c>
      <c r="U14" s="1"/>
      <c r="V14" s="1"/>
      <c r="W14" s="1"/>
      <c r="X14" s="1"/>
      <c r="Y14" s="1"/>
      <c r="Z14" s="1"/>
    </row>
    <row r="15" spans="1:26" ht="15.75" customHeight="1">
      <c r="A15" s="1"/>
      <c r="B15" s="1" t="str">
        <f>HLOOKUP($C15,Comps_Range,'Public Comps'!B$5,FALSE)</f>
        <v>CD Projekt (MILL PLN)</v>
      </c>
      <c r="C15" s="1" t="s">
        <v>40</v>
      </c>
      <c r="D15" s="21">
        <f>HLOOKUP($C15,Comps_Range,'Public Comps'!D$5,FALSE)</f>
        <v>310.5</v>
      </c>
      <c r="E15" s="23">
        <f>HLOOKUP($C15,Comps_Range,'Public Comps'!E$5,FALSE)</f>
        <v>29845.260000000002</v>
      </c>
      <c r="F15" s="23">
        <f>HLOOKUP($C15,Comps_Range,'Public Comps'!F$5,FALSE)</f>
        <v>29596.652000000002</v>
      </c>
      <c r="G15" s="23">
        <f>HLOOKUP($C15,Comps_Range,'Public Comps'!G$5,FALSE)</f>
        <v>438.42</v>
      </c>
      <c r="H15" s="23">
        <f>HLOOKUP($C15,Comps_Range,'Public Comps'!H$5,FALSE)</f>
        <v>3123.3339999999998</v>
      </c>
      <c r="I15" s="23">
        <f>HLOOKUP($C15,Comps_Range,'Public Comps'!I$5,FALSE)</f>
        <v>2222.3879999999999</v>
      </c>
      <c r="J15" s="23">
        <f>HLOOKUP($C15,Comps_Range,'Public Comps'!J$5,FALSE)</f>
        <v>140.43</v>
      </c>
      <c r="K15" s="23">
        <f>HLOOKUP($C15,Comps_Range,'Public Comps'!K$5,FALSE)</f>
        <v>2465.8270000000002</v>
      </c>
      <c r="L15" s="23">
        <f>HLOOKUP($C15,Comps_Range,'Public Comps'!L$5,FALSE)</f>
        <v>1609.011</v>
      </c>
      <c r="M15" s="23">
        <f>HLOOKUP($C15,Comps_Range,'Public Comps'!M$5,FALSE)</f>
        <v>107.19</v>
      </c>
      <c r="N15" s="23">
        <f>HLOOKUP($C15,Comps_Range,'Public Comps'!N$5,FALSE)</f>
        <v>1926.0260000000001</v>
      </c>
      <c r="O15" s="23">
        <f>HLOOKUP($C15,Comps_Range,'Public Comps'!O$5,FALSE)</f>
        <v>1382.982</v>
      </c>
      <c r="P15" s="20">
        <f t="shared" si="0"/>
        <v>-0.28845650193030903</v>
      </c>
      <c r="Q15" s="20">
        <f t="shared" si="1"/>
        <v>-0.34747612058753519</v>
      </c>
      <c r="R15" s="20">
        <f t="shared" ref="R15:T15" si="8">IFERROR(+J15/G15,"N/A")</f>
        <v>0.32030929245928563</v>
      </c>
      <c r="S15" s="20">
        <f t="shared" si="8"/>
        <v>0.78948553052603421</v>
      </c>
      <c r="T15" s="20">
        <f t="shared" si="8"/>
        <v>0.72400093952991107</v>
      </c>
      <c r="U15" s="1"/>
      <c r="V15" s="1"/>
      <c r="W15" s="1"/>
      <c r="X15" s="1"/>
      <c r="Y15" s="1"/>
      <c r="Z15" s="1"/>
    </row>
    <row r="16" spans="1:26" ht="15.75" customHeight="1">
      <c r="A16" s="1"/>
      <c r="B16" s="1" t="str">
        <f>HLOOKUP($C16,Comps_Range,'Public Comps'!B$5,FALSE)</f>
        <v>Bandai Namco (BILL JPY)</v>
      </c>
      <c r="C16" s="1" t="s">
        <v>41</v>
      </c>
      <c r="D16" s="21">
        <f>HLOOKUP($C16,Comps_Range,'Public Comps'!D$5,FALSE)</f>
        <v>6023</v>
      </c>
      <c r="E16" s="23">
        <f>HLOOKUP($C16,Comps_Range,'Public Comps'!E$5,FALSE)</f>
        <v>1323132.6400000001</v>
      </c>
      <c r="F16" s="23">
        <f>HLOOKUP($C16,Comps_Range,'Public Comps'!F$5,FALSE)</f>
        <v>1323610.4890000001</v>
      </c>
      <c r="G16" s="23">
        <f>HLOOKUP($C16,Comps_Range,'Public Comps'!G$5,FALSE)</f>
        <v>6035.8</v>
      </c>
      <c r="H16" s="23">
        <f>HLOOKUP($C16,Comps_Range,'Public Comps'!H$5,FALSE)</f>
        <v>747.7</v>
      </c>
      <c r="I16" s="23">
        <f>HLOOKUP($C16,Comps_Range,'Public Comps'!I$5,FALSE)</f>
        <v>794.05</v>
      </c>
      <c r="J16" s="23">
        <f>HLOOKUP($C16,Comps_Range,'Public Comps'!J$5,FALSE)</f>
        <v>895.5</v>
      </c>
      <c r="K16" s="23">
        <f>HLOOKUP($C16,Comps_Range,'Public Comps'!K$5,FALSE)</f>
        <v>115.12</v>
      </c>
      <c r="L16" s="23">
        <f>HLOOKUP($C16,Comps_Range,'Public Comps'!L$5,FALSE)</f>
        <v>125.6</v>
      </c>
      <c r="M16" s="23">
        <f>HLOOKUP($C16,Comps_Range,'Public Comps'!M$5,FALSE)</f>
        <v>514.79999999999995</v>
      </c>
      <c r="N16" s="23">
        <f>HLOOKUP($C16,Comps_Range,'Public Comps'!N$5,FALSE)</f>
        <v>66.64</v>
      </c>
      <c r="O16" s="23">
        <f>HLOOKUP($C16,Comps_Range,'Public Comps'!O$5,FALSE)</f>
        <v>74.599999999999994</v>
      </c>
      <c r="P16" s="20">
        <f t="shared" si="0"/>
        <v>6.1990102982479423E-2</v>
      </c>
      <c r="Q16" s="20">
        <f t="shared" si="1"/>
        <v>9.1035441278665585E-2</v>
      </c>
      <c r="R16" s="20">
        <f t="shared" ref="R16:T16" si="9">IFERROR(+J16/G16,"N/A")</f>
        <v>0.14836475695019716</v>
      </c>
      <c r="S16" s="20">
        <f t="shared" si="9"/>
        <v>0.15396549418215863</v>
      </c>
      <c r="T16" s="20">
        <f t="shared" si="9"/>
        <v>0.15817643725206221</v>
      </c>
      <c r="U16" s="1"/>
      <c r="V16" s="1"/>
      <c r="W16" s="1"/>
      <c r="X16" s="1"/>
      <c r="Y16" s="1"/>
      <c r="Z16" s="1"/>
    </row>
    <row r="17" spans="1:26" ht="15.75" customHeight="1">
      <c r="A17" s="1"/>
      <c r="B17" s="1" t="str">
        <f>HLOOKUP($C17,Comps_Range,'Public Comps'!B$5,FALSE)</f>
        <v>Nexon (BILL JPY)</v>
      </c>
      <c r="C17" s="1" t="s">
        <v>42</v>
      </c>
      <c r="D17" s="21">
        <f>HLOOKUP($C17,Comps_Range,'Public Comps'!D$5,FALSE)</f>
        <v>1630</v>
      </c>
      <c r="E17" s="23">
        <f>HLOOKUP($C17,Comps_Range,'Public Comps'!E$5,FALSE)</f>
        <v>1435312.7999999998</v>
      </c>
      <c r="F17" s="23">
        <f>HLOOKUP($C17,Comps_Range,'Public Comps'!F$5,FALSE)</f>
        <v>1532436.8239999998</v>
      </c>
      <c r="G17" s="23">
        <f>HLOOKUP($C17,Comps_Range,'Public Comps'!G$5,FALSE)</f>
        <v>246.28299999999999</v>
      </c>
      <c r="H17" s="23">
        <f>HLOOKUP($C17,Comps_Range,'Public Comps'!H$5,FALSE)</f>
        <v>262.01</v>
      </c>
      <c r="I17" s="23">
        <f>HLOOKUP($C17,Comps_Range,'Public Comps'!I$5,FALSE)</f>
        <v>282.99</v>
      </c>
      <c r="J17" s="23">
        <f>HLOOKUP($C17,Comps_Range,'Public Comps'!J$5,FALSE)</f>
        <v>27519.350999999999</v>
      </c>
      <c r="K17" s="23">
        <f>HLOOKUP($C17,Comps_Range,'Public Comps'!K$5,FALSE)</f>
        <v>110.86</v>
      </c>
      <c r="L17" s="23">
        <f>HLOOKUP($C17,Comps_Range,'Public Comps'!L$5,FALSE)</f>
        <v>123.7</v>
      </c>
      <c r="M17" s="23">
        <f>HLOOKUP($C17,Comps_Range,'Public Comps'!M$5,FALSE)</f>
        <v>109.03700000000001</v>
      </c>
      <c r="N17" s="23">
        <f>HLOOKUP($C17,Comps_Range,'Public Comps'!N$5,FALSE)</f>
        <v>88</v>
      </c>
      <c r="O17" s="23">
        <f>HLOOKUP($C17,Comps_Range,'Public Comps'!O$5,FALSE)</f>
        <v>94.5</v>
      </c>
      <c r="P17" s="20">
        <f t="shared" si="0"/>
        <v>8.007327964581501E-2</v>
      </c>
      <c r="Q17" s="20">
        <f t="shared" si="1"/>
        <v>0.11582175717120702</v>
      </c>
      <c r="R17" s="20">
        <f t="shared" ref="R17:T17" si="10">IFERROR(+J17/G17,"N/A")</f>
        <v>111.73873551970701</v>
      </c>
      <c r="S17" s="20">
        <f t="shared" si="10"/>
        <v>0.42311362161749555</v>
      </c>
      <c r="T17" s="20">
        <f t="shared" si="10"/>
        <v>0.43711791936110816</v>
      </c>
      <c r="U17" s="1"/>
      <c r="V17" s="1"/>
      <c r="W17" s="1"/>
      <c r="X17" s="1"/>
      <c r="Y17" s="1"/>
      <c r="Z17" s="1"/>
    </row>
    <row r="18" spans="1:26" ht="15.75" customHeight="1">
      <c r="A18" s="1"/>
      <c r="B18" s="1" t="str">
        <f>HLOOKUP($C18,Comps_Range,'Public Comps'!B$5,FALSE)</f>
        <v>NCsoft Corp. (KRW)</v>
      </c>
      <c r="C18" s="1">
        <v>36570</v>
      </c>
      <c r="D18" s="21">
        <f>HLOOKUP($C18,Comps_Range,'Public Comps'!D$5,FALSE)</f>
        <v>648000</v>
      </c>
      <c r="E18" s="23">
        <f>HLOOKUP($C18,Comps_Range,'Public Comps'!E$5,FALSE)</f>
        <v>13355280</v>
      </c>
      <c r="F18" s="23">
        <f>HLOOKUP($C18,Comps_Range,'Public Comps'!F$5,FALSE)</f>
        <v>13136163</v>
      </c>
      <c r="G18" s="23">
        <f>HLOOKUP($C18,Comps_Range,'Public Comps'!G$5,FALSE)</f>
        <v>1567006</v>
      </c>
      <c r="H18" s="23">
        <f>HLOOKUP($C18,Comps_Range,'Public Comps'!H$5,FALSE)</f>
        <v>2490</v>
      </c>
      <c r="I18" s="23">
        <f>HLOOKUP($C18,Comps_Range,'Public Comps'!I$5,FALSE)</f>
        <v>2897</v>
      </c>
      <c r="J18" s="23">
        <f>HLOOKUP($C18,Comps_Range,'Public Comps'!J$5,FALSE)</f>
        <v>494973</v>
      </c>
      <c r="K18" s="23">
        <f>HLOOKUP($C18,Comps_Range,'Public Comps'!K$5,FALSE)</f>
        <v>1045</v>
      </c>
      <c r="L18" s="23">
        <f>HLOOKUP($C18,Comps_Range,'Public Comps'!L$5,FALSE)</f>
        <v>1269</v>
      </c>
      <c r="M18" s="23">
        <f>HLOOKUP($C18,Comps_Range,'Public Comps'!M$5,FALSE)</f>
        <v>372791</v>
      </c>
      <c r="N18" s="23">
        <f>HLOOKUP($C18,Comps_Range,'Public Comps'!N$5,FALSE)</f>
        <v>789</v>
      </c>
      <c r="O18" s="23">
        <f>HLOOKUP($C18,Comps_Range,'Public Comps'!O$5,FALSE)</f>
        <v>972</v>
      </c>
      <c r="P18" s="20">
        <f t="shared" si="0"/>
        <v>0.16345381526104408</v>
      </c>
      <c r="Q18" s="20">
        <f t="shared" si="1"/>
        <v>0.21435406698564585</v>
      </c>
      <c r="R18" s="20">
        <f t="shared" ref="R18:T18" si="11">IFERROR(+J18/G18,"N/A")</f>
        <v>0.31587179627901874</v>
      </c>
      <c r="S18" s="20">
        <f t="shared" si="11"/>
        <v>0.41967871485943775</v>
      </c>
      <c r="T18" s="20">
        <f t="shared" si="11"/>
        <v>0.43803935105281328</v>
      </c>
      <c r="U18" s="1"/>
      <c r="V18" s="1"/>
      <c r="W18" s="1"/>
      <c r="X18" s="1"/>
      <c r="Y18" s="1"/>
      <c r="Z18" s="1"/>
    </row>
    <row r="19" spans="1:26"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29" t="s">
        <v>20</v>
      </c>
      <c r="C20" s="30"/>
      <c r="D20" s="31">
        <f t="shared" ref="D20:T20" si="12">MAX(D9:D18)</f>
        <v>648000</v>
      </c>
      <c r="E20" s="32">
        <f t="shared" si="12"/>
        <v>13355280</v>
      </c>
      <c r="F20" s="32">
        <f t="shared" si="12"/>
        <v>13136163</v>
      </c>
      <c r="G20" s="32">
        <f t="shared" si="12"/>
        <v>1567006</v>
      </c>
      <c r="H20" s="32">
        <f t="shared" si="12"/>
        <v>1284000</v>
      </c>
      <c r="I20" s="32">
        <f t="shared" si="12"/>
        <v>1370000</v>
      </c>
      <c r="J20" s="32">
        <f t="shared" si="12"/>
        <v>494973</v>
      </c>
      <c r="K20" s="32">
        <f t="shared" si="12"/>
        <v>325180</v>
      </c>
      <c r="L20" s="32">
        <f t="shared" si="12"/>
        <v>392070</v>
      </c>
      <c r="M20" s="32">
        <f t="shared" si="12"/>
        <v>372791</v>
      </c>
      <c r="N20" s="32">
        <f t="shared" si="12"/>
        <v>228750</v>
      </c>
      <c r="O20" s="32">
        <f t="shared" si="12"/>
        <v>282520</v>
      </c>
      <c r="P20" s="34">
        <f t="shared" si="12"/>
        <v>0.74914324880054828</v>
      </c>
      <c r="Q20" s="34">
        <f t="shared" si="12"/>
        <v>0.89312886352829279</v>
      </c>
      <c r="R20" s="34">
        <f t="shared" si="12"/>
        <v>111.73873551970701</v>
      </c>
      <c r="S20" s="34">
        <f t="shared" si="12"/>
        <v>0.78948553052603421</v>
      </c>
      <c r="T20" s="35">
        <f t="shared" si="12"/>
        <v>0.72400093952991107</v>
      </c>
      <c r="U20" s="1"/>
      <c r="V20" s="1"/>
      <c r="W20" s="1"/>
      <c r="X20" s="1"/>
      <c r="Y20" s="1"/>
      <c r="Z20" s="1"/>
    </row>
    <row r="21" spans="1:26" ht="15.75" customHeight="1">
      <c r="A21" s="1"/>
      <c r="B21" s="36" t="s">
        <v>44</v>
      </c>
      <c r="C21" s="1"/>
      <c r="D21" s="21">
        <f t="shared" ref="D21:T21" si="13">QUARTILE(D9:D18,3)</f>
        <v>31993.25</v>
      </c>
      <c r="E21" s="23">
        <f t="shared" si="13"/>
        <v>1407267.7599999998</v>
      </c>
      <c r="F21" s="23">
        <f t="shared" si="13"/>
        <v>1480230.2402499998</v>
      </c>
      <c r="G21" s="23">
        <f t="shared" si="13"/>
        <v>212778.7</v>
      </c>
      <c r="H21" s="23">
        <f t="shared" si="13"/>
        <v>4671.8334999999997</v>
      </c>
      <c r="I21" s="23">
        <f t="shared" si="13"/>
        <v>4756.25</v>
      </c>
      <c r="J21" s="23">
        <f t="shared" si="13"/>
        <v>37315.587749999999</v>
      </c>
      <c r="K21" s="23">
        <f t="shared" si="13"/>
        <v>2294.6202499999999</v>
      </c>
      <c r="L21" s="23">
        <f t="shared" si="13"/>
        <v>1781.5027500000001</v>
      </c>
      <c r="M21" s="23">
        <f t="shared" si="13"/>
        <v>21808.25</v>
      </c>
      <c r="N21" s="23">
        <f t="shared" si="13"/>
        <v>1790.018</v>
      </c>
      <c r="O21" s="23">
        <f t="shared" si="13"/>
        <v>1430.1780000000001</v>
      </c>
      <c r="P21" s="20">
        <f t="shared" si="13"/>
        <v>0.14260868135723681</v>
      </c>
      <c r="Q21" s="20">
        <f t="shared" si="13"/>
        <v>0.21219091465278994</v>
      </c>
      <c r="R21" s="20">
        <f t="shared" si="13"/>
        <v>0.37969725554725381</v>
      </c>
      <c r="S21" s="20">
        <f t="shared" si="13"/>
        <v>0.42225489492798107</v>
      </c>
      <c r="T21" s="40">
        <f t="shared" si="13"/>
        <v>0.43780899312988697</v>
      </c>
      <c r="U21" s="1"/>
      <c r="V21" s="1"/>
      <c r="W21" s="1"/>
      <c r="X21" s="1"/>
      <c r="Y21" s="1"/>
      <c r="Z21" s="1"/>
    </row>
    <row r="22" spans="1:26" ht="15.75" customHeight="1">
      <c r="A22" s="1"/>
      <c r="B22" s="41" t="s">
        <v>22</v>
      </c>
      <c r="C22" s="42"/>
      <c r="D22" s="43">
        <f t="shared" ref="D22:T22" si="14">MEDIAN(D9:D18)</f>
        <v>3415</v>
      </c>
      <c r="E22" s="44">
        <f t="shared" si="14"/>
        <v>326029.95775</v>
      </c>
      <c r="F22" s="44">
        <f t="shared" si="14"/>
        <v>324451.87599999999</v>
      </c>
      <c r="G22" s="44">
        <f t="shared" si="14"/>
        <v>3908.7</v>
      </c>
      <c r="H22" s="44">
        <f t="shared" si="14"/>
        <v>2679</v>
      </c>
      <c r="I22" s="44">
        <f t="shared" si="14"/>
        <v>2735.34</v>
      </c>
      <c r="J22" s="44">
        <f t="shared" si="14"/>
        <v>1442.25</v>
      </c>
      <c r="K22" s="44">
        <f t="shared" si="14"/>
        <v>889.2632000000001</v>
      </c>
      <c r="L22" s="44">
        <f t="shared" si="14"/>
        <v>1328.83</v>
      </c>
      <c r="M22" s="44">
        <f t="shared" si="14"/>
        <v>424.4</v>
      </c>
      <c r="N22" s="44">
        <f t="shared" si="14"/>
        <v>665.66499999999996</v>
      </c>
      <c r="O22" s="44">
        <f t="shared" si="14"/>
        <v>743.91499999999996</v>
      </c>
      <c r="P22" s="46">
        <f t="shared" si="14"/>
        <v>6.4484148064448465E-2</v>
      </c>
      <c r="Q22" s="46">
        <f t="shared" si="14"/>
        <v>0.11061805834604643</v>
      </c>
      <c r="R22" s="46">
        <f t="shared" si="14"/>
        <v>0.27727439379954955</v>
      </c>
      <c r="S22" s="46">
        <f t="shared" si="14"/>
        <v>0.29827383225608101</v>
      </c>
      <c r="T22" s="47">
        <f t="shared" si="14"/>
        <v>0.3141291873044838</v>
      </c>
      <c r="U22" s="1"/>
      <c r="V22" s="1"/>
      <c r="W22" s="1"/>
      <c r="X22" s="1"/>
      <c r="Y22" s="1"/>
      <c r="Z22" s="1"/>
    </row>
    <row r="23" spans="1:26" ht="15.75" customHeight="1">
      <c r="A23" s="1"/>
      <c r="B23" s="36" t="s">
        <v>50</v>
      </c>
      <c r="C23" s="3"/>
      <c r="D23" s="21">
        <f t="shared" ref="D23:T23" si="15">QUARTILE(D9:D18,1)</f>
        <v>160.66499999999999</v>
      </c>
      <c r="E23" s="23">
        <f t="shared" si="15"/>
        <v>16879.711800000001</v>
      </c>
      <c r="F23" s="23">
        <f t="shared" si="15"/>
        <v>14529.525675000001</v>
      </c>
      <c r="G23" s="23">
        <f t="shared" si="15"/>
        <v>2005.63</v>
      </c>
      <c r="H23" s="23">
        <f t="shared" si="15"/>
        <v>1815.2325000000001</v>
      </c>
      <c r="I23" s="23">
        <f t="shared" si="15"/>
        <v>2334.2910000000002</v>
      </c>
      <c r="J23" s="23">
        <f t="shared" si="15"/>
        <v>634.56375000000003</v>
      </c>
      <c r="K23" s="23">
        <f t="shared" si="15"/>
        <v>489.57499999999999</v>
      </c>
      <c r="L23" s="23">
        <f t="shared" si="15"/>
        <v>524.76499999999999</v>
      </c>
      <c r="M23" s="23">
        <f t="shared" si="15"/>
        <v>132.44024999999999</v>
      </c>
      <c r="N23" s="23">
        <f t="shared" si="15"/>
        <v>134.654</v>
      </c>
      <c r="O23" s="23">
        <f t="shared" si="15"/>
        <v>345.61744999999996</v>
      </c>
      <c r="P23" s="20">
        <f t="shared" si="15"/>
        <v>4.2059055696295422E-2</v>
      </c>
      <c r="Q23" s="20">
        <f t="shared" si="15"/>
        <v>4.7183340948526609E-2</v>
      </c>
      <c r="R23" s="20">
        <f t="shared" si="15"/>
        <v>0.16256567903300778</v>
      </c>
      <c r="S23" s="20">
        <f t="shared" si="15"/>
        <v>0.18690123200442968</v>
      </c>
      <c r="T23" s="40">
        <f t="shared" si="15"/>
        <v>0.19609947204800249</v>
      </c>
      <c r="U23" s="1"/>
      <c r="V23" s="1"/>
      <c r="W23" s="1"/>
      <c r="X23" s="1"/>
      <c r="Y23" s="1"/>
      <c r="Z23" s="1"/>
    </row>
    <row r="24" spans="1:26" ht="15.75" customHeight="1">
      <c r="A24" s="1"/>
      <c r="B24" s="48" t="s">
        <v>23</v>
      </c>
      <c r="C24" s="49"/>
      <c r="D24" s="50">
        <f t="shared" ref="D24:T24" si="16">MIN(D9:D18)</f>
        <v>81.31</v>
      </c>
      <c r="E24" s="51">
        <f t="shared" si="16"/>
        <v>8051.68</v>
      </c>
      <c r="F24" s="51">
        <f t="shared" si="16"/>
        <v>6265</v>
      </c>
      <c r="G24" s="51">
        <f t="shared" si="16"/>
        <v>246.28299999999999</v>
      </c>
      <c r="H24" s="51">
        <f t="shared" si="16"/>
        <v>262.01</v>
      </c>
      <c r="I24" s="51">
        <f t="shared" si="16"/>
        <v>282.99</v>
      </c>
      <c r="J24" s="51">
        <f t="shared" si="16"/>
        <v>140.43</v>
      </c>
      <c r="K24" s="51">
        <f t="shared" si="16"/>
        <v>110.86</v>
      </c>
      <c r="L24" s="51">
        <f t="shared" si="16"/>
        <v>123.7</v>
      </c>
      <c r="M24" s="51">
        <f t="shared" si="16"/>
        <v>-43.381999999999998</v>
      </c>
      <c r="N24" s="51">
        <f t="shared" si="16"/>
        <v>29.1248</v>
      </c>
      <c r="O24" s="51">
        <f t="shared" si="16"/>
        <v>74.599999999999994</v>
      </c>
      <c r="P24" s="52">
        <f t="shared" si="16"/>
        <v>-0.28845650193030903</v>
      </c>
      <c r="Q24" s="52">
        <f t="shared" si="16"/>
        <v>-0.34747612058753519</v>
      </c>
      <c r="R24" s="52">
        <f t="shared" si="16"/>
        <v>0.14406108777995905</v>
      </c>
      <c r="S24" s="52">
        <f t="shared" si="16"/>
        <v>0.15396549418215863</v>
      </c>
      <c r="T24" s="53">
        <f t="shared" si="16"/>
        <v>0.15817643725206221</v>
      </c>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54" t="str">
        <f>HLOOKUP($C26,Comps_Range,'Public Comps'!B$5,FALSE)</f>
        <v>Activision Blizzard</v>
      </c>
      <c r="C26" s="55" t="str">
        <f>Ticker</f>
        <v>ATVI</v>
      </c>
      <c r="D26" s="56" t="e">
        <f ca="1">HLOOKUP($C26,Comps_Range,'Public Comps'!D$5,FALSE)</f>
        <v>#NAME?</v>
      </c>
      <c r="E26" s="57">
        <f>HLOOKUP($C26,Comps_Range,'Public Comps'!E$5,FALSE)</f>
        <v>47350</v>
      </c>
      <c r="F26" s="57">
        <f>HLOOKUP($C26,Comps_Range,'Public Comps'!F$5,FALSE)</f>
        <v>44810</v>
      </c>
      <c r="G26" s="57">
        <f>HLOOKUP($C26,Comps_Range,'Public Comps'!G$5,FALSE)</f>
        <v>6489</v>
      </c>
      <c r="H26" s="57">
        <f>HLOOKUP($C26,Comps_Range,'Public Comps'!H$5,FALSE)</f>
        <v>6800</v>
      </c>
      <c r="I26" s="57">
        <f>HLOOKUP($C26,Comps_Range,'Public Comps'!I$5,FALSE)</f>
        <v>7420</v>
      </c>
      <c r="J26" s="57">
        <f>HLOOKUP($C26,Comps_Range,'Public Comps'!J$5,FALSE)</f>
        <v>1935</v>
      </c>
      <c r="K26" s="57">
        <f>HLOOKUP($C26,Comps_Range,'Public Comps'!K$5,FALSE)</f>
        <v>2027.7392510402217</v>
      </c>
      <c r="L26" s="57">
        <f>HLOOKUP($C26,Comps_Range,'Public Comps'!L$5,FALSE)</f>
        <v>2212.6213592233007</v>
      </c>
      <c r="M26" s="57">
        <f>HLOOKUP($C26,Comps_Range,'Public Comps'!M$5,FALSE)</f>
        <v>1503</v>
      </c>
      <c r="N26" s="57">
        <f>HLOOKUP($C26,Comps_Range,'Public Comps'!N$5,FALSE)</f>
        <v>1575.0346740638004</v>
      </c>
      <c r="O26" s="57">
        <f>HLOOKUP($C26,Comps_Range,'Public Comps'!O$5,FALSE)</f>
        <v>1718.6407766990292</v>
      </c>
      <c r="P26" s="61">
        <f>IFERROR(+I26/H26-1,"N/A")</f>
        <v>9.1176470588235192E-2</v>
      </c>
      <c r="Q26" s="61">
        <f>IFERROR(+L26/K26-1,"N/A")</f>
        <v>9.1176470588235192E-2</v>
      </c>
      <c r="R26" s="61">
        <f t="shared" ref="R26:T26" si="17">IFERROR(+J26/G26,"N/A")</f>
        <v>0.29819694868238555</v>
      </c>
      <c r="S26" s="61">
        <f t="shared" si="17"/>
        <v>0.29819694868238555</v>
      </c>
      <c r="T26" s="64">
        <f t="shared" si="17"/>
        <v>0.29819694868238555</v>
      </c>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hidden="1" customHeight="1" outlineLevel="1">
      <c r="A28" s="1"/>
      <c r="B28" s="4">
        <f>Inputs!$F$13</f>
        <v>2</v>
      </c>
      <c r="C28" s="5"/>
      <c r="D28" s="4">
        <f>Inputs!$F$14</f>
        <v>34</v>
      </c>
      <c r="E28" s="4">
        <f>Inputs!$F$15</f>
        <v>59</v>
      </c>
      <c r="F28" s="4">
        <f>Inputs!$F$16</f>
        <v>60</v>
      </c>
      <c r="G28" s="4">
        <f>Inputs!$F$26</f>
        <v>83</v>
      </c>
      <c r="H28" s="4">
        <f>Inputs!$F$27</f>
        <v>87</v>
      </c>
      <c r="I28" s="4">
        <f>Inputs!$F$28</f>
        <v>91</v>
      </c>
      <c r="J28" s="4">
        <f>Inputs!$F$29</f>
        <v>84</v>
      </c>
      <c r="K28" s="4">
        <f>Inputs!$F$30</f>
        <v>88</v>
      </c>
      <c r="L28" s="4">
        <f>Inputs!$F$31</f>
        <v>92</v>
      </c>
      <c r="M28" s="4">
        <f>Inputs!$F$32</f>
        <v>85</v>
      </c>
      <c r="N28" s="5">
        <f>Inputs!$F$33</f>
        <v>89</v>
      </c>
      <c r="O28" s="5">
        <f>Inputs!$F$34</f>
        <v>93</v>
      </c>
      <c r="P28" s="1"/>
      <c r="Q28" s="1"/>
      <c r="R28" s="1"/>
      <c r="S28" s="1"/>
      <c r="T28" s="1"/>
      <c r="U28" s="1"/>
      <c r="V28" s="1"/>
      <c r="W28" s="1"/>
      <c r="X28" s="1"/>
      <c r="Y28" s="1"/>
      <c r="Z28" s="1"/>
    </row>
    <row r="29" spans="1:26" ht="15.75" customHeight="1" collapsed="1">
      <c r="A29" s="1"/>
      <c r="B29" s="7" t="s">
        <v>64</v>
      </c>
      <c r="C29" s="7"/>
      <c r="D29" s="7"/>
      <c r="E29" s="362" t="s">
        <v>2</v>
      </c>
      <c r="F29" s="364"/>
      <c r="G29" s="362" t="s">
        <v>65</v>
      </c>
      <c r="H29" s="363"/>
      <c r="I29" s="364"/>
      <c r="J29" s="362" t="s">
        <v>65</v>
      </c>
      <c r="K29" s="363"/>
      <c r="L29" s="364"/>
      <c r="M29" s="8"/>
      <c r="N29" s="8"/>
      <c r="O29" s="8"/>
      <c r="P29" s="1"/>
      <c r="Q29" s="1"/>
      <c r="R29" s="1"/>
      <c r="S29" s="1"/>
      <c r="T29" s="1"/>
      <c r="U29" s="1"/>
      <c r="V29" s="1"/>
      <c r="W29" s="1"/>
      <c r="X29" s="1"/>
      <c r="Y29" s="1"/>
      <c r="Z29" s="1"/>
    </row>
    <row r="30" spans="1:26" ht="15.75" customHeight="1">
      <c r="A30" s="1"/>
      <c r="B30" s="8"/>
      <c r="C30" s="8"/>
      <c r="D30" s="9" t="s">
        <v>5</v>
      </c>
      <c r="E30" s="9" t="s">
        <v>7</v>
      </c>
      <c r="F30" s="9" t="s">
        <v>8</v>
      </c>
      <c r="G30" s="362" t="s">
        <v>9</v>
      </c>
      <c r="H30" s="363"/>
      <c r="I30" s="364"/>
      <c r="J30" s="362" t="s">
        <v>10</v>
      </c>
      <c r="K30" s="363"/>
      <c r="L30" s="364"/>
      <c r="M30" s="362" t="s">
        <v>66</v>
      </c>
      <c r="N30" s="363"/>
      <c r="O30" s="364"/>
      <c r="P30" s="25"/>
      <c r="Q30" s="25"/>
      <c r="R30" s="25"/>
      <c r="S30" s="25"/>
      <c r="T30" s="25"/>
      <c r="U30" s="1"/>
      <c r="V30" s="1"/>
      <c r="W30" s="1"/>
      <c r="X30" s="1"/>
      <c r="Y30" s="1"/>
      <c r="Z30" s="1"/>
    </row>
    <row r="31" spans="1:26" ht="15.75" customHeight="1">
      <c r="A31" s="1"/>
      <c r="B31" s="13" t="s">
        <v>13</v>
      </c>
      <c r="C31" s="13"/>
      <c r="D31" s="14" t="s">
        <v>17</v>
      </c>
      <c r="E31" s="14" t="s">
        <v>19</v>
      </c>
      <c r="F31" s="14" t="s">
        <v>19</v>
      </c>
      <c r="G31" s="15" t="str">
        <f>LTM</f>
        <v>LTM</v>
      </c>
      <c r="H31" s="16">
        <f>Forward_Year_1</f>
        <v>44196</v>
      </c>
      <c r="I31" s="16">
        <f>Forward_Year_2</f>
        <v>44561</v>
      </c>
      <c r="J31" s="15" t="str">
        <f>LTM</f>
        <v>LTM</v>
      </c>
      <c r="K31" s="16">
        <f>Forward_Year_1</f>
        <v>44196</v>
      </c>
      <c r="L31" s="16">
        <f>Forward_Year_2</f>
        <v>44561</v>
      </c>
      <c r="M31" s="15" t="str">
        <f>LTM</f>
        <v>LTM</v>
      </c>
      <c r="N31" s="16">
        <f>Forward_Year_1</f>
        <v>44196</v>
      </c>
      <c r="O31" s="16">
        <f>Forward_Year_2</f>
        <v>44561</v>
      </c>
      <c r="P31" s="76"/>
      <c r="Q31" s="76"/>
      <c r="R31" s="76"/>
      <c r="S31" s="76"/>
      <c r="T31" s="76"/>
      <c r="U31" s="1"/>
      <c r="V31" s="1"/>
      <c r="W31" s="1"/>
      <c r="X31" s="1"/>
      <c r="Y31" s="1"/>
      <c r="Z31" s="1"/>
    </row>
    <row r="32" spans="1:26" ht="15.75" customHeight="1">
      <c r="A32" s="1"/>
      <c r="B32" s="1" t="str">
        <f t="shared" ref="B32:B41" si="18">HLOOKUP($C32,Comps_Range,B$28,FALSE)</f>
        <v>Ubisoft</v>
      </c>
      <c r="C32" s="1" t="str">
        <f t="shared" ref="C32:C41" si="19">+C9</f>
        <v>UBI</v>
      </c>
      <c r="D32" s="18">
        <f t="shared" ref="D32:O41" si="20">HLOOKUP($C32,Comps_Range,D$28,FALSE)</f>
        <v>81.31</v>
      </c>
      <c r="E32" s="17">
        <f t="shared" si="20"/>
        <v>9638.16</v>
      </c>
      <c r="F32" s="17">
        <f t="shared" si="20"/>
        <v>10077.714900000001</v>
      </c>
      <c r="G32" s="80">
        <f t="shared" si="20"/>
        <v>5.2058614864864863</v>
      </c>
      <c r="H32" s="80">
        <f t="shared" si="20"/>
        <v>6.3369499657299517</v>
      </c>
      <c r="I32" s="80">
        <f t="shared" si="20"/>
        <v>3.6228879310344828</v>
      </c>
      <c r="J32" s="80">
        <f t="shared" si="20"/>
        <v>13.031162790697675</v>
      </c>
      <c r="K32" s="80">
        <f t="shared" si="20"/>
        <v>13.738721469329528</v>
      </c>
      <c r="L32" s="80">
        <f t="shared" si="20"/>
        <v>7.2571507064364207</v>
      </c>
      <c r="M32" s="80" t="str">
        <f t="shared" si="20"/>
        <v>NM</v>
      </c>
      <c r="N32" s="80" t="str">
        <f t="shared" si="20"/>
        <v>NM</v>
      </c>
      <c r="O32" s="80">
        <f t="shared" si="20"/>
        <v>20.814341659651642</v>
      </c>
      <c r="P32" s="1"/>
      <c r="Q32" s="1"/>
      <c r="R32" s="1"/>
      <c r="S32" s="1"/>
      <c r="T32" s="1"/>
      <c r="U32" s="1"/>
      <c r="V32" s="1"/>
      <c r="W32" s="1"/>
      <c r="X32" s="1"/>
      <c r="Y32" s="1"/>
      <c r="Z32" s="1"/>
    </row>
    <row r="33" spans="1:26" ht="15.75" customHeight="1">
      <c r="A33" s="1"/>
      <c r="B33" s="1" t="str">
        <f t="shared" si="18"/>
        <v>Electronic Arts</v>
      </c>
      <c r="C33" s="1" t="str">
        <f t="shared" si="19"/>
        <v>EA</v>
      </c>
      <c r="D33" s="21">
        <f t="shared" si="20"/>
        <v>109.65</v>
      </c>
      <c r="E33" s="23">
        <f t="shared" si="20"/>
        <v>31762.315500000004</v>
      </c>
      <c r="F33" s="23">
        <f t="shared" si="20"/>
        <v>26397.115500000004</v>
      </c>
      <c r="G33" s="80">
        <f t="shared" si="20"/>
        <v>5.3327506060606069</v>
      </c>
      <c r="H33" s="80">
        <f t="shared" si="20"/>
        <v>5.0881101580570558</v>
      </c>
      <c r="I33" s="80">
        <f t="shared" si="20"/>
        <v>4.9101777343750008</v>
      </c>
      <c r="J33" s="80">
        <f t="shared" si="20"/>
        <v>13.271551282051284</v>
      </c>
      <c r="K33" s="80">
        <f t="shared" si="20"/>
        <v>14.821513475575522</v>
      </c>
      <c r="L33" s="80">
        <f t="shared" si="20"/>
        <v>14.354059543230019</v>
      </c>
      <c r="M33" s="80">
        <f t="shared" si="20"/>
        <v>31.170083905789994</v>
      </c>
      <c r="N33" s="80">
        <f t="shared" si="20"/>
        <v>22.982961937606103</v>
      </c>
      <c r="O33" s="80">
        <f t="shared" si="20"/>
        <v>21.967007282610954</v>
      </c>
      <c r="P33" s="1"/>
      <c r="Q33" s="1"/>
      <c r="R33" s="1"/>
      <c r="S33" s="1"/>
      <c r="T33" s="1"/>
      <c r="U33" s="1"/>
      <c r="V33" s="1"/>
      <c r="W33" s="1"/>
      <c r="X33" s="1"/>
      <c r="Y33" s="1"/>
      <c r="Z33" s="1"/>
    </row>
    <row r="34" spans="1:26" ht="15.75" customHeight="1">
      <c r="A34" s="1"/>
      <c r="B34" s="1" t="str">
        <f t="shared" si="18"/>
        <v>Take Two Initiative</v>
      </c>
      <c r="C34" s="1" t="str">
        <f t="shared" si="19"/>
        <v>TTWO</v>
      </c>
      <c r="D34" s="21">
        <f t="shared" si="20"/>
        <v>110.72</v>
      </c>
      <c r="E34" s="23">
        <f t="shared" si="20"/>
        <v>12557.8624</v>
      </c>
      <c r="F34" s="23">
        <f t="shared" si="20"/>
        <v>10573.662399999999</v>
      </c>
      <c r="G34" s="80">
        <f t="shared" si="20"/>
        <v>3.6875435586245375</v>
      </c>
      <c r="H34" s="80">
        <f t="shared" si="20"/>
        <v>3.7257443269908386</v>
      </c>
      <c r="I34" s="80">
        <f t="shared" si="20"/>
        <v>3.9321912978802525</v>
      </c>
      <c r="J34" s="80">
        <f t="shared" si="20"/>
        <v>17.973249022607515</v>
      </c>
      <c r="K34" s="80">
        <f t="shared" si="20"/>
        <v>15.938352451726685</v>
      </c>
      <c r="L34" s="80">
        <f t="shared" si="20"/>
        <v>15.83665942756152</v>
      </c>
      <c r="M34" s="80">
        <f t="shared" si="20"/>
        <v>37.598390419161674</v>
      </c>
      <c r="N34" s="80">
        <f t="shared" si="20"/>
        <v>23.155389522984159</v>
      </c>
      <c r="O34" s="80">
        <f t="shared" si="20"/>
        <v>24.344963263090552</v>
      </c>
      <c r="P34" s="1"/>
      <c r="Q34" s="1"/>
      <c r="R34" s="1"/>
      <c r="S34" s="1"/>
      <c r="T34" s="1"/>
      <c r="U34" s="1"/>
      <c r="V34" s="1"/>
      <c r="W34" s="1"/>
      <c r="X34" s="1"/>
      <c r="Y34" s="1"/>
      <c r="Z34" s="1"/>
    </row>
    <row r="35" spans="1:26" ht="15.75" customHeight="1">
      <c r="A35" s="1"/>
      <c r="B35" s="1" t="str">
        <f t="shared" si="18"/>
        <v>Netmarble Games (BILL KRW)</v>
      </c>
      <c r="C35" s="1">
        <f t="shared" si="19"/>
        <v>251270</v>
      </c>
      <c r="D35" s="21">
        <f t="shared" si="20"/>
        <v>94100</v>
      </c>
      <c r="E35" s="23">
        <f t="shared" si="20"/>
        <v>8051.68</v>
      </c>
      <c r="F35" s="23">
        <f t="shared" si="20"/>
        <v>6265</v>
      </c>
      <c r="G35" s="80">
        <f t="shared" si="20"/>
        <v>2.8284424379232505</v>
      </c>
      <c r="H35" s="80">
        <f t="shared" si="20"/>
        <v>2.4861111111111112</v>
      </c>
      <c r="I35" s="80">
        <f t="shared" si="20"/>
        <v>2.3464419475655429</v>
      </c>
      <c r="J35" s="80">
        <f t="shared" si="20"/>
        <v>19.302164368789956</v>
      </c>
      <c r="K35" s="80">
        <f t="shared" si="20"/>
        <v>14.514746426337373</v>
      </c>
      <c r="L35" s="80">
        <f t="shared" si="20"/>
        <v>13.130593339341479</v>
      </c>
      <c r="M35" s="80">
        <f t="shared" si="20"/>
        <v>39.731951640759931</v>
      </c>
      <c r="N35" s="80">
        <f t="shared" si="20"/>
        <v>29.319777434672417</v>
      </c>
      <c r="O35" s="80">
        <f t="shared" si="20"/>
        <v>26.272155368190244</v>
      </c>
      <c r="P35" s="1"/>
      <c r="Q35" s="1"/>
      <c r="R35" s="1"/>
      <c r="S35" s="1"/>
      <c r="T35" s="1"/>
      <c r="U35" s="1"/>
      <c r="V35" s="1"/>
      <c r="W35" s="1"/>
      <c r="X35" s="1"/>
      <c r="Y35" s="1"/>
      <c r="Z35" s="1"/>
    </row>
    <row r="36" spans="1:26" ht="15.75" customHeight="1">
      <c r="A36" s="1"/>
      <c r="B36" s="1" t="str">
        <f t="shared" si="18"/>
        <v>Square Enix Co. (MILL JPY)</v>
      </c>
      <c r="C36" s="1">
        <f t="shared" si="19"/>
        <v>9684</v>
      </c>
      <c r="D36" s="21">
        <f t="shared" si="20"/>
        <v>5200</v>
      </c>
      <c r="E36" s="23">
        <f t="shared" si="20"/>
        <v>620297.6</v>
      </c>
      <c r="F36" s="23">
        <f t="shared" si="20"/>
        <v>619307.1</v>
      </c>
      <c r="G36" s="80">
        <f t="shared" si="20"/>
        <v>2.1985178900434161</v>
      </c>
      <c r="H36" s="80">
        <f t="shared" si="20"/>
        <v>2.1788852362673663</v>
      </c>
      <c r="I36" s="80">
        <f t="shared" si="20"/>
        <v>1.8699841752176523</v>
      </c>
      <c r="J36" s="80">
        <f t="shared" si="20"/>
        <v>15.261011310711909</v>
      </c>
      <c r="K36" s="80">
        <f t="shared" si="20"/>
        <v>13.837795988135337</v>
      </c>
      <c r="L36" s="80">
        <f t="shared" si="20"/>
        <v>11.37159344990506</v>
      </c>
      <c r="M36" s="80">
        <f t="shared" si="20"/>
        <v>21.584577910780151</v>
      </c>
      <c r="N36" s="80">
        <f t="shared" si="20"/>
        <v>24.992771690167402</v>
      </c>
      <c r="O36" s="80">
        <f t="shared" si="20"/>
        <v>18.574882098601474</v>
      </c>
      <c r="P36" s="1"/>
      <c r="Q36" s="1"/>
      <c r="R36" s="1"/>
      <c r="S36" s="1"/>
      <c r="T36" s="1"/>
      <c r="U36" s="1"/>
      <c r="V36" s="1"/>
      <c r="W36" s="1"/>
      <c r="X36" s="1"/>
      <c r="Y36" s="1"/>
      <c r="Z36" s="1"/>
    </row>
    <row r="37" spans="1:26" ht="15.75" customHeight="1">
      <c r="A37" s="1"/>
      <c r="B37" s="1" t="str">
        <f t="shared" si="18"/>
        <v>Nintendo (MILL JPY)</v>
      </c>
      <c r="C37" s="1">
        <f t="shared" si="19"/>
        <v>7974</v>
      </c>
      <c r="D37" s="21">
        <f t="shared" si="20"/>
        <v>40650</v>
      </c>
      <c r="E37" s="23">
        <f t="shared" si="20"/>
        <v>4842380.8033500006</v>
      </c>
      <c r="F37" s="23">
        <f t="shared" si="20"/>
        <v>4833542.8033500006</v>
      </c>
      <c r="G37" s="80">
        <f t="shared" si="20"/>
        <v>3.9427463028974672</v>
      </c>
      <c r="H37" s="80">
        <f t="shared" si="20"/>
        <v>3.7644414356308418</v>
      </c>
      <c r="I37" s="80">
        <f t="shared" si="20"/>
        <v>3.5281334331021901</v>
      </c>
      <c r="J37" s="80">
        <f t="shared" si="20"/>
        <v>16.519172129206229</v>
      </c>
      <c r="K37" s="80">
        <f t="shared" si="20"/>
        <v>14.864206911095396</v>
      </c>
      <c r="L37" s="80">
        <f t="shared" si="20"/>
        <v>12.328264859208817</v>
      </c>
      <c r="M37" s="80">
        <f t="shared" si="20"/>
        <v>21.850518484166166</v>
      </c>
      <c r="N37" s="80">
        <f t="shared" si="20"/>
        <v>21.168877828852462</v>
      </c>
      <c r="O37" s="80">
        <f t="shared" si="20"/>
        <v>17.139957536988533</v>
      </c>
      <c r="P37" s="1"/>
      <c r="Q37" s="1"/>
      <c r="R37" s="1"/>
      <c r="S37" s="1"/>
      <c r="T37" s="1"/>
      <c r="U37" s="1"/>
      <c r="V37" s="1"/>
      <c r="W37" s="1"/>
      <c r="X37" s="1"/>
      <c r="Y37" s="1"/>
      <c r="Z37" s="1"/>
    </row>
    <row r="38" spans="1:26" ht="15.75" customHeight="1">
      <c r="A38" s="1"/>
      <c r="B38" s="1" t="str">
        <f t="shared" si="18"/>
        <v>CD Projekt (MILL PLN)</v>
      </c>
      <c r="C38" s="1" t="str">
        <f t="shared" si="19"/>
        <v>CDR</v>
      </c>
      <c r="D38" s="21">
        <f t="shared" si="20"/>
        <v>310.5</v>
      </c>
      <c r="E38" s="23">
        <f t="shared" si="20"/>
        <v>29845.260000000002</v>
      </c>
      <c r="F38" s="23">
        <f t="shared" si="20"/>
        <v>29596.652000000002</v>
      </c>
      <c r="G38" s="80">
        <f t="shared" si="20"/>
        <v>67.507531590712105</v>
      </c>
      <c r="H38" s="80">
        <f t="shared" si="20"/>
        <v>9.4759804747106795</v>
      </c>
      <c r="I38" s="80">
        <f t="shared" si="20"/>
        <v>13.31749991450638</v>
      </c>
      <c r="J38" s="80" t="str">
        <f t="shared" si="20"/>
        <v>NM</v>
      </c>
      <c r="K38" s="80">
        <f t="shared" si="20"/>
        <v>12.002728496362478</v>
      </c>
      <c r="L38" s="80">
        <f t="shared" si="20"/>
        <v>18.394313028313668</v>
      </c>
      <c r="M38" s="80" t="str">
        <f t="shared" si="20"/>
        <v>NM</v>
      </c>
      <c r="N38" s="80">
        <f t="shared" si="20"/>
        <v>15.49577212353312</v>
      </c>
      <c r="O38" s="80">
        <f t="shared" si="20"/>
        <v>21.580367640359746</v>
      </c>
      <c r="P38" s="1"/>
      <c r="Q38" s="1"/>
      <c r="R38" s="1"/>
      <c r="S38" s="1"/>
      <c r="T38" s="1"/>
      <c r="U38" s="1"/>
      <c r="V38" s="1"/>
      <c r="W38" s="1"/>
      <c r="X38" s="1"/>
      <c r="Y38" s="1"/>
      <c r="Z38" s="1"/>
    </row>
    <row r="39" spans="1:26" ht="15.75" customHeight="1">
      <c r="A39" s="1"/>
      <c r="B39" s="1" t="str">
        <f t="shared" si="18"/>
        <v>Bandai Namco (BILL JPY)</v>
      </c>
      <c r="C39" s="1" t="str">
        <f t="shared" si="19"/>
        <v>NCBDF</v>
      </c>
      <c r="D39" s="21">
        <f t="shared" si="20"/>
        <v>6023</v>
      </c>
      <c r="E39" s="23">
        <f t="shared" si="20"/>
        <v>1323132.6400000001</v>
      </c>
      <c r="F39" s="23">
        <f t="shared" si="20"/>
        <v>1323610.4890000001</v>
      </c>
      <c r="G39" s="80" t="str">
        <f t="shared" si="20"/>
        <v>NM</v>
      </c>
      <c r="H39" s="80" t="str">
        <f t="shared" si="20"/>
        <v>NM</v>
      </c>
      <c r="I39" s="80" t="str">
        <f t="shared" si="20"/>
        <v>NM</v>
      </c>
      <c r="J39" s="80" t="str">
        <f t="shared" si="20"/>
        <v>NM</v>
      </c>
      <c r="K39" s="80" t="str">
        <f t="shared" si="20"/>
        <v>NM</v>
      </c>
      <c r="L39" s="80" t="str">
        <f t="shared" si="20"/>
        <v>NM</v>
      </c>
      <c r="M39" s="80" t="str">
        <f t="shared" si="20"/>
        <v>NM</v>
      </c>
      <c r="N39" s="80" t="str">
        <f t="shared" si="20"/>
        <v>NM</v>
      </c>
      <c r="O39" s="80" t="str">
        <f t="shared" si="20"/>
        <v>NM</v>
      </c>
      <c r="P39" s="1"/>
      <c r="Q39" s="1"/>
      <c r="R39" s="1"/>
      <c r="S39" s="1"/>
      <c r="T39" s="1"/>
      <c r="U39" s="1"/>
      <c r="V39" s="1"/>
      <c r="W39" s="1"/>
      <c r="X39" s="1"/>
      <c r="Y39" s="1"/>
      <c r="Z39" s="1"/>
    </row>
    <row r="40" spans="1:26" ht="15.75" customHeight="1">
      <c r="A40" s="1"/>
      <c r="B40" s="1" t="str">
        <f t="shared" si="18"/>
        <v>Nexon (BILL JPY)</v>
      </c>
      <c r="C40" s="1" t="str">
        <f t="shared" si="19"/>
        <v>3659.T</v>
      </c>
      <c r="D40" s="21">
        <f t="shared" si="20"/>
        <v>1630</v>
      </c>
      <c r="E40" s="23">
        <f t="shared" si="20"/>
        <v>1435312.7999999998</v>
      </c>
      <c r="F40" s="23">
        <f t="shared" si="20"/>
        <v>1532436.8239999998</v>
      </c>
      <c r="G40" s="80" t="str">
        <f t="shared" si="20"/>
        <v>NM</v>
      </c>
      <c r="H40" s="80" t="str">
        <f t="shared" si="20"/>
        <v>NM</v>
      </c>
      <c r="I40" s="80" t="str">
        <f t="shared" si="20"/>
        <v>NM</v>
      </c>
      <c r="J40" s="80">
        <f t="shared" si="20"/>
        <v>55.685790845866961</v>
      </c>
      <c r="K40" s="80" t="str">
        <f t="shared" si="20"/>
        <v>NM</v>
      </c>
      <c r="L40" s="80" t="str">
        <f t="shared" si="20"/>
        <v>NM</v>
      </c>
      <c r="M40" s="80" t="str">
        <f t="shared" si="20"/>
        <v>NM</v>
      </c>
      <c r="N40" s="80" t="str">
        <f t="shared" si="20"/>
        <v>NM</v>
      </c>
      <c r="O40" s="80" t="str">
        <f t="shared" si="20"/>
        <v>NM</v>
      </c>
      <c r="P40" s="1"/>
      <c r="Q40" s="1"/>
      <c r="R40" s="1"/>
      <c r="S40" s="1"/>
      <c r="T40" s="1"/>
      <c r="U40" s="1"/>
      <c r="V40" s="1"/>
      <c r="W40" s="1"/>
      <c r="X40" s="1"/>
      <c r="Y40" s="1"/>
      <c r="Z40" s="1"/>
    </row>
    <row r="41" spans="1:26" ht="15.75" customHeight="1">
      <c r="A41" s="1"/>
      <c r="B41" s="1" t="str">
        <f t="shared" si="18"/>
        <v>NCsoft Corp. (KRW)</v>
      </c>
      <c r="C41" s="1">
        <f t="shared" si="19"/>
        <v>36570</v>
      </c>
      <c r="D41" s="21">
        <f t="shared" si="20"/>
        <v>648000</v>
      </c>
      <c r="E41" s="23">
        <f t="shared" si="20"/>
        <v>13355280</v>
      </c>
      <c r="F41" s="23">
        <f t="shared" si="20"/>
        <v>13136163</v>
      </c>
      <c r="G41" s="80">
        <f t="shared" si="20"/>
        <v>8.38296917816524</v>
      </c>
      <c r="H41" s="80" t="str">
        <f t="shared" si="20"/>
        <v>NM</v>
      </c>
      <c r="I41" s="80" t="str">
        <f t="shared" si="20"/>
        <v>NM</v>
      </c>
      <c r="J41" s="80">
        <f t="shared" si="20"/>
        <v>26.539150620336866</v>
      </c>
      <c r="K41" s="80" t="str">
        <f t="shared" si="20"/>
        <v>NM</v>
      </c>
      <c r="L41" s="80" t="str">
        <f t="shared" si="20"/>
        <v>NM</v>
      </c>
      <c r="M41" s="80">
        <f t="shared" si="20"/>
        <v>35.825113803713073</v>
      </c>
      <c r="N41" s="80" t="str">
        <f t="shared" si="20"/>
        <v>NM</v>
      </c>
      <c r="O41" s="80" t="str">
        <f t="shared" si="20"/>
        <v>NM</v>
      </c>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29" t="s">
        <v>20</v>
      </c>
      <c r="C43" s="30"/>
      <c r="D43" s="31">
        <f t="shared" ref="D43:O43" si="21">MAX(D32:D41)</f>
        <v>648000</v>
      </c>
      <c r="E43" s="32">
        <f t="shared" si="21"/>
        <v>13355280</v>
      </c>
      <c r="F43" s="32">
        <f t="shared" si="21"/>
        <v>13136163</v>
      </c>
      <c r="G43" s="87">
        <f t="shared" si="21"/>
        <v>67.507531590712105</v>
      </c>
      <c r="H43" s="87">
        <f t="shared" si="21"/>
        <v>9.4759804747106795</v>
      </c>
      <c r="I43" s="87">
        <f t="shared" si="21"/>
        <v>13.31749991450638</v>
      </c>
      <c r="J43" s="87">
        <f t="shared" si="21"/>
        <v>55.685790845866961</v>
      </c>
      <c r="K43" s="87">
        <f t="shared" si="21"/>
        <v>15.938352451726685</v>
      </c>
      <c r="L43" s="87">
        <f t="shared" si="21"/>
        <v>18.394313028313668</v>
      </c>
      <c r="M43" s="87">
        <f t="shared" si="21"/>
        <v>39.731951640759931</v>
      </c>
      <c r="N43" s="87">
        <f t="shared" si="21"/>
        <v>29.319777434672417</v>
      </c>
      <c r="O43" s="88">
        <f t="shared" si="21"/>
        <v>26.272155368190244</v>
      </c>
      <c r="P43" s="1"/>
      <c r="Q43" s="1"/>
      <c r="R43" s="1"/>
      <c r="S43" s="1"/>
      <c r="T43" s="1"/>
      <c r="U43" s="1"/>
      <c r="V43" s="1"/>
      <c r="W43" s="1"/>
      <c r="X43" s="1"/>
      <c r="Y43" s="1"/>
      <c r="Z43" s="1"/>
    </row>
    <row r="44" spans="1:26" ht="15.75" customHeight="1">
      <c r="A44" s="1"/>
      <c r="B44" s="36" t="s">
        <v>44</v>
      </c>
      <c r="C44" s="1"/>
      <c r="D44" s="21">
        <f t="shared" ref="D44:O44" si="22">QUARTILE(D32:D41,3)</f>
        <v>31993.25</v>
      </c>
      <c r="E44" s="23">
        <f t="shared" si="22"/>
        <v>1407267.7599999998</v>
      </c>
      <c r="F44" s="23">
        <f t="shared" si="22"/>
        <v>1480230.2402499998</v>
      </c>
      <c r="G44" s="80">
        <f t="shared" si="22"/>
        <v>6.0953052490867652</v>
      </c>
      <c r="H44" s="80">
        <f t="shared" si="22"/>
        <v>5.7125300618935038</v>
      </c>
      <c r="I44" s="80">
        <f t="shared" si="22"/>
        <v>4.4211845161276262</v>
      </c>
      <c r="J44" s="80">
        <f t="shared" si="22"/>
        <v>21.111410931676684</v>
      </c>
      <c r="K44" s="80">
        <f t="shared" si="22"/>
        <v>14.842860193335458</v>
      </c>
      <c r="L44" s="80">
        <f t="shared" si="22"/>
        <v>15.095359485395768</v>
      </c>
      <c r="M44" s="80">
        <f t="shared" si="22"/>
        <v>37.155071265299526</v>
      </c>
      <c r="N44" s="80">
        <f t="shared" si="22"/>
        <v>24.533426148371589</v>
      </c>
      <c r="O44" s="89">
        <f t="shared" si="22"/>
        <v>23.155985272850753</v>
      </c>
      <c r="P44" s="1"/>
      <c r="Q44" s="1"/>
      <c r="R44" s="1"/>
      <c r="S44" s="1"/>
      <c r="T44" s="1"/>
      <c r="U44" s="1"/>
      <c r="V44" s="1"/>
      <c r="W44" s="1"/>
      <c r="X44" s="1"/>
      <c r="Y44" s="1"/>
      <c r="Z44" s="1"/>
    </row>
    <row r="45" spans="1:26" ht="15.75" customHeight="1">
      <c r="A45" s="1"/>
      <c r="B45" s="41" t="s">
        <v>22</v>
      </c>
      <c r="C45" s="42"/>
      <c r="D45" s="43">
        <f t="shared" ref="D45:O45" si="23">MEDIAN(D32:D41)</f>
        <v>3415</v>
      </c>
      <c r="E45" s="44">
        <f t="shared" si="23"/>
        <v>326029.95775</v>
      </c>
      <c r="F45" s="44">
        <f t="shared" si="23"/>
        <v>324451.87599999999</v>
      </c>
      <c r="G45" s="90">
        <f t="shared" si="23"/>
        <v>4.574303894691977</v>
      </c>
      <c r="H45" s="90">
        <f t="shared" si="23"/>
        <v>3.7644414356308418</v>
      </c>
      <c r="I45" s="90">
        <f t="shared" si="23"/>
        <v>3.6228879310344828</v>
      </c>
      <c r="J45" s="90">
        <f t="shared" si="23"/>
        <v>17.246210575906872</v>
      </c>
      <c r="K45" s="90">
        <f t="shared" si="23"/>
        <v>14.514746426337373</v>
      </c>
      <c r="L45" s="90">
        <f t="shared" si="23"/>
        <v>13.130593339341479</v>
      </c>
      <c r="M45" s="90">
        <f t="shared" si="23"/>
        <v>33.49759885475153</v>
      </c>
      <c r="N45" s="90">
        <f t="shared" si="23"/>
        <v>23.069175730295129</v>
      </c>
      <c r="O45" s="91">
        <f t="shared" si="23"/>
        <v>21.580367640359746</v>
      </c>
      <c r="P45" s="1"/>
      <c r="Q45" s="1"/>
      <c r="R45" s="1"/>
      <c r="S45" s="1"/>
      <c r="T45" s="1"/>
      <c r="U45" s="1"/>
      <c r="V45" s="1"/>
      <c r="W45" s="1"/>
      <c r="X45" s="1"/>
      <c r="Y45" s="1"/>
      <c r="Z45" s="1"/>
    </row>
    <row r="46" spans="1:26" ht="15.75" customHeight="1">
      <c r="A46" s="1"/>
      <c r="B46" s="36" t="s">
        <v>50</v>
      </c>
      <c r="C46" s="3"/>
      <c r="D46" s="21">
        <f t="shared" ref="D46:O46" si="24">QUARTILE(D32:D41,1)</f>
        <v>160.66499999999999</v>
      </c>
      <c r="E46" s="23">
        <f t="shared" si="24"/>
        <v>16879.711800000001</v>
      </c>
      <c r="F46" s="23">
        <f t="shared" si="24"/>
        <v>14529.525675000001</v>
      </c>
      <c r="G46" s="80">
        <f t="shared" si="24"/>
        <v>3.472768278449216</v>
      </c>
      <c r="H46" s="80">
        <f t="shared" si="24"/>
        <v>3.1059277190509746</v>
      </c>
      <c r="I46" s="80">
        <f t="shared" si="24"/>
        <v>2.9372876903338665</v>
      </c>
      <c r="J46" s="80">
        <f t="shared" si="24"/>
        <v>14.763646303546754</v>
      </c>
      <c r="K46" s="80">
        <f t="shared" si="24"/>
        <v>13.788258728732433</v>
      </c>
      <c r="L46" s="80">
        <f t="shared" si="24"/>
        <v>11.849929154556939</v>
      </c>
      <c r="M46" s="80">
        <f t="shared" si="24"/>
        <v>24.180409839572121</v>
      </c>
      <c r="N46" s="80">
        <f t="shared" si="24"/>
        <v>21.622398856040874</v>
      </c>
      <c r="O46" s="89">
        <f t="shared" si="24"/>
        <v>19.694611879126558</v>
      </c>
      <c r="P46" s="1"/>
      <c r="Q46" s="1"/>
      <c r="R46" s="1"/>
      <c r="S46" s="1"/>
      <c r="T46" s="1"/>
      <c r="U46" s="1"/>
      <c r="V46" s="1"/>
      <c r="W46" s="1"/>
      <c r="X46" s="1"/>
      <c r="Y46" s="1"/>
      <c r="Z46" s="1"/>
    </row>
    <row r="47" spans="1:26" ht="15.75" customHeight="1">
      <c r="A47" s="1"/>
      <c r="B47" s="48" t="s">
        <v>23</v>
      </c>
      <c r="C47" s="49"/>
      <c r="D47" s="50">
        <f t="shared" ref="D47:O47" si="25">MIN(D32:D41)</f>
        <v>81.31</v>
      </c>
      <c r="E47" s="51">
        <f t="shared" si="25"/>
        <v>8051.68</v>
      </c>
      <c r="F47" s="51">
        <f t="shared" si="25"/>
        <v>6265</v>
      </c>
      <c r="G47" s="92">
        <f t="shared" si="25"/>
        <v>2.1985178900434161</v>
      </c>
      <c r="H47" s="92">
        <f t="shared" si="25"/>
        <v>2.1788852362673663</v>
      </c>
      <c r="I47" s="92">
        <f t="shared" si="25"/>
        <v>1.8699841752176523</v>
      </c>
      <c r="J47" s="92">
        <f t="shared" si="25"/>
        <v>13.031162790697675</v>
      </c>
      <c r="K47" s="92">
        <f t="shared" si="25"/>
        <v>12.002728496362478</v>
      </c>
      <c r="L47" s="92">
        <f t="shared" si="25"/>
        <v>7.2571507064364207</v>
      </c>
      <c r="M47" s="92">
        <f t="shared" si="25"/>
        <v>21.584577910780151</v>
      </c>
      <c r="N47" s="92">
        <f t="shared" si="25"/>
        <v>15.49577212353312</v>
      </c>
      <c r="O47" s="93">
        <f t="shared" si="25"/>
        <v>17.139957536988533</v>
      </c>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54" t="str">
        <f>HLOOKUP($C49,Comps_Range,B$28,FALSE)</f>
        <v>Activision Blizzard</v>
      </c>
      <c r="C49" s="55" t="str">
        <f>Ticker</f>
        <v>ATVI</v>
      </c>
      <c r="D49" s="56" t="e">
        <f t="shared" ref="D49:O49" ca="1" si="26">HLOOKUP($C49,Comps_Range,D$28,FALSE)</f>
        <v>#NAME?</v>
      </c>
      <c r="E49" s="57">
        <f t="shared" si="26"/>
        <v>47350</v>
      </c>
      <c r="F49" s="57">
        <f t="shared" si="26"/>
        <v>44810</v>
      </c>
      <c r="G49" s="94">
        <f t="shared" si="26"/>
        <v>6.9055324395130224</v>
      </c>
      <c r="H49" s="94">
        <f t="shared" si="26"/>
        <v>6.5897058823529413</v>
      </c>
      <c r="I49" s="94">
        <f t="shared" si="26"/>
        <v>6.0390835579514821</v>
      </c>
      <c r="J49" s="94">
        <f t="shared" si="26"/>
        <v>23.157622739018088</v>
      </c>
      <c r="K49" s="94">
        <f t="shared" si="26"/>
        <v>22.098502051983587</v>
      </c>
      <c r="L49" s="94">
        <f t="shared" si="26"/>
        <v>20.251996489688462</v>
      </c>
      <c r="M49" s="94">
        <f t="shared" si="26"/>
        <v>31.503659347970725</v>
      </c>
      <c r="N49" s="94">
        <f t="shared" si="26"/>
        <v>30.06283022190912</v>
      </c>
      <c r="O49" s="95">
        <f t="shared" si="26"/>
        <v>27.550841712800814</v>
      </c>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96"/>
      <c r="N50" s="1"/>
      <c r="O50" s="1"/>
      <c r="P50" s="1"/>
      <c r="Q50" s="1"/>
      <c r="R50" s="1"/>
      <c r="S50" s="1"/>
      <c r="T50" s="1"/>
      <c r="U50" s="1"/>
      <c r="V50" s="1"/>
      <c r="W50" s="1"/>
      <c r="X50" s="1"/>
      <c r="Y50" s="1"/>
      <c r="Z50" s="1"/>
    </row>
    <row r="51" spans="1:26" ht="15.75" customHeight="1">
      <c r="A51" s="1"/>
      <c r="B51" s="1"/>
      <c r="C51" s="1"/>
      <c r="D51" s="1"/>
      <c r="E51" s="1"/>
      <c r="F51" s="97"/>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1">
    <mergeCell ref="E6:F6"/>
    <mergeCell ref="G7:I7"/>
    <mergeCell ref="J7:L7"/>
    <mergeCell ref="M7:O7"/>
    <mergeCell ref="R7:T7"/>
    <mergeCell ref="E29:F29"/>
    <mergeCell ref="J29:L29"/>
    <mergeCell ref="G29:I29"/>
    <mergeCell ref="G30:I30"/>
    <mergeCell ref="J30:L30"/>
    <mergeCell ref="M30:O30"/>
  </mergeCells>
  <pageMargins left="0.75" right="0.75" top="1" bottom="1" header="0" footer="0"/>
  <pageSetup scale="36"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S1000"/>
  <sheetViews>
    <sheetView showGridLines="0" workbookViewId="0">
      <pane xSplit="3" ySplit="4" topLeftCell="D5" activePane="bottomRight" state="frozen"/>
      <selection pane="topRight" activeCell="D1" sqref="D1"/>
      <selection pane="bottomLeft" activeCell="A5" sqref="A5"/>
      <selection pane="bottomRight" activeCell="H21" sqref="H21"/>
    </sheetView>
  </sheetViews>
  <sheetFormatPr defaultColWidth="14.42578125" defaultRowHeight="15" customHeight="1"/>
  <cols>
    <col min="1" max="1" width="4.7109375" customWidth="1"/>
    <col min="2" max="2" width="26.140625" customWidth="1"/>
    <col min="3" max="3" width="10.7109375" customWidth="1"/>
    <col min="4" max="45" width="12.7109375" customWidth="1"/>
    <col min="46" max="46" width="14.42578125" customWidth="1"/>
    <col min="47" max="50" width="12.7109375" customWidth="1"/>
    <col min="51" max="51" width="14.42578125" customWidth="1"/>
    <col min="52" max="52" width="18.7109375" customWidth="1"/>
    <col min="53" max="57" width="12.7109375" customWidth="1"/>
    <col min="58" max="71" width="8.85546875" customWidth="1"/>
  </cols>
  <sheetData>
    <row r="1" spans="1:71" ht="15.75" customHeight="1">
      <c r="A1" s="98">
        <v>1</v>
      </c>
      <c r="B1" s="1"/>
      <c r="C1" s="1"/>
      <c r="D1" s="99"/>
      <c r="E1" s="100"/>
      <c r="F1" s="101"/>
      <c r="G1" s="102" t="s">
        <v>30</v>
      </c>
      <c r="H1" s="1"/>
      <c r="I1" s="99"/>
      <c r="J1" s="100"/>
      <c r="K1" s="101"/>
      <c r="L1" s="102" t="s">
        <v>31</v>
      </c>
      <c r="M1" s="1"/>
      <c r="N1" s="99"/>
      <c r="O1" s="100"/>
      <c r="P1" s="101"/>
      <c r="Q1" s="102" t="s">
        <v>32</v>
      </c>
      <c r="R1" s="1"/>
      <c r="S1" s="99"/>
      <c r="T1" s="100"/>
      <c r="U1" s="101"/>
      <c r="V1" s="102">
        <v>251270</v>
      </c>
      <c r="W1" s="1"/>
      <c r="X1" s="99"/>
      <c r="Y1" s="100"/>
      <c r="Z1" s="101"/>
      <c r="AA1" s="102">
        <v>9684</v>
      </c>
      <c r="AB1" s="1"/>
      <c r="AC1" s="99"/>
      <c r="AD1" s="100"/>
      <c r="AE1" s="101"/>
      <c r="AF1" s="102">
        <v>7974</v>
      </c>
      <c r="AG1" s="1"/>
      <c r="AH1" s="99"/>
      <c r="AI1" s="100"/>
      <c r="AJ1" s="101"/>
      <c r="AK1" s="102" t="s">
        <v>40</v>
      </c>
      <c r="AL1" s="1"/>
      <c r="AM1" s="99"/>
      <c r="AN1" s="100"/>
      <c r="AO1" s="101"/>
      <c r="AP1" s="102" t="s">
        <v>41</v>
      </c>
      <c r="AQ1" s="1"/>
      <c r="AR1" s="99"/>
      <c r="AS1" s="100"/>
      <c r="AT1" s="101"/>
      <c r="AU1" s="102" t="s">
        <v>42</v>
      </c>
      <c r="AV1" s="1"/>
      <c r="AW1" s="99"/>
      <c r="AX1" s="100"/>
      <c r="AY1" s="101"/>
      <c r="AZ1" s="102">
        <v>36570</v>
      </c>
      <c r="BA1" s="1"/>
      <c r="BB1" s="99"/>
      <c r="BC1" s="100"/>
      <c r="BD1" s="101"/>
      <c r="BE1" s="103" t="str">
        <f>Ticker</f>
        <v>ATVI</v>
      </c>
      <c r="BF1" s="1"/>
      <c r="BG1" s="1"/>
      <c r="BH1" s="1"/>
      <c r="BI1" s="1"/>
      <c r="BJ1" s="1"/>
      <c r="BK1" s="1"/>
      <c r="BL1" s="1"/>
      <c r="BM1" s="1"/>
      <c r="BN1" s="1"/>
      <c r="BO1" s="1"/>
      <c r="BP1" s="1"/>
      <c r="BQ1" s="1"/>
      <c r="BR1" s="1"/>
      <c r="BS1" s="1"/>
    </row>
    <row r="2" spans="1:71" ht="15.75" customHeight="1">
      <c r="A2" s="25">
        <f t="shared" ref="A2:A95" si="0">A1+1</f>
        <v>2</v>
      </c>
      <c r="B2" s="1"/>
      <c r="C2" s="1"/>
      <c r="D2" s="104"/>
      <c r="E2" s="105"/>
      <c r="F2" s="106"/>
      <c r="G2" s="107" t="s">
        <v>75</v>
      </c>
      <c r="H2" s="1"/>
      <c r="I2" s="104"/>
      <c r="J2" s="105"/>
      <c r="K2" s="106"/>
      <c r="L2" s="107" t="s">
        <v>76</v>
      </c>
      <c r="M2" s="1"/>
      <c r="N2" s="104"/>
      <c r="O2" s="105"/>
      <c r="P2" s="106"/>
      <c r="Q2" s="107" t="s">
        <v>77</v>
      </c>
      <c r="R2" s="1"/>
      <c r="S2" s="104"/>
      <c r="T2" s="105"/>
      <c r="U2" s="106"/>
      <c r="V2" s="107" t="s">
        <v>78</v>
      </c>
      <c r="W2" s="1"/>
      <c r="X2" s="104"/>
      <c r="Y2" s="105"/>
      <c r="Z2" s="106"/>
      <c r="AA2" s="107" t="s">
        <v>79</v>
      </c>
      <c r="AB2" s="1"/>
      <c r="AC2" s="104"/>
      <c r="AD2" s="105"/>
      <c r="AE2" s="106"/>
      <c r="AF2" s="107" t="s">
        <v>80</v>
      </c>
      <c r="AG2" s="1"/>
      <c r="AH2" s="104"/>
      <c r="AI2" s="105"/>
      <c r="AJ2" s="106"/>
      <c r="AK2" s="107" t="s">
        <v>81</v>
      </c>
      <c r="AL2" s="1"/>
      <c r="AM2" s="104"/>
      <c r="AN2" s="105"/>
      <c r="AO2" s="106"/>
      <c r="AP2" s="107" t="s">
        <v>82</v>
      </c>
      <c r="AQ2" s="1"/>
      <c r="AR2" s="104"/>
      <c r="AS2" s="105"/>
      <c r="AT2" s="106"/>
      <c r="AU2" s="107" t="s">
        <v>83</v>
      </c>
      <c r="AV2" s="1"/>
      <c r="AW2" s="104"/>
      <c r="AX2" s="105"/>
      <c r="AY2" s="106"/>
      <c r="AZ2" s="107" t="s">
        <v>84</v>
      </c>
      <c r="BA2" s="1"/>
      <c r="BB2" s="104"/>
      <c r="BC2" s="105"/>
      <c r="BD2" s="106"/>
      <c r="BE2" s="108" t="str">
        <f>Company_Name</f>
        <v>Activision Blizzard</v>
      </c>
      <c r="BF2" s="1"/>
      <c r="BG2" s="1"/>
      <c r="BH2" s="1"/>
      <c r="BI2" s="1"/>
      <c r="BJ2" s="1"/>
      <c r="BK2" s="1"/>
      <c r="BL2" s="1"/>
      <c r="BM2" s="1"/>
      <c r="BN2" s="1"/>
      <c r="BO2" s="1"/>
      <c r="BP2" s="1"/>
      <c r="BQ2" s="1"/>
      <c r="BR2" s="1"/>
      <c r="BS2" s="1"/>
    </row>
    <row r="3" spans="1:71" ht="15.75" customHeight="1">
      <c r="A3" s="25">
        <f t="shared" si="0"/>
        <v>3</v>
      </c>
      <c r="B3" s="1"/>
      <c r="C3" s="1"/>
      <c r="D3" s="371" t="s">
        <v>85</v>
      </c>
      <c r="E3" s="363"/>
      <c r="F3" s="363"/>
      <c r="G3" s="372"/>
      <c r="H3" s="1"/>
      <c r="I3" s="371" t="s">
        <v>85</v>
      </c>
      <c r="J3" s="363"/>
      <c r="K3" s="363"/>
      <c r="L3" s="372"/>
      <c r="M3" s="1"/>
      <c r="N3" s="371" t="s">
        <v>85</v>
      </c>
      <c r="O3" s="363"/>
      <c r="P3" s="363"/>
      <c r="Q3" s="372"/>
      <c r="R3" s="1"/>
      <c r="S3" s="371" t="s">
        <v>85</v>
      </c>
      <c r="T3" s="363"/>
      <c r="U3" s="363"/>
      <c r="V3" s="372"/>
      <c r="W3" s="1"/>
      <c r="X3" s="371" t="s">
        <v>85</v>
      </c>
      <c r="Y3" s="363"/>
      <c r="Z3" s="363"/>
      <c r="AA3" s="372"/>
      <c r="AB3" s="1"/>
      <c r="AC3" s="371" t="s">
        <v>85</v>
      </c>
      <c r="AD3" s="363"/>
      <c r="AE3" s="363"/>
      <c r="AF3" s="372"/>
      <c r="AG3" s="1"/>
      <c r="AH3" s="371" t="s">
        <v>85</v>
      </c>
      <c r="AI3" s="363"/>
      <c r="AJ3" s="363"/>
      <c r="AK3" s="372"/>
      <c r="AL3" s="1"/>
      <c r="AM3" s="371" t="s">
        <v>85</v>
      </c>
      <c r="AN3" s="363"/>
      <c r="AO3" s="363"/>
      <c r="AP3" s="372"/>
      <c r="AQ3" s="1"/>
      <c r="AR3" s="371" t="s">
        <v>85</v>
      </c>
      <c r="AS3" s="363"/>
      <c r="AT3" s="363"/>
      <c r="AU3" s="372"/>
      <c r="AV3" s="1"/>
      <c r="AW3" s="371" t="s">
        <v>85</v>
      </c>
      <c r="AX3" s="363"/>
      <c r="AY3" s="363"/>
      <c r="AZ3" s="372"/>
      <c r="BA3" s="1"/>
      <c r="BB3" s="371" t="s">
        <v>85</v>
      </c>
      <c r="BC3" s="363"/>
      <c r="BD3" s="363"/>
      <c r="BE3" s="372"/>
      <c r="BF3" s="1"/>
      <c r="BG3" s="1"/>
      <c r="BH3" s="1"/>
      <c r="BI3" s="1"/>
      <c r="BJ3" s="1"/>
      <c r="BK3" s="1"/>
      <c r="BL3" s="1"/>
      <c r="BM3" s="1"/>
      <c r="BN3" s="1"/>
      <c r="BO3" s="1"/>
      <c r="BP3" s="1"/>
      <c r="BQ3" s="1"/>
      <c r="BR3" s="1"/>
      <c r="BS3" s="1"/>
    </row>
    <row r="4" spans="1:71" ht="15.75" customHeight="1">
      <c r="A4" s="25">
        <f t="shared" si="0"/>
        <v>4</v>
      </c>
      <c r="B4" s="1"/>
      <c r="C4" s="1"/>
      <c r="D4" s="109"/>
      <c r="E4" s="110">
        <v>43830</v>
      </c>
      <c r="F4" s="111">
        <v>43830</v>
      </c>
      <c r="G4" s="112">
        <f>+E4</f>
        <v>43830</v>
      </c>
      <c r="H4" s="1"/>
      <c r="I4" s="109"/>
      <c r="J4" s="110">
        <v>43830</v>
      </c>
      <c r="K4" s="111">
        <v>43830</v>
      </c>
      <c r="L4" s="112">
        <f>+J4</f>
        <v>43830</v>
      </c>
      <c r="M4" s="1"/>
      <c r="N4" s="109"/>
      <c r="O4" s="110">
        <v>43830</v>
      </c>
      <c r="P4" s="111">
        <v>43830</v>
      </c>
      <c r="Q4" s="112">
        <f>+O4</f>
        <v>43830</v>
      </c>
      <c r="R4" s="1"/>
      <c r="S4" s="109"/>
      <c r="T4" s="110">
        <v>43830</v>
      </c>
      <c r="U4" s="111">
        <v>43830</v>
      </c>
      <c r="V4" s="112">
        <f>+T4</f>
        <v>43830</v>
      </c>
      <c r="W4" s="1"/>
      <c r="X4" s="109"/>
      <c r="Y4" s="110">
        <v>43830</v>
      </c>
      <c r="Z4" s="111">
        <v>43830</v>
      </c>
      <c r="AA4" s="112">
        <f>+Y4</f>
        <v>43830</v>
      </c>
      <c r="AB4" s="1"/>
      <c r="AC4" s="109"/>
      <c r="AD4" s="110">
        <v>43830</v>
      </c>
      <c r="AE4" s="111">
        <v>43830</v>
      </c>
      <c r="AF4" s="112">
        <f>+AD4</f>
        <v>43830</v>
      </c>
      <c r="AG4" s="1"/>
      <c r="AH4" s="109"/>
      <c r="AI4" s="110">
        <v>43830</v>
      </c>
      <c r="AJ4" s="111">
        <v>43830</v>
      </c>
      <c r="AK4" s="112">
        <f>+AI4</f>
        <v>43830</v>
      </c>
      <c r="AL4" s="1"/>
      <c r="AM4" s="109"/>
      <c r="AN4" s="110">
        <v>43830</v>
      </c>
      <c r="AO4" s="111">
        <v>43830</v>
      </c>
      <c r="AP4" s="112">
        <f>+AN4</f>
        <v>43830</v>
      </c>
      <c r="AQ4" s="1"/>
      <c r="AR4" s="109"/>
      <c r="AS4" s="110">
        <v>43830</v>
      </c>
      <c r="AT4" s="111">
        <v>43830</v>
      </c>
      <c r="AU4" s="112">
        <f>+AS4</f>
        <v>43830</v>
      </c>
      <c r="AV4" s="1"/>
      <c r="AW4" s="109"/>
      <c r="AX4" s="110">
        <v>43830</v>
      </c>
      <c r="AY4" s="111">
        <v>43830</v>
      </c>
      <c r="AZ4" s="112">
        <f>+AX4</f>
        <v>43830</v>
      </c>
      <c r="BA4" s="1"/>
      <c r="BB4" s="109"/>
      <c r="BC4" s="110">
        <v>43830</v>
      </c>
      <c r="BD4" s="111">
        <v>43830</v>
      </c>
      <c r="BE4" s="112">
        <f>+BC4</f>
        <v>43830</v>
      </c>
      <c r="BF4" s="1"/>
      <c r="BG4" s="1"/>
      <c r="BH4" s="1"/>
      <c r="BI4" s="1"/>
      <c r="BJ4" s="1"/>
      <c r="BK4" s="1"/>
      <c r="BL4" s="1"/>
      <c r="BM4" s="1"/>
      <c r="BN4" s="1"/>
      <c r="BO4" s="1"/>
      <c r="BP4" s="1"/>
      <c r="BQ4" s="1"/>
      <c r="BR4" s="1"/>
      <c r="BS4" s="1"/>
    </row>
    <row r="5" spans="1:71" ht="15.75" customHeight="1">
      <c r="A5" s="25">
        <f t="shared" si="0"/>
        <v>5</v>
      </c>
      <c r="B5" s="1"/>
      <c r="C5" s="1"/>
      <c r="D5" s="113" t="s">
        <v>86</v>
      </c>
      <c r="E5" s="114" t="s">
        <v>87</v>
      </c>
      <c r="F5" s="115" t="s">
        <v>88</v>
      </c>
      <c r="G5" s="116" t="s">
        <v>89</v>
      </c>
      <c r="H5" s="1"/>
      <c r="I5" s="113" t="s">
        <v>86</v>
      </c>
      <c r="J5" s="114" t="s">
        <v>87</v>
      </c>
      <c r="K5" s="115" t="s">
        <v>88</v>
      </c>
      <c r="L5" s="116" t="s">
        <v>89</v>
      </c>
      <c r="M5" s="1"/>
      <c r="N5" s="113" t="s">
        <v>86</v>
      </c>
      <c r="O5" s="114" t="s">
        <v>87</v>
      </c>
      <c r="P5" s="115" t="s">
        <v>88</v>
      </c>
      <c r="Q5" s="116" t="s">
        <v>89</v>
      </c>
      <c r="R5" s="1"/>
      <c r="S5" s="113" t="s">
        <v>86</v>
      </c>
      <c r="T5" s="114" t="s">
        <v>87</v>
      </c>
      <c r="U5" s="115" t="s">
        <v>88</v>
      </c>
      <c r="V5" s="116" t="s">
        <v>89</v>
      </c>
      <c r="W5" s="1"/>
      <c r="X5" s="113" t="s">
        <v>86</v>
      </c>
      <c r="Y5" s="114" t="s">
        <v>87</v>
      </c>
      <c r="Z5" s="115" t="s">
        <v>88</v>
      </c>
      <c r="AA5" s="116" t="s">
        <v>89</v>
      </c>
      <c r="AB5" s="1"/>
      <c r="AC5" s="113" t="s">
        <v>86</v>
      </c>
      <c r="AD5" s="114" t="s">
        <v>87</v>
      </c>
      <c r="AE5" s="115" t="s">
        <v>88</v>
      </c>
      <c r="AF5" s="116" t="s">
        <v>89</v>
      </c>
      <c r="AG5" s="1"/>
      <c r="AH5" s="113" t="s">
        <v>86</v>
      </c>
      <c r="AI5" s="114" t="s">
        <v>87</v>
      </c>
      <c r="AJ5" s="115" t="s">
        <v>88</v>
      </c>
      <c r="AK5" s="116" t="s">
        <v>89</v>
      </c>
      <c r="AL5" s="1"/>
      <c r="AM5" s="113" t="s">
        <v>86</v>
      </c>
      <c r="AN5" s="114" t="s">
        <v>87</v>
      </c>
      <c r="AO5" s="115" t="s">
        <v>88</v>
      </c>
      <c r="AP5" s="116" t="s">
        <v>89</v>
      </c>
      <c r="AQ5" s="1"/>
      <c r="AR5" s="113" t="s">
        <v>86</v>
      </c>
      <c r="AS5" s="114" t="s">
        <v>87</v>
      </c>
      <c r="AT5" s="115" t="s">
        <v>88</v>
      </c>
      <c r="AU5" s="116" t="s">
        <v>89</v>
      </c>
      <c r="AV5" s="1"/>
      <c r="AW5" s="113" t="s">
        <v>86</v>
      </c>
      <c r="AX5" s="114" t="s">
        <v>87</v>
      </c>
      <c r="AY5" s="115" t="s">
        <v>88</v>
      </c>
      <c r="AZ5" s="116" t="s">
        <v>89</v>
      </c>
      <c r="BA5" s="1"/>
      <c r="BB5" s="113" t="s">
        <v>86</v>
      </c>
      <c r="BC5" s="114" t="s">
        <v>87</v>
      </c>
      <c r="BD5" s="115" t="s">
        <v>88</v>
      </c>
      <c r="BE5" s="116" t="s">
        <v>89</v>
      </c>
      <c r="BF5" s="1"/>
      <c r="BG5" s="1"/>
      <c r="BH5" s="1"/>
      <c r="BI5" s="1"/>
      <c r="BJ5" s="1"/>
      <c r="BK5" s="1"/>
      <c r="BL5" s="1"/>
      <c r="BM5" s="1"/>
      <c r="BN5" s="1"/>
      <c r="BO5" s="1"/>
      <c r="BP5" s="1"/>
      <c r="BQ5" s="1"/>
      <c r="BR5" s="1"/>
      <c r="BS5" s="1"/>
    </row>
    <row r="6" spans="1:71" ht="15.75" customHeight="1">
      <c r="A6" s="25">
        <f t="shared" si="0"/>
        <v>6</v>
      </c>
      <c r="B6" s="1" t="s">
        <v>90</v>
      </c>
      <c r="C6" s="1"/>
      <c r="D6" s="117"/>
      <c r="E6" s="118"/>
      <c r="F6" s="118">
        <f>1776*1.09</f>
        <v>1935.8400000000001</v>
      </c>
      <c r="G6" s="119">
        <f>1.09*1776</f>
        <v>1935.8400000000001</v>
      </c>
      <c r="H6" s="1"/>
      <c r="I6" s="117"/>
      <c r="J6" s="118"/>
      <c r="K6" s="118">
        <v>4950</v>
      </c>
      <c r="L6" s="119">
        <f t="shared" ref="L6:L7" si="1">+K6+J6-I6</f>
        <v>4950</v>
      </c>
      <c r="M6" s="1"/>
      <c r="N6" s="117"/>
      <c r="O6" s="118"/>
      <c r="P6" s="118">
        <v>2867.4</v>
      </c>
      <c r="Q6" s="119">
        <v>2867.4</v>
      </c>
      <c r="R6" s="1"/>
      <c r="S6" s="117"/>
      <c r="T6" s="118"/>
      <c r="U6" s="118">
        <v>2215</v>
      </c>
      <c r="V6" s="119">
        <f t="shared" ref="V6:V7" si="2">+U6+T6-S6</f>
        <v>2215</v>
      </c>
      <c r="W6" s="1"/>
      <c r="X6" s="117"/>
      <c r="Y6" s="118"/>
      <c r="Z6" s="118"/>
      <c r="AA6" s="119">
        <v>281693</v>
      </c>
      <c r="AB6" s="1"/>
      <c r="AC6" s="117"/>
      <c r="AD6" s="118"/>
      <c r="AE6" s="118"/>
      <c r="AF6" s="119">
        <v>1225933</v>
      </c>
      <c r="AG6" s="1"/>
      <c r="AH6" s="117"/>
      <c r="AI6" s="118"/>
      <c r="AJ6" s="118">
        <v>438.42</v>
      </c>
      <c r="AK6" s="119">
        <f t="shared" ref="AK6:AK7" si="3">+AJ6+AI6-AH6</f>
        <v>438.42</v>
      </c>
      <c r="AL6" s="1"/>
      <c r="AM6" s="117"/>
      <c r="AN6" s="118"/>
      <c r="AO6" s="118">
        <v>732.34699999999998</v>
      </c>
      <c r="AP6" s="119">
        <v>6035.8</v>
      </c>
      <c r="AQ6" s="1"/>
      <c r="AR6" s="117"/>
      <c r="AS6" s="118"/>
      <c r="AT6" s="118">
        <v>246.28299999999999</v>
      </c>
      <c r="AU6" s="119">
        <f t="shared" ref="AU6:AU7" si="4">+AT6+AS6-AR6</f>
        <v>246.28299999999999</v>
      </c>
      <c r="AV6" s="1"/>
      <c r="AW6" s="117"/>
      <c r="AX6" s="118"/>
      <c r="AY6" s="118">
        <f>397809+410786+358756+399655</f>
        <v>1567006</v>
      </c>
      <c r="AZ6" s="119">
        <f t="shared" ref="AZ6:AZ7" si="5">+AY6+AX6-AW6</f>
        <v>1567006</v>
      </c>
      <c r="BA6" s="1"/>
      <c r="BB6" s="117"/>
      <c r="BC6" s="118"/>
      <c r="BD6" s="118">
        <v>6489</v>
      </c>
      <c r="BE6" s="119">
        <f t="shared" ref="BE6:BE7" si="6">+BD6+BC6-BB6</f>
        <v>6489</v>
      </c>
      <c r="BF6" s="1"/>
      <c r="BG6" s="3"/>
      <c r="BH6" s="1"/>
      <c r="BI6" s="1"/>
      <c r="BJ6" s="1"/>
      <c r="BK6" s="1"/>
      <c r="BL6" s="1"/>
      <c r="BM6" s="1"/>
      <c r="BN6" s="1"/>
      <c r="BO6" s="1"/>
      <c r="BP6" s="1"/>
      <c r="BQ6" s="1"/>
      <c r="BR6" s="1"/>
      <c r="BS6" s="1"/>
    </row>
    <row r="7" spans="1:71" ht="15.75" customHeight="1">
      <c r="A7" s="25">
        <f t="shared" si="0"/>
        <v>7</v>
      </c>
      <c r="B7" s="19" t="s">
        <v>91</v>
      </c>
      <c r="C7" s="19"/>
      <c r="D7" s="120"/>
      <c r="E7" s="121"/>
      <c r="F7" s="121">
        <f>1.09*-39.8</f>
        <v>-43.381999999999998</v>
      </c>
      <c r="G7" s="122">
        <f>F7</f>
        <v>-43.381999999999998</v>
      </c>
      <c r="H7" s="1"/>
      <c r="I7" s="120"/>
      <c r="J7" s="121"/>
      <c r="K7" s="121">
        <v>1019</v>
      </c>
      <c r="L7" s="122">
        <f t="shared" si="1"/>
        <v>1019</v>
      </c>
      <c r="M7" s="1"/>
      <c r="N7" s="120"/>
      <c r="O7" s="121"/>
      <c r="P7" s="121">
        <v>334</v>
      </c>
      <c r="Q7" s="122">
        <f>+P7+O7-N7</f>
        <v>334</v>
      </c>
      <c r="R7" s="1"/>
      <c r="S7" s="120"/>
      <c r="T7" s="121"/>
      <c r="U7" s="121">
        <v>202.65</v>
      </c>
      <c r="V7" s="122">
        <f t="shared" si="2"/>
        <v>202.65</v>
      </c>
      <c r="W7" s="1"/>
      <c r="X7" s="120"/>
      <c r="Y7" s="121"/>
      <c r="Z7" s="121"/>
      <c r="AA7" s="122">
        <v>28738</v>
      </c>
      <c r="AB7" s="1"/>
      <c r="AC7" s="120"/>
      <c r="AD7" s="121"/>
      <c r="AE7" s="121"/>
      <c r="AF7" s="122">
        <v>221614</v>
      </c>
      <c r="AG7" s="1"/>
      <c r="AH7" s="120"/>
      <c r="AI7" s="121"/>
      <c r="AJ7" s="121">
        <v>107.19</v>
      </c>
      <c r="AK7" s="122">
        <f t="shared" si="3"/>
        <v>107.19</v>
      </c>
      <c r="AL7" s="1"/>
      <c r="AM7" s="120"/>
      <c r="AN7" s="121"/>
      <c r="AO7" s="121">
        <v>63.383000000000003</v>
      </c>
      <c r="AP7" s="122">
        <v>514.79999999999995</v>
      </c>
      <c r="AQ7" s="1"/>
      <c r="AR7" s="120"/>
      <c r="AS7" s="121"/>
      <c r="AT7" s="121">
        <v>109.03700000000001</v>
      </c>
      <c r="AU7" s="122">
        <f t="shared" si="4"/>
        <v>109.03700000000001</v>
      </c>
      <c r="AV7" s="1"/>
      <c r="AW7" s="120"/>
      <c r="AX7" s="121"/>
      <c r="AY7" s="121">
        <f>113604+116857+74697+67633</f>
        <v>372791</v>
      </c>
      <c r="AZ7" s="122">
        <f t="shared" si="5"/>
        <v>372791</v>
      </c>
      <c r="BA7" s="1"/>
      <c r="BB7" s="120"/>
      <c r="BC7" s="121"/>
      <c r="BD7" s="121">
        <v>1503</v>
      </c>
      <c r="BE7" s="122">
        <f t="shared" si="6"/>
        <v>1503</v>
      </c>
      <c r="BF7" s="1"/>
      <c r="BG7" s="1"/>
      <c r="BH7" s="1"/>
      <c r="BI7" s="1"/>
      <c r="BJ7" s="1"/>
      <c r="BK7" s="1"/>
      <c r="BL7" s="1"/>
      <c r="BM7" s="1"/>
      <c r="BN7" s="1"/>
      <c r="BO7" s="1"/>
      <c r="BP7" s="1"/>
      <c r="BQ7" s="1"/>
      <c r="BR7" s="1"/>
      <c r="BS7" s="1"/>
    </row>
    <row r="8" spans="1:71" ht="15.75" customHeight="1">
      <c r="A8" s="25">
        <f t="shared" si="0"/>
        <v>8</v>
      </c>
      <c r="B8" s="1"/>
      <c r="C8" s="1"/>
      <c r="D8" s="117"/>
      <c r="E8" s="118"/>
      <c r="F8" s="118"/>
      <c r="G8" s="119"/>
      <c r="H8" s="1"/>
      <c r="I8" s="117"/>
      <c r="J8" s="118"/>
      <c r="K8" s="118"/>
      <c r="L8" s="119"/>
      <c r="M8" s="1"/>
      <c r="N8" s="117"/>
      <c r="O8" s="118"/>
      <c r="P8" s="118"/>
      <c r="Q8" s="119"/>
      <c r="R8" s="1"/>
      <c r="S8" s="117"/>
      <c r="T8" s="118"/>
      <c r="U8" s="118"/>
      <c r="V8" s="119"/>
      <c r="W8" s="1"/>
      <c r="X8" s="117"/>
      <c r="Y8" s="118"/>
      <c r="Z8" s="118"/>
      <c r="AA8" s="119"/>
      <c r="AB8" s="1"/>
      <c r="AC8" s="117"/>
      <c r="AD8" s="118"/>
      <c r="AE8" s="118"/>
      <c r="AF8" s="119"/>
      <c r="AG8" s="1"/>
      <c r="AH8" s="117"/>
      <c r="AI8" s="118"/>
      <c r="AJ8" s="118"/>
      <c r="AK8" s="119"/>
      <c r="AL8" s="1"/>
      <c r="AM8" s="117"/>
      <c r="AN8" s="118"/>
      <c r="AO8" s="118"/>
      <c r="AP8" s="119"/>
      <c r="AQ8" s="1"/>
      <c r="AR8" s="117"/>
      <c r="AS8" s="118"/>
      <c r="AT8" s="118"/>
      <c r="AU8" s="119"/>
      <c r="AV8" s="1"/>
      <c r="AW8" s="117"/>
      <c r="AX8" s="118"/>
      <c r="AY8" s="118"/>
      <c r="AZ8" s="119"/>
      <c r="BA8" s="1"/>
      <c r="BB8" s="117"/>
      <c r="BC8" s="118"/>
      <c r="BD8" s="118"/>
      <c r="BE8" s="119"/>
      <c r="BF8" s="1"/>
      <c r="BG8" s="3"/>
      <c r="BH8" s="1"/>
      <c r="BI8" s="1"/>
      <c r="BJ8" s="1"/>
      <c r="BK8" s="1"/>
      <c r="BL8" s="1"/>
      <c r="BM8" s="1"/>
      <c r="BN8" s="1"/>
      <c r="BO8" s="1"/>
      <c r="BP8" s="1"/>
      <c r="BQ8" s="1"/>
      <c r="BR8" s="1"/>
      <c r="BS8" s="1"/>
    </row>
    <row r="9" spans="1:71" ht="15.75" customHeight="1">
      <c r="A9" s="25">
        <f t="shared" si="0"/>
        <v>9</v>
      </c>
      <c r="B9" s="1" t="s">
        <v>92</v>
      </c>
      <c r="C9" s="1"/>
      <c r="D9" s="120"/>
      <c r="E9" s="121"/>
      <c r="F9" s="121"/>
      <c r="G9" s="122">
        <f>1.09*125.1</f>
        <v>136.35900000000001</v>
      </c>
      <c r="H9" s="1"/>
      <c r="I9" s="120"/>
      <c r="J9" s="121"/>
      <c r="K9" s="121">
        <v>996</v>
      </c>
      <c r="L9" s="122">
        <f t="shared" ref="L9:L11" si="7">+K9+J9-I9</f>
        <v>996</v>
      </c>
      <c r="M9" s="1"/>
      <c r="N9" s="120"/>
      <c r="O9" s="121"/>
      <c r="P9" s="121"/>
      <c r="Q9" s="122">
        <v>363.1</v>
      </c>
      <c r="R9" s="1"/>
      <c r="S9" s="120"/>
      <c r="T9" s="121"/>
      <c r="U9" s="121">
        <v>217</v>
      </c>
      <c r="V9" s="122">
        <f t="shared" ref="V9:V11" si="8">+U9+T9-S9</f>
        <v>217</v>
      </c>
      <c r="W9" s="1"/>
      <c r="X9" s="120"/>
      <c r="Y9" s="121"/>
      <c r="Z9" s="121"/>
      <c r="AA9" s="122">
        <v>40581</v>
      </c>
      <c r="AB9" s="1"/>
      <c r="AC9" s="120"/>
      <c r="AD9" s="121"/>
      <c r="AE9" s="121"/>
      <c r="AF9" s="122">
        <v>292602</v>
      </c>
      <c r="AG9" s="1"/>
      <c r="AH9" s="120"/>
      <c r="AI9" s="121"/>
      <c r="AJ9" s="121">
        <v>117.6</v>
      </c>
      <c r="AK9" s="122">
        <f t="shared" ref="AK9:AK11" si="9">+AJ9+AI9-AH9</f>
        <v>117.6</v>
      </c>
      <c r="AL9" s="1"/>
      <c r="AM9" s="120"/>
      <c r="AN9" s="121"/>
      <c r="AO9" s="121">
        <v>84.045000000000002</v>
      </c>
      <c r="AP9" s="122">
        <v>707.5</v>
      </c>
      <c r="AQ9" s="1"/>
      <c r="AR9" s="120"/>
      <c r="AS9" s="121"/>
      <c r="AT9" s="121">
        <v>96.350999999999999</v>
      </c>
      <c r="AU9" s="122">
        <f t="shared" ref="AU9:AU11" si="10">+AT9+AS9-AR9</f>
        <v>96.350999999999999</v>
      </c>
      <c r="AV9" s="1"/>
      <c r="AW9" s="120"/>
      <c r="AX9" s="121"/>
      <c r="AY9" s="121">
        <f>112573+79514+129407+128913</f>
        <v>450407</v>
      </c>
      <c r="AZ9" s="122">
        <f t="shared" ref="AZ9:AZ11" si="11">+AY9+AX9-AW9</f>
        <v>450407</v>
      </c>
      <c r="BA9" s="1"/>
      <c r="BB9" s="120"/>
      <c r="BC9" s="121"/>
      <c r="BD9" s="121">
        <v>1607</v>
      </c>
      <c r="BE9" s="122">
        <f t="shared" ref="BE9:BE11" si="12">+BD9+BC9-BB9</f>
        <v>1607</v>
      </c>
      <c r="BF9" s="1"/>
      <c r="BG9" s="1"/>
      <c r="BH9" s="1"/>
      <c r="BI9" s="1"/>
      <c r="BJ9" s="1"/>
      <c r="BK9" s="1"/>
      <c r="BL9" s="1"/>
      <c r="BM9" s="1"/>
      <c r="BN9" s="1"/>
      <c r="BO9" s="1"/>
      <c r="BP9" s="1"/>
      <c r="BQ9" s="1"/>
      <c r="BR9" s="1"/>
      <c r="BS9" s="1"/>
    </row>
    <row r="10" spans="1:71" ht="15.75" customHeight="1">
      <c r="A10" s="25">
        <f t="shared" si="0"/>
        <v>10</v>
      </c>
      <c r="B10" s="19" t="s">
        <v>93</v>
      </c>
      <c r="C10" s="19"/>
      <c r="D10" s="120"/>
      <c r="E10" s="121"/>
      <c r="F10" s="121"/>
      <c r="G10" s="122">
        <f>1.09*49.231</f>
        <v>53.661790000000003</v>
      </c>
      <c r="H10" s="1"/>
      <c r="I10" s="123"/>
      <c r="J10" s="23"/>
      <c r="K10" s="23">
        <v>2</v>
      </c>
      <c r="L10" s="122">
        <f t="shared" si="7"/>
        <v>2</v>
      </c>
      <c r="M10" s="1"/>
      <c r="N10" s="120"/>
      <c r="O10" s="121"/>
      <c r="P10" s="121"/>
      <c r="Q10" s="122"/>
      <c r="R10" s="1"/>
      <c r="S10" s="120"/>
      <c r="T10" s="121"/>
      <c r="U10" s="121"/>
      <c r="V10" s="122">
        <f t="shared" si="8"/>
        <v>0</v>
      </c>
      <c r="W10" s="1"/>
      <c r="X10" s="123"/>
      <c r="Y10" s="121"/>
      <c r="Z10" s="23"/>
      <c r="AA10" s="122">
        <f t="shared" ref="AA10:AA11" si="13">+Z10+Y10-X10</f>
        <v>0</v>
      </c>
      <c r="AB10" s="1"/>
      <c r="AC10" s="120"/>
      <c r="AD10" s="121"/>
      <c r="AE10" s="121"/>
      <c r="AF10" s="122">
        <f t="shared" ref="AF10:AF11" si="14">+AE10+AD10-AC10</f>
        <v>0</v>
      </c>
      <c r="AG10" s="1"/>
      <c r="AH10" s="120"/>
      <c r="AI10" s="23"/>
      <c r="AJ10" s="23"/>
      <c r="AK10" s="122">
        <f t="shared" si="9"/>
        <v>0</v>
      </c>
      <c r="AL10" s="1"/>
      <c r="AM10" s="120"/>
      <c r="AN10" s="121"/>
      <c r="AO10" s="121"/>
      <c r="AP10" s="122">
        <v>10</v>
      </c>
      <c r="AQ10" s="1"/>
      <c r="AR10" s="120"/>
      <c r="AS10" s="23"/>
      <c r="AT10" s="23"/>
      <c r="AU10" s="122">
        <f t="shared" si="10"/>
        <v>0</v>
      </c>
      <c r="AV10" s="1"/>
      <c r="AW10" s="123"/>
      <c r="AX10" s="23"/>
      <c r="AY10" s="23"/>
      <c r="AZ10" s="122">
        <f t="shared" si="11"/>
        <v>0</v>
      </c>
      <c r="BA10" s="1"/>
      <c r="BB10" s="120"/>
      <c r="BC10" s="121"/>
      <c r="BD10" s="23">
        <v>328</v>
      </c>
      <c r="BE10" s="122">
        <f t="shared" si="12"/>
        <v>328</v>
      </c>
      <c r="BF10" s="1"/>
      <c r="BG10" s="1"/>
      <c r="BH10" s="1"/>
      <c r="BI10" s="1"/>
      <c r="BJ10" s="1"/>
      <c r="BK10" s="1"/>
      <c r="BL10" s="1"/>
      <c r="BM10" s="1"/>
      <c r="BN10" s="1"/>
      <c r="BO10" s="1"/>
      <c r="BP10" s="1"/>
      <c r="BQ10" s="1"/>
      <c r="BR10" s="1"/>
      <c r="BS10" s="1"/>
    </row>
    <row r="11" spans="1:71" ht="15.75" customHeight="1">
      <c r="A11" s="25">
        <f t="shared" si="0"/>
        <v>11</v>
      </c>
      <c r="B11" s="19" t="s">
        <v>94</v>
      </c>
      <c r="C11" s="19"/>
      <c r="D11" s="120"/>
      <c r="E11" s="121"/>
      <c r="F11" s="121"/>
      <c r="G11" s="122">
        <f>(99.6+484.8)*1.09</f>
        <v>636.99599999999998</v>
      </c>
      <c r="H11" s="1"/>
      <c r="I11" s="120"/>
      <c r="J11" s="121"/>
      <c r="K11" s="121">
        <v>991</v>
      </c>
      <c r="L11" s="122">
        <f t="shared" si="7"/>
        <v>991</v>
      </c>
      <c r="M11" s="1"/>
      <c r="N11" s="120"/>
      <c r="O11" s="121"/>
      <c r="P11" s="121"/>
      <c r="Q11" s="122">
        <v>46.7</v>
      </c>
      <c r="R11" s="1"/>
      <c r="S11" s="120"/>
      <c r="T11" s="121"/>
      <c r="U11" s="121">
        <v>107.575</v>
      </c>
      <c r="V11" s="122">
        <f t="shared" si="8"/>
        <v>107.575</v>
      </c>
      <c r="W11" s="1"/>
      <c r="X11" s="120"/>
      <c r="Y11" s="121"/>
      <c r="Z11" s="121"/>
      <c r="AA11" s="122">
        <f t="shared" si="13"/>
        <v>0</v>
      </c>
      <c r="AB11" s="1"/>
      <c r="AC11" s="120"/>
      <c r="AD11" s="121"/>
      <c r="AE11" s="23"/>
      <c r="AF11" s="122">
        <f t="shared" si="14"/>
        <v>0</v>
      </c>
      <c r="AG11" s="1"/>
      <c r="AH11" s="120"/>
      <c r="AI11" s="121"/>
      <c r="AJ11" s="121">
        <v>22.83</v>
      </c>
      <c r="AK11" s="122">
        <f t="shared" si="9"/>
        <v>22.83</v>
      </c>
      <c r="AL11" s="1"/>
      <c r="AM11" s="120"/>
      <c r="AN11" s="121"/>
      <c r="AO11" s="121"/>
      <c r="AP11" s="122">
        <v>178</v>
      </c>
      <c r="AQ11" s="1"/>
      <c r="AR11" s="120"/>
      <c r="AS11" s="121"/>
      <c r="AT11" s="121">
        <f>4261+4606+4759+4334+2184+2340+2418+2521</f>
        <v>27423</v>
      </c>
      <c r="AU11" s="122">
        <f t="shared" si="10"/>
        <v>27423</v>
      </c>
      <c r="AV11" s="1"/>
      <c r="AW11" s="120"/>
      <c r="AX11" s="121"/>
      <c r="AY11" s="121">
        <f>12747+12974+11982+6863</f>
        <v>44566</v>
      </c>
      <c r="AZ11" s="122">
        <f t="shared" si="11"/>
        <v>44566</v>
      </c>
      <c r="BA11" s="1"/>
      <c r="BB11" s="123"/>
      <c r="BC11" s="23"/>
      <c r="BD11" s="23"/>
      <c r="BE11" s="122">
        <f t="shared" si="12"/>
        <v>0</v>
      </c>
      <c r="BF11" s="1"/>
      <c r="BG11" s="1"/>
      <c r="BH11" s="1"/>
      <c r="BI11" s="1"/>
      <c r="BJ11" s="1"/>
      <c r="BK11" s="1"/>
      <c r="BL11" s="1"/>
      <c r="BM11" s="1"/>
      <c r="BN11" s="1"/>
      <c r="BO11" s="1"/>
      <c r="BP11" s="1"/>
      <c r="BQ11" s="1"/>
      <c r="BR11" s="1"/>
      <c r="BS11" s="1"/>
    </row>
    <row r="12" spans="1:71" ht="15.75" customHeight="1">
      <c r="A12" s="25">
        <f t="shared" si="0"/>
        <v>12</v>
      </c>
      <c r="B12" s="58" t="s">
        <v>95</v>
      </c>
      <c r="C12" s="124"/>
      <c r="D12" s="125">
        <f t="shared" ref="D12:F12" si="15">+D9+D10+D11</f>
        <v>0</v>
      </c>
      <c r="E12" s="126">
        <f t="shared" si="15"/>
        <v>0</v>
      </c>
      <c r="F12" s="126">
        <f t="shared" si="15"/>
        <v>0</v>
      </c>
      <c r="G12" s="127">
        <f>1.09*709.5</f>
        <v>773.35500000000002</v>
      </c>
      <c r="H12" s="1"/>
      <c r="I12" s="125">
        <f t="shared" ref="I12:L12" si="16">SUM(I9:I11)</f>
        <v>0</v>
      </c>
      <c r="J12" s="126">
        <f t="shared" si="16"/>
        <v>0</v>
      </c>
      <c r="K12" s="126">
        <f t="shared" si="16"/>
        <v>1989</v>
      </c>
      <c r="L12" s="127">
        <f t="shared" si="16"/>
        <v>1989</v>
      </c>
      <c r="M12" s="1"/>
      <c r="N12" s="125">
        <f t="shared" ref="N12:P12" si="17">SUM(N9:N11)</f>
        <v>0</v>
      </c>
      <c r="O12" s="126">
        <f t="shared" si="17"/>
        <v>0</v>
      </c>
      <c r="P12" s="126">
        <f t="shared" si="17"/>
        <v>0</v>
      </c>
      <c r="Q12" s="127">
        <v>588.29999999999995</v>
      </c>
      <c r="R12" s="1"/>
      <c r="S12" s="125">
        <f t="shared" ref="S12:T12" si="18">SUM(S9:S11)</f>
        <v>0</v>
      </c>
      <c r="T12" s="126">
        <f t="shared" si="18"/>
        <v>0</v>
      </c>
      <c r="U12" s="126">
        <v>326.17399999999998</v>
      </c>
      <c r="V12" s="127">
        <f>SUM(V9:V11)</f>
        <v>324.57499999999999</v>
      </c>
      <c r="W12" s="1"/>
      <c r="X12" s="125">
        <f t="shared" ref="X12:AA12" si="19">SUM(X9:X11)</f>
        <v>0</v>
      </c>
      <c r="Y12" s="126">
        <f t="shared" si="19"/>
        <v>0</v>
      </c>
      <c r="Z12" s="126">
        <f t="shared" si="19"/>
        <v>0</v>
      </c>
      <c r="AA12" s="127">
        <f t="shared" si="19"/>
        <v>40581</v>
      </c>
      <c r="AB12" s="1"/>
      <c r="AC12" s="125">
        <f t="shared" ref="AC12:AF12" si="20">SUM(AC9:AC11)</f>
        <v>0</v>
      </c>
      <c r="AD12" s="126">
        <f t="shared" si="20"/>
        <v>0</v>
      </c>
      <c r="AE12" s="126">
        <f t="shared" si="20"/>
        <v>0</v>
      </c>
      <c r="AF12" s="127">
        <f t="shared" si="20"/>
        <v>292602</v>
      </c>
      <c r="AG12" s="1"/>
      <c r="AH12" s="125">
        <f t="shared" ref="AH12:AI12" si="21">SUM(AH9:AH11)</f>
        <v>0</v>
      </c>
      <c r="AI12" s="126">
        <f t="shared" si="21"/>
        <v>0</v>
      </c>
      <c r="AJ12" s="126">
        <v>148.17400000000001</v>
      </c>
      <c r="AK12" s="127">
        <f>SUM(AK9:AK11)</f>
        <v>140.43</v>
      </c>
      <c r="AL12" s="1"/>
      <c r="AM12" s="125">
        <f t="shared" ref="AM12:AN12" si="22">SUM(AM9:AM11)</f>
        <v>0</v>
      </c>
      <c r="AN12" s="126">
        <f t="shared" si="22"/>
        <v>0</v>
      </c>
      <c r="AO12" s="126">
        <v>105.41500000000001</v>
      </c>
      <c r="AP12" s="127">
        <f>SUM(AP9:AP11)</f>
        <v>895.5</v>
      </c>
      <c r="AQ12" s="1"/>
      <c r="AR12" s="125">
        <f t="shared" ref="AR12:AS12" si="23">SUM(AR9:AR11)</f>
        <v>0</v>
      </c>
      <c r="AS12" s="126">
        <f t="shared" si="23"/>
        <v>0</v>
      </c>
      <c r="AT12" s="126">
        <v>102.64100000000001</v>
      </c>
      <c r="AU12" s="127">
        <f>SUM(AU9:AU11)</f>
        <v>27519.350999999999</v>
      </c>
      <c r="AV12" s="1"/>
      <c r="AW12" s="125">
        <f t="shared" ref="AW12:AZ12" si="24">SUM(AW9:AW11)</f>
        <v>0</v>
      </c>
      <c r="AX12" s="126">
        <f t="shared" si="24"/>
        <v>0</v>
      </c>
      <c r="AY12" s="126">
        <f t="shared" si="24"/>
        <v>494973</v>
      </c>
      <c r="AZ12" s="127">
        <f t="shared" si="24"/>
        <v>494973</v>
      </c>
      <c r="BA12" s="1"/>
      <c r="BB12" s="125">
        <f t="shared" ref="BB12:BE12" si="25">SUM(BB9:BB11)</f>
        <v>0</v>
      </c>
      <c r="BC12" s="126">
        <f t="shared" si="25"/>
        <v>0</v>
      </c>
      <c r="BD12" s="126">
        <f t="shared" si="25"/>
        <v>1935</v>
      </c>
      <c r="BE12" s="127">
        <f t="shared" si="25"/>
        <v>1935</v>
      </c>
      <c r="BF12" s="1"/>
      <c r="BG12" s="1"/>
      <c r="BH12" s="1"/>
      <c r="BI12" s="1"/>
      <c r="BJ12" s="1"/>
      <c r="BK12" s="1"/>
      <c r="BL12" s="1"/>
      <c r="BM12" s="1"/>
      <c r="BN12" s="1"/>
      <c r="BO12" s="1"/>
      <c r="BP12" s="1"/>
      <c r="BQ12" s="1"/>
      <c r="BR12" s="1"/>
      <c r="BS12" s="1"/>
    </row>
    <row r="13" spans="1:71" ht="15.75" customHeight="1">
      <c r="A13" s="25">
        <f t="shared" si="0"/>
        <v>13</v>
      </c>
      <c r="B13" s="19"/>
      <c r="C13" s="19"/>
      <c r="D13" s="120"/>
      <c r="E13" s="121"/>
      <c r="F13" s="121"/>
      <c r="G13" s="122"/>
      <c r="H13" s="1"/>
      <c r="I13" s="120"/>
      <c r="J13" s="121"/>
      <c r="K13" s="121"/>
      <c r="L13" s="122"/>
      <c r="M13" s="1"/>
      <c r="N13" s="120"/>
      <c r="O13" s="121"/>
      <c r="P13" s="121"/>
      <c r="Q13" s="122"/>
      <c r="R13" s="1"/>
      <c r="S13" s="120"/>
      <c r="T13" s="121"/>
      <c r="U13" s="121"/>
      <c r="V13" s="122"/>
      <c r="W13" s="1"/>
      <c r="X13" s="120"/>
      <c r="Y13" s="121"/>
      <c r="Z13" s="121"/>
      <c r="AA13" s="122"/>
      <c r="AB13" s="1"/>
      <c r="AC13" s="120"/>
      <c r="AD13" s="121"/>
      <c r="AE13" s="121"/>
      <c r="AF13" s="122"/>
      <c r="AG13" s="1"/>
      <c r="AH13" s="120"/>
      <c r="AI13" s="121"/>
      <c r="AJ13" s="121"/>
      <c r="AK13" s="122"/>
      <c r="AL13" s="1"/>
      <c r="AM13" s="120"/>
      <c r="AN13" s="121"/>
      <c r="AO13" s="121"/>
      <c r="AP13" s="122"/>
      <c r="AQ13" s="1"/>
      <c r="AR13" s="120"/>
      <c r="AS13" s="121"/>
      <c r="AT13" s="121"/>
      <c r="AU13" s="122"/>
      <c r="AV13" s="1"/>
      <c r="AW13" s="120"/>
      <c r="AX13" s="121"/>
      <c r="AY13" s="121"/>
      <c r="AZ13" s="122"/>
      <c r="BA13" s="1"/>
      <c r="BB13" s="120"/>
      <c r="BC13" s="121"/>
      <c r="BD13" s="121"/>
      <c r="BE13" s="122"/>
      <c r="BF13" s="1"/>
      <c r="BG13" s="1"/>
      <c r="BH13" s="1"/>
      <c r="BI13" s="1"/>
      <c r="BJ13" s="1"/>
      <c r="BK13" s="1"/>
      <c r="BL13" s="1"/>
      <c r="BM13" s="1"/>
      <c r="BN13" s="1"/>
      <c r="BO13" s="1"/>
      <c r="BP13" s="1"/>
      <c r="BQ13" s="1"/>
      <c r="BR13" s="1"/>
      <c r="BS13" s="1"/>
    </row>
    <row r="14" spans="1:71" ht="15.75" customHeight="1">
      <c r="A14" s="25">
        <f t="shared" si="0"/>
        <v>14</v>
      </c>
      <c r="B14" s="1" t="s">
        <v>96</v>
      </c>
      <c r="C14" s="1"/>
      <c r="D14" s="128"/>
      <c r="E14" s="129"/>
      <c r="F14" s="129"/>
      <c r="G14" s="130">
        <v>0.1268</v>
      </c>
      <c r="H14" s="1"/>
      <c r="I14" s="128"/>
      <c r="J14" s="129"/>
      <c r="K14" s="129"/>
      <c r="L14" s="130">
        <v>0.18</v>
      </c>
      <c r="M14" s="33"/>
      <c r="N14" s="128"/>
      <c r="O14" s="129"/>
      <c r="P14" s="129"/>
      <c r="Q14" s="131">
        <v>0.19980000000000001</v>
      </c>
      <c r="R14" s="1"/>
      <c r="S14" s="128"/>
      <c r="T14" s="129"/>
      <c r="U14" s="129"/>
      <c r="V14" s="130">
        <v>0.21759999999999999</v>
      </c>
      <c r="W14" s="1"/>
      <c r="X14" s="128"/>
      <c r="Y14" s="129"/>
      <c r="Z14" s="129"/>
      <c r="AA14" s="130">
        <v>0.19800000000000001</v>
      </c>
      <c r="AB14" s="1"/>
      <c r="AC14" s="128"/>
      <c r="AD14" s="129"/>
      <c r="AE14" s="129"/>
      <c r="AF14" s="131">
        <v>0.28410000000000002</v>
      </c>
      <c r="AG14" s="1"/>
      <c r="AH14" s="128"/>
      <c r="AI14" s="129"/>
      <c r="AJ14" s="129"/>
      <c r="AK14" s="130">
        <v>0.1933</v>
      </c>
      <c r="AL14" s="1"/>
      <c r="AM14" s="128"/>
      <c r="AN14" s="129"/>
      <c r="AO14" s="129"/>
      <c r="AP14" s="131">
        <f>18609/72497</f>
        <v>0.25668648357863083</v>
      </c>
      <c r="AQ14" s="1"/>
      <c r="AR14" s="128"/>
      <c r="AS14" s="129"/>
      <c r="AT14" s="129"/>
      <c r="AU14" s="130">
        <v>0.25</v>
      </c>
      <c r="AV14" s="1"/>
      <c r="AW14" s="128"/>
      <c r="AX14" s="129"/>
      <c r="AY14" s="129"/>
      <c r="AZ14" s="130">
        <f>39604/153208</f>
        <v>0.25849825074408644</v>
      </c>
      <c r="BA14" s="1"/>
      <c r="BB14" s="128"/>
      <c r="BC14" s="129"/>
      <c r="BD14" s="129"/>
      <c r="BE14" s="132">
        <v>0.19189999999999999</v>
      </c>
      <c r="BF14" s="1"/>
      <c r="BG14" s="1"/>
      <c r="BH14" s="1"/>
      <c r="BI14" s="1"/>
      <c r="BJ14" s="1"/>
      <c r="BK14" s="1"/>
      <c r="BL14" s="1"/>
      <c r="BM14" s="1"/>
      <c r="BN14" s="1"/>
      <c r="BO14" s="1"/>
      <c r="BP14" s="1"/>
      <c r="BQ14" s="1"/>
      <c r="BR14" s="1"/>
      <c r="BS14" s="1"/>
    </row>
    <row r="15" spans="1:71" ht="15.75" customHeight="1">
      <c r="A15" s="25">
        <f t="shared" si="0"/>
        <v>15</v>
      </c>
      <c r="B15" s="1"/>
      <c r="C15" s="1"/>
      <c r="D15" s="48"/>
      <c r="E15" s="1"/>
      <c r="F15" s="133"/>
      <c r="G15" s="134"/>
      <c r="H15" s="1"/>
      <c r="I15" s="48"/>
      <c r="J15" s="1"/>
      <c r="K15" s="133"/>
      <c r="L15" s="134"/>
      <c r="M15" s="1"/>
      <c r="N15" s="48"/>
      <c r="O15" s="1"/>
      <c r="P15" s="133"/>
      <c r="Q15" s="134"/>
      <c r="R15" s="1"/>
      <c r="S15" s="48"/>
      <c r="T15" s="1"/>
      <c r="U15" s="133"/>
      <c r="V15" s="134"/>
      <c r="W15" s="1"/>
      <c r="X15" s="48"/>
      <c r="Y15" s="1"/>
      <c r="Z15" s="133"/>
      <c r="AA15" s="134"/>
      <c r="AB15" s="1"/>
      <c r="AC15" s="48"/>
      <c r="AD15" s="1"/>
      <c r="AE15" s="133"/>
      <c r="AF15" s="134"/>
      <c r="AG15" s="1"/>
      <c r="AH15" s="48"/>
      <c r="AI15" s="1"/>
      <c r="AJ15" s="133"/>
      <c r="AK15" s="134"/>
      <c r="AL15" s="1"/>
      <c r="AM15" s="48"/>
      <c r="AN15" s="1"/>
      <c r="AO15" s="133"/>
      <c r="AP15" s="134"/>
      <c r="AQ15" s="1"/>
      <c r="AR15" s="48"/>
      <c r="AS15" s="1"/>
      <c r="AT15" s="133"/>
      <c r="AU15" s="134"/>
      <c r="AV15" s="1"/>
      <c r="AW15" s="48"/>
      <c r="AX15" s="1"/>
      <c r="AY15" s="133"/>
      <c r="AZ15" s="134"/>
      <c r="BA15" s="1"/>
      <c r="BB15" s="48"/>
      <c r="BC15" s="1"/>
      <c r="BD15" s="133"/>
      <c r="BE15" s="134"/>
      <c r="BF15" s="1"/>
      <c r="BG15" s="1"/>
      <c r="BH15" s="1"/>
      <c r="BI15" s="1"/>
      <c r="BJ15" s="1"/>
      <c r="BK15" s="1"/>
      <c r="BL15" s="1"/>
      <c r="BM15" s="1"/>
      <c r="BN15" s="1"/>
      <c r="BO15" s="1"/>
      <c r="BP15" s="1"/>
      <c r="BQ15" s="1"/>
      <c r="BR15" s="1"/>
      <c r="BS15" s="1"/>
    </row>
    <row r="16" spans="1:71" ht="15.75" customHeight="1">
      <c r="A16" s="25">
        <f t="shared" si="0"/>
        <v>16</v>
      </c>
      <c r="B16" s="19"/>
      <c r="C16" s="19"/>
      <c r="D16" s="368" t="s">
        <v>97</v>
      </c>
      <c r="E16" s="369"/>
      <c r="F16" s="369"/>
      <c r="G16" s="370"/>
      <c r="H16" s="1"/>
      <c r="I16" s="368" t="s">
        <v>97</v>
      </c>
      <c r="J16" s="369"/>
      <c r="K16" s="369"/>
      <c r="L16" s="370"/>
      <c r="M16" s="1"/>
      <c r="N16" s="368" t="s">
        <v>97</v>
      </c>
      <c r="O16" s="369"/>
      <c r="P16" s="369"/>
      <c r="Q16" s="370"/>
      <c r="R16" s="1"/>
      <c r="S16" s="368" t="s">
        <v>97</v>
      </c>
      <c r="T16" s="369"/>
      <c r="U16" s="369"/>
      <c r="V16" s="370"/>
      <c r="W16" s="1"/>
      <c r="X16" s="368" t="s">
        <v>97</v>
      </c>
      <c r="Y16" s="369"/>
      <c r="Z16" s="369"/>
      <c r="AA16" s="370"/>
      <c r="AB16" s="1"/>
      <c r="AC16" s="368" t="s">
        <v>97</v>
      </c>
      <c r="AD16" s="369"/>
      <c r="AE16" s="369"/>
      <c r="AF16" s="370"/>
      <c r="AG16" s="1"/>
      <c r="AH16" s="368" t="s">
        <v>97</v>
      </c>
      <c r="AI16" s="369"/>
      <c r="AJ16" s="369"/>
      <c r="AK16" s="370"/>
      <c r="AL16" s="1"/>
      <c r="AM16" s="368" t="s">
        <v>97</v>
      </c>
      <c r="AN16" s="369"/>
      <c r="AO16" s="369"/>
      <c r="AP16" s="370"/>
      <c r="AQ16" s="1"/>
      <c r="AR16" s="368" t="s">
        <v>97</v>
      </c>
      <c r="AS16" s="369"/>
      <c r="AT16" s="369"/>
      <c r="AU16" s="370"/>
      <c r="AV16" s="1"/>
      <c r="AW16" s="368" t="s">
        <v>97</v>
      </c>
      <c r="AX16" s="369"/>
      <c r="AY16" s="369"/>
      <c r="AZ16" s="370"/>
      <c r="BA16" s="1"/>
      <c r="BB16" s="368" t="s">
        <v>97</v>
      </c>
      <c r="BC16" s="369"/>
      <c r="BD16" s="369"/>
      <c r="BE16" s="370"/>
      <c r="BF16" s="1"/>
      <c r="BG16" s="1"/>
      <c r="BH16" s="1"/>
      <c r="BI16" s="1"/>
      <c r="BJ16" s="1"/>
      <c r="BK16" s="1"/>
      <c r="BL16" s="1"/>
      <c r="BM16" s="1"/>
      <c r="BN16" s="1"/>
      <c r="BO16" s="1"/>
      <c r="BP16" s="1"/>
      <c r="BQ16" s="1"/>
      <c r="BR16" s="1"/>
      <c r="BS16" s="1"/>
    </row>
    <row r="17" spans="1:71" ht="15.75" customHeight="1">
      <c r="A17" s="25">
        <f t="shared" si="0"/>
        <v>17</v>
      </c>
      <c r="B17" s="19" t="s">
        <v>98</v>
      </c>
      <c r="C17" s="19"/>
      <c r="D17" s="135"/>
      <c r="E17" s="136"/>
      <c r="F17" s="136"/>
      <c r="G17" s="137">
        <f>-(1.09*1628.7)</f>
        <v>-1775.2830000000001</v>
      </c>
      <c r="H17" s="1"/>
      <c r="I17" s="135"/>
      <c r="J17" s="136"/>
      <c r="K17" s="136"/>
      <c r="L17" s="137">
        <v>-4708</v>
      </c>
      <c r="M17" s="1"/>
      <c r="N17" s="135"/>
      <c r="O17" s="136"/>
      <c r="P17" s="136"/>
      <c r="Q17" s="137">
        <v>-1284.9000000000001</v>
      </c>
      <c r="R17" s="1"/>
      <c r="S17" s="135"/>
      <c r="T17" s="136"/>
      <c r="U17" s="136"/>
      <c r="V17" s="137">
        <v>-1876</v>
      </c>
      <c r="W17" s="1"/>
      <c r="X17" s="135"/>
      <c r="Y17" s="136"/>
      <c r="Z17" s="136"/>
      <c r="AA17" s="137">
        <v>-1017.2</v>
      </c>
      <c r="AB17" s="1"/>
      <c r="AC17" s="135"/>
      <c r="AD17" s="136"/>
      <c r="AE17" s="136"/>
      <c r="AF17" s="137">
        <v>-6988</v>
      </c>
      <c r="AG17" s="1"/>
      <c r="AH17" s="135"/>
      <c r="AI17" s="136"/>
      <c r="AJ17" s="136"/>
      <c r="AK17" s="137">
        <v>-409.94</v>
      </c>
      <c r="AL17" s="1"/>
      <c r="AM17" s="135"/>
      <c r="AN17" s="136"/>
      <c r="AO17" s="136"/>
      <c r="AP17" s="137">
        <v>-213.851</v>
      </c>
      <c r="AQ17" s="1"/>
      <c r="AR17" s="135"/>
      <c r="AS17" s="136"/>
      <c r="AT17" s="136"/>
      <c r="AU17" s="138">
        <v>-548.27599999999995</v>
      </c>
      <c r="AV17" s="1"/>
      <c r="AW17" s="135"/>
      <c r="AX17" s="136"/>
      <c r="AY17" s="136"/>
      <c r="AZ17" s="138">
        <v>-206333</v>
      </c>
      <c r="BA17" s="1"/>
      <c r="BB17" s="135"/>
      <c r="BC17" s="136"/>
      <c r="BD17" s="136"/>
      <c r="BE17" s="137">
        <v>-5794</v>
      </c>
      <c r="BF17" s="1"/>
      <c r="BG17" s="1"/>
      <c r="BH17" s="1"/>
      <c r="BI17" s="1"/>
      <c r="BJ17" s="1"/>
      <c r="BK17" s="1"/>
      <c r="BL17" s="1"/>
      <c r="BM17" s="1"/>
      <c r="BN17" s="1"/>
      <c r="BO17" s="1"/>
      <c r="BP17" s="1"/>
      <c r="BQ17" s="1"/>
      <c r="BR17" s="1"/>
      <c r="BS17" s="1"/>
    </row>
    <row r="18" spans="1:71" ht="15.75" customHeight="1">
      <c r="A18" s="25">
        <f t="shared" si="0"/>
        <v>18</v>
      </c>
      <c r="B18" s="19" t="s">
        <v>99</v>
      </c>
      <c r="C18" s="19"/>
      <c r="D18" s="135"/>
      <c r="E18" s="136"/>
      <c r="F18" s="136"/>
      <c r="G18" s="139">
        <f>-(0.1*1.09)</f>
        <v>-0.10900000000000001</v>
      </c>
      <c r="H18" s="1"/>
      <c r="I18" s="135"/>
      <c r="J18" s="136"/>
      <c r="K18" s="136"/>
      <c r="L18" s="139">
        <v>-1783.2</v>
      </c>
      <c r="M18" s="1"/>
      <c r="N18" s="135"/>
      <c r="O18" s="136"/>
      <c r="P18" s="136"/>
      <c r="Q18" s="139">
        <v>-699.3</v>
      </c>
      <c r="R18" s="1"/>
      <c r="S18" s="135"/>
      <c r="T18" s="136"/>
      <c r="U18" s="136"/>
      <c r="V18" s="139">
        <v>-220.46100000000001</v>
      </c>
      <c r="W18" s="1"/>
      <c r="X18" s="135"/>
      <c r="Y18" s="136"/>
      <c r="Z18" s="136"/>
      <c r="AA18" s="139">
        <v>0</v>
      </c>
      <c r="AB18" s="1"/>
      <c r="AC18" s="135"/>
      <c r="AD18" s="136"/>
      <c r="AE18" s="136"/>
      <c r="AF18" s="139">
        <v>-1974</v>
      </c>
      <c r="AG18" s="1"/>
      <c r="AH18" s="135"/>
      <c r="AI18" s="136"/>
      <c r="AJ18" s="136"/>
      <c r="AK18" s="139">
        <v>0</v>
      </c>
      <c r="AL18" s="1"/>
      <c r="AM18" s="135"/>
      <c r="AN18" s="136"/>
      <c r="AO18" s="136"/>
      <c r="AP18" s="140"/>
      <c r="AQ18" s="1"/>
      <c r="AR18" s="135"/>
      <c r="AS18" s="136"/>
      <c r="AT18" s="136"/>
      <c r="AU18" s="139">
        <f>-(7.6+4.8+4.8+5.5)</f>
        <v>-22.7</v>
      </c>
      <c r="AV18" s="1"/>
      <c r="AW18" s="135"/>
      <c r="AX18" s="136"/>
      <c r="AY18" s="136"/>
      <c r="AZ18" s="140">
        <v>-297167</v>
      </c>
      <c r="BA18" s="1"/>
      <c r="BB18" s="135"/>
      <c r="BC18" s="136"/>
      <c r="BD18" s="136"/>
      <c r="BE18" s="139"/>
      <c r="BF18" s="1"/>
      <c r="BG18" s="1"/>
      <c r="BH18" s="1"/>
      <c r="BI18" s="1"/>
      <c r="BJ18" s="1"/>
      <c r="BK18" s="1"/>
      <c r="BL18" s="1"/>
      <c r="BM18" s="1"/>
      <c r="BN18" s="1"/>
      <c r="BO18" s="1"/>
      <c r="BP18" s="1"/>
      <c r="BQ18" s="1"/>
      <c r="BR18" s="1"/>
      <c r="BS18" s="1"/>
    </row>
    <row r="19" spans="1:71" ht="15.75" customHeight="1">
      <c r="A19" s="25">
        <f t="shared" si="0"/>
        <v>19</v>
      </c>
      <c r="B19" s="19" t="s">
        <v>100</v>
      </c>
      <c r="C19" s="19"/>
      <c r="D19" s="135"/>
      <c r="E19" s="136"/>
      <c r="F19" s="136"/>
      <c r="G19" s="139"/>
      <c r="H19" s="1"/>
      <c r="I19" s="135"/>
      <c r="J19" s="136"/>
      <c r="K19" s="136"/>
      <c r="L19" s="139">
        <v>0</v>
      </c>
      <c r="M19" s="1"/>
      <c r="N19" s="135"/>
      <c r="O19" s="136"/>
      <c r="P19" s="136"/>
      <c r="Q19" s="139">
        <v>0</v>
      </c>
      <c r="R19" s="1"/>
      <c r="S19" s="135"/>
      <c r="T19" s="136"/>
      <c r="U19" s="136"/>
      <c r="V19" s="139">
        <v>-1169</v>
      </c>
      <c r="W19" s="1"/>
      <c r="X19" s="135"/>
      <c r="Y19" s="136"/>
      <c r="Z19" s="136"/>
      <c r="AA19" s="139">
        <v>0</v>
      </c>
      <c r="AB19" s="1"/>
      <c r="AC19" s="135"/>
      <c r="AD19" s="136"/>
      <c r="AE19" s="136"/>
      <c r="AF19" s="139"/>
      <c r="AG19" s="1"/>
      <c r="AH19" s="135"/>
      <c r="AI19" s="136"/>
      <c r="AJ19" s="136"/>
      <c r="AK19" s="139">
        <v>0</v>
      </c>
      <c r="AL19" s="1"/>
      <c r="AM19" s="135"/>
      <c r="AN19" s="136"/>
      <c r="AO19" s="136"/>
      <c r="AP19" s="139"/>
      <c r="AQ19" s="1"/>
      <c r="AR19" s="135"/>
      <c r="AS19" s="136"/>
      <c r="AT19" s="136"/>
      <c r="AU19" s="139"/>
      <c r="AV19" s="1"/>
      <c r="AW19" s="135"/>
      <c r="AX19" s="136"/>
      <c r="AY19" s="136"/>
      <c r="AZ19" s="139"/>
      <c r="BA19" s="1"/>
      <c r="BB19" s="135"/>
      <c r="BC19" s="136"/>
      <c r="BD19" s="136"/>
      <c r="BE19" s="139"/>
      <c r="BF19" s="1"/>
      <c r="BG19" s="1"/>
      <c r="BH19" s="1"/>
      <c r="BI19" s="1"/>
      <c r="BJ19" s="1"/>
      <c r="BK19" s="1"/>
      <c r="BL19" s="1"/>
      <c r="BM19" s="1"/>
      <c r="BN19" s="1"/>
      <c r="BO19" s="1"/>
      <c r="BP19" s="1"/>
      <c r="BQ19" s="1"/>
      <c r="BR19" s="1"/>
      <c r="BS19" s="1"/>
    </row>
    <row r="20" spans="1:71" ht="15.75" customHeight="1">
      <c r="A20" s="25">
        <f t="shared" si="0"/>
        <v>20</v>
      </c>
      <c r="B20" s="19" t="s">
        <v>101</v>
      </c>
      <c r="C20" s="19"/>
      <c r="D20" s="135"/>
      <c r="E20" s="136"/>
      <c r="F20" s="136"/>
      <c r="G20" s="140">
        <v>0</v>
      </c>
      <c r="H20" s="1"/>
      <c r="I20" s="135"/>
      <c r="J20" s="136"/>
      <c r="K20" s="136"/>
      <c r="L20" s="139">
        <v>0</v>
      </c>
      <c r="M20" s="1"/>
      <c r="N20" s="135"/>
      <c r="O20" s="136"/>
      <c r="P20" s="136"/>
      <c r="Q20" s="139">
        <v>0</v>
      </c>
      <c r="R20" s="1"/>
      <c r="S20" s="135"/>
      <c r="T20" s="136"/>
      <c r="U20" s="136"/>
      <c r="V20" s="140">
        <v>-15.423</v>
      </c>
      <c r="W20" s="1"/>
      <c r="X20" s="135"/>
      <c r="Y20" s="136"/>
      <c r="Z20" s="136"/>
      <c r="AA20" s="140">
        <v>0</v>
      </c>
      <c r="AB20" s="1"/>
      <c r="AC20" s="135"/>
      <c r="AD20" s="136"/>
      <c r="AE20" s="136"/>
      <c r="AF20" s="139"/>
      <c r="AG20" s="1"/>
      <c r="AH20" s="135"/>
      <c r="AI20" s="136"/>
      <c r="AJ20" s="136"/>
      <c r="AK20" s="139"/>
      <c r="AL20" s="1"/>
      <c r="AM20" s="135"/>
      <c r="AN20" s="136"/>
      <c r="AO20" s="136"/>
      <c r="AP20" s="140"/>
      <c r="AQ20" s="1"/>
      <c r="AR20" s="135"/>
      <c r="AS20" s="136"/>
      <c r="AT20" s="136"/>
      <c r="AU20" s="139"/>
      <c r="AV20" s="1"/>
      <c r="AW20" s="135"/>
      <c r="AX20" s="136"/>
      <c r="AY20" s="136"/>
      <c r="AZ20" s="139"/>
      <c r="BA20" s="1"/>
      <c r="BB20" s="135"/>
      <c r="BC20" s="136"/>
      <c r="BD20" s="136"/>
      <c r="BE20" s="140"/>
      <c r="BF20" s="1"/>
      <c r="BG20" s="3"/>
      <c r="BH20" s="1"/>
      <c r="BI20" s="1"/>
      <c r="BJ20" s="1"/>
      <c r="BK20" s="1"/>
      <c r="BL20" s="1"/>
      <c r="BM20" s="1"/>
      <c r="BN20" s="1"/>
      <c r="BO20" s="1"/>
      <c r="BP20" s="1"/>
      <c r="BQ20" s="1"/>
      <c r="BR20" s="1"/>
      <c r="BS20" s="1"/>
    </row>
    <row r="21" spans="1:71" ht="15.75" customHeight="1">
      <c r="A21" s="25">
        <f t="shared" si="0"/>
        <v>21</v>
      </c>
      <c r="B21" s="19" t="s">
        <v>102</v>
      </c>
      <c r="C21" s="19"/>
      <c r="D21" s="135"/>
      <c r="E21" s="136"/>
      <c r="F21" s="136"/>
      <c r="G21" s="140">
        <f>2065.1*1.09</f>
        <v>2250.9590000000003</v>
      </c>
      <c r="H21" s="1"/>
      <c r="I21" s="135"/>
      <c r="J21" s="136"/>
      <c r="K21" s="136"/>
      <c r="L21" s="140">
        <v>994</v>
      </c>
      <c r="M21" s="1"/>
      <c r="N21" s="135"/>
      <c r="O21" s="136"/>
      <c r="P21" s="136"/>
      <c r="Q21" s="139">
        <v>0</v>
      </c>
      <c r="R21" s="1"/>
      <c r="S21" s="135"/>
      <c r="T21" s="136"/>
      <c r="U21" s="136"/>
      <c r="V21" s="139">
        <f>(34.076+223.933)</f>
        <v>258.00900000000001</v>
      </c>
      <c r="W21" s="1"/>
      <c r="X21" s="135"/>
      <c r="Y21" s="136"/>
      <c r="Z21" s="136"/>
      <c r="AA21" s="140">
        <v>0</v>
      </c>
      <c r="AB21" s="1"/>
      <c r="AC21" s="135"/>
      <c r="AD21" s="136"/>
      <c r="AE21" s="136"/>
      <c r="AF21" s="139">
        <v>0</v>
      </c>
      <c r="AG21" s="1"/>
      <c r="AH21" s="135"/>
      <c r="AI21" s="136"/>
      <c r="AJ21" s="136"/>
      <c r="AK21" s="140">
        <v>161.33000000000001</v>
      </c>
      <c r="AL21" s="1"/>
      <c r="AM21" s="135"/>
      <c r="AN21" s="136"/>
      <c r="AO21" s="136"/>
      <c r="AP21" s="141">
        <v>0</v>
      </c>
      <c r="AQ21" s="1"/>
      <c r="AR21" s="135"/>
      <c r="AS21" s="136"/>
      <c r="AT21" s="136"/>
      <c r="AU21" s="140">
        <f>6302+6039</f>
        <v>12341</v>
      </c>
      <c r="AV21" s="1"/>
      <c r="AW21" s="135"/>
      <c r="AX21" s="136"/>
      <c r="AY21" s="136"/>
      <c r="AZ21" s="140">
        <f>13866+249296</f>
        <v>263162</v>
      </c>
      <c r="BA21" s="1"/>
      <c r="BB21" s="135"/>
      <c r="BC21" s="136"/>
      <c r="BD21" s="136"/>
      <c r="BE21" s="140">
        <v>2675</v>
      </c>
      <c r="BF21" s="1"/>
      <c r="BG21" s="1"/>
      <c r="BH21" s="1"/>
      <c r="BI21" s="1"/>
      <c r="BJ21" s="1"/>
      <c r="BK21" s="1"/>
      <c r="BL21" s="1"/>
      <c r="BM21" s="1"/>
      <c r="BN21" s="1"/>
      <c r="BO21" s="1"/>
      <c r="BP21" s="1"/>
      <c r="BQ21" s="1"/>
      <c r="BR21" s="1"/>
      <c r="BS21" s="1"/>
    </row>
    <row r="22" spans="1:71" ht="15.75" customHeight="1">
      <c r="A22" s="25">
        <f t="shared" si="0"/>
        <v>22</v>
      </c>
      <c r="B22" s="19" t="s">
        <v>103</v>
      </c>
      <c r="C22" s="19"/>
      <c r="D22" s="135"/>
      <c r="E22" s="136"/>
      <c r="F22" s="136"/>
      <c r="G22" s="139">
        <v>0</v>
      </c>
      <c r="H22" s="1"/>
      <c r="I22" s="135"/>
      <c r="J22" s="136"/>
      <c r="K22" s="136"/>
      <c r="L22" s="139">
        <v>0</v>
      </c>
      <c r="M22" s="1"/>
      <c r="N22" s="135"/>
      <c r="O22" s="136"/>
      <c r="P22" s="136"/>
      <c r="Q22" s="139">
        <v>0</v>
      </c>
      <c r="R22" s="1"/>
      <c r="S22" s="135"/>
      <c r="T22" s="136"/>
      <c r="U22" s="136"/>
      <c r="V22" s="142"/>
      <c r="W22" s="1"/>
      <c r="X22" s="135"/>
      <c r="Y22" s="136"/>
      <c r="Z22" s="136"/>
      <c r="AA22" s="139">
        <v>0</v>
      </c>
      <c r="AB22" s="1"/>
      <c r="AC22" s="135"/>
      <c r="AD22" s="136"/>
      <c r="AE22" s="136"/>
      <c r="AF22" s="139">
        <v>0</v>
      </c>
      <c r="AG22" s="1"/>
      <c r="AH22" s="135"/>
      <c r="AI22" s="136"/>
      <c r="AJ22" s="136"/>
      <c r="AK22" s="139">
        <v>0</v>
      </c>
      <c r="AL22" s="1"/>
      <c r="AM22" s="135"/>
      <c r="AN22" s="136"/>
      <c r="AO22" s="136"/>
      <c r="AP22" s="139"/>
      <c r="AQ22" s="1"/>
      <c r="AR22" s="135"/>
      <c r="AS22" s="136"/>
      <c r="AT22" s="136"/>
      <c r="AU22" s="139"/>
      <c r="AV22" s="1"/>
      <c r="AW22" s="135"/>
      <c r="AX22" s="136"/>
      <c r="AY22" s="136"/>
      <c r="AZ22" s="139"/>
      <c r="BA22" s="1"/>
      <c r="BB22" s="135"/>
      <c r="BC22" s="136"/>
      <c r="BD22" s="136"/>
      <c r="BE22" s="139"/>
      <c r="BF22" s="1"/>
      <c r="BG22" s="3"/>
      <c r="BH22" s="1"/>
      <c r="BI22" s="1"/>
      <c r="BJ22" s="1"/>
      <c r="BK22" s="1"/>
      <c r="BL22" s="1"/>
      <c r="BM22" s="1"/>
      <c r="BN22" s="1"/>
      <c r="BO22" s="1"/>
      <c r="BP22" s="1"/>
      <c r="BQ22" s="1"/>
      <c r="BR22" s="1"/>
      <c r="BS22" s="1"/>
    </row>
    <row r="23" spans="1:71" ht="15.75" customHeight="1">
      <c r="A23" s="25">
        <f t="shared" si="0"/>
        <v>23</v>
      </c>
      <c r="B23" s="19" t="s">
        <v>104</v>
      </c>
      <c r="C23" s="19"/>
      <c r="D23" s="135"/>
      <c r="E23" s="136"/>
      <c r="F23" s="143"/>
      <c r="G23" s="139">
        <f>0.3</f>
        <v>0.3</v>
      </c>
      <c r="H23" s="23"/>
      <c r="I23" s="135"/>
      <c r="J23" s="136"/>
      <c r="K23" s="143"/>
      <c r="L23" s="139">
        <v>0</v>
      </c>
      <c r="M23" s="1"/>
      <c r="N23" s="135"/>
      <c r="O23" s="136"/>
      <c r="P23" s="143"/>
      <c r="Q23" s="139">
        <f>0</f>
        <v>0</v>
      </c>
      <c r="R23" s="1"/>
      <c r="S23" s="135"/>
      <c r="T23" s="136"/>
      <c r="U23" s="143"/>
      <c r="V23" s="139">
        <v>191.87899999999999</v>
      </c>
      <c r="W23" s="1"/>
      <c r="X23" s="135"/>
      <c r="Y23" s="136"/>
      <c r="Z23" s="143"/>
      <c r="AA23" s="139">
        <v>1.1000000000000001</v>
      </c>
      <c r="AB23" s="1"/>
      <c r="AC23" s="135"/>
      <c r="AD23" s="136"/>
      <c r="AE23" s="143"/>
      <c r="AF23" s="139">
        <v>2</v>
      </c>
      <c r="AG23" s="1"/>
      <c r="AH23" s="135"/>
      <c r="AI23" s="136"/>
      <c r="AJ23" s="143"/>
      <c r="AK23" s="139">
        <v>0</v>
      </c>
      <c r="AL23" s="1"/>
      <c r="AM23" s="135"/>
      <c r="AN23" s="136"/>
      <c r="AO23" s="143"/>
      <c r="AP23" s="139"/>
      <c r="AQ23" s="1"/>
      <c r="AR23" s="135"/>
      <c r="AS23" s="136"/>
      <c r="AT23" s="143"/>
      <c r="AU23" s="139"/>
      <c r="AV23" s="1"/>
      <c r="AW23" s="135"/>
      <c r="AX23" s="136"/>
      <c r="AY23" s="143"/>
      <c r="AZ23" s="139">
        <v>13371</v>
      </c>
      <c r="BA23" s="1"/>
      <c r="BB23" s="135"/>
      <c r="BC23" s="136"/>
      <c r="BD23" s="143"/>
      <c r="BE23" s="139"/>
      <c r="BF23" s="1"/>
      <c r="BG23" s="1"/>
      <c r="BH23" s="1"/>
      <c r="BI23" s="1"/>
      <c r="BJ23" s="1"/>
      <c r="BK23" s="1"/>
      <c r="BL23" s="1"/>
      <c r="BM23" s="1"/>
      <c r="BN23" s="1"/>
      <c r="BO23" s="1"/>
      <c r="BP23" s="1"/>
      <c r="BQ23" s="1"/>
      <c r="BR23" s="1"/>
      <c r="BS23" s="1"/>
    </row>
    <row r="24" spans="1:71" ht="15.75" customHeight="1">
      <c r="A24" s="25">
        <f t="shared" si="0"/>
        <v>24</v>
      </c>
      <c r="B24" s="19" t="s">
        <v>105</v>
      </c>
      <c r="C24" s="19"/>
      <c r="D24" s="135"/>
      <c r="E24" s="136"/>
      <c r="F24" s="136"/>
      <c r="G24" s="139">
        <v>0</v>
      </c>
      <c r="H24" s="1"/>
      <c r="I24" s="135"/>
      <c r="J24" s="136"/>
      <c r="K24" s="136"/>
      <c r="L24" s="140">
        <v>0</v>
      </c>
      <c r="M24" s="1"/>
      <c r="N24" s="135"/>
      <c r="O24" s="136"/>
      <c r="P24" s="136"/>
      <c r="Q24" s="140">
        <v>0</v>
      </c>
      <c r="R24" s="1"/>
      <c r="S24" s="135"/>
      <c r="T24" s="136"/>
      <c r="U24" s="136"/>
      <c r="V24" s="140"/>
      <c r="W24" s="1"/>
      <c r="X24" s="135"/>
      <c r="Y24" s="136"/>
      <c r="Z24" s="136"/>
      <c r="AA24" s="139">
        <v>25.6</v>
      </c>
      <c r="AB24" s="1"/>
      <c r="AC24" s="135"/>
      <c r="AD24" s="136"/>
      <c r="AE24" s="136"/>
      <c r="AF24" s="139">
        <v>122</v>
      </c>
      <c r="AG24" s="1"/>
      <c r="AH24" s="135"/>
      <c r="AI24" s="136"/>
      <c r="AJ24" s="136"/>
      <c r="AK24" s="139">
        <v>2E-3</v>
      </c>
      <c r="AL24" s="1"/>
      <c r="AM24" s="135"/>
      <c r="AN24" s="136"/>
      <c r="AO24" s="136"/>
      <c r="AP24" s="139">
        <v>88.3</v>
      </c>
      <c r="AQ24" s="1"/>
      <c r="AR24" s="135"/>
      <c r="AS24" s="136"/>
      <c r="AT24" s="136"/>
      <c r="AU24" s="139"/>
      <c r="AV24" s="1"/>
      <c r="AW24" s="135"/>
      <c r="AX24" s="136"/>
      <c r="AY24" s="136"/>
      <c r="AZ24" s="139">
        <v>7850</v>
      </c>
      <c r="BA24" s="1"/>
      <c r="BB24" s="135"/>
      <c r="BC24" s="136"/>
      <c r="BD24" s="136"/>
      <c r="BE24" s="139"/>
      <c r="BF24" s="1"/>
      <c r="BG24" s="1"/>
      <c r="BH24" s="1"/>
      <c r="BI24" s="1"/>
      <c r="BJ24" s="1"/>
      <c r="BK24" s="1"/>
      <c r="BL24" s="1"/>
      <c r="BM24" s="1"/>
      <c r="BN24" s="1"/>
      <c r="BO24" s="1"/>
      <c r="BP24" s="1"/>
      <c r="BQ24" s="1"/>
      <c r="BR24" s="1"/>
      <c r="BS24" s="1"/>
    </row>
    <row r="25" spans="1:71" ht="15.75" customHeight="1">
      <c r="A25" s="25">
        <f t="shared" si="0"/>
        <v>25</v>
      </c>
      <c r="B25" s="19" t="s">
        <v>107</v>
      </c>
      <c r="C25" s="19"/>
      <c r="D25" s="144"/>
      <c r="E25" s="146"/>
      <c r="F25" s="146"/>
      <c r="G25" s="140">
        <v>0</v>
      </c>
      <c r="H25" s="1"/>
      <c r="I25" s="144"/>
      <c r="J25" s="146"/>
      <c r="K25" s="146"/>
      <c r="L25" s="139">
        <v>132</v>
      </c>
      <c r="M25" s="1"/>
      <c r="N25" s="144"/>
      <c r="O25" s="146"/>
      <c r="P25" s="146"/>
      <c r="Q25" s="139">
        <v>0</v>
      </c>
      <c r="R25" s="1"/>
      <c r="S25" s="144"/>
      <c r="T25" s="146"/>
      <c r="U25" s="146"/>
      <c r="V25" s="139"/>
      <c r="W25" s="1"/>
      <c r="X25" s="144"/>
      <c r="Y25" s="146"/>
      <c r="Z25" s="146"/>
      <c r="AA25" s="139">
        <v>0</v>
      </c>
      <c r="AB25" s="1"/>
      <c r="AC25" s="144"/>
      <c r="AD25" s="146"/>
      <c r="AE25" s="146"/>
      <c r="AF25" s="139"/>
      <c r="AG25" s="1"/>
      <c r="AH25" s="144"/>
      <c r="AI25" s="146"/>
      <c r="AJ25" s="146"/>
      <c r="AK25" s="139"/>
      <c r="AL25" s="1"/>
      <c r="AM25" s="144"/>
      <c r="AN25" s="146"/>
      <c r="AO25" s="146"/>
      <c r="AP25" s="139">
        <v>603.4</v>
      </c>
      <c r="AQ25" s="1"/>
      <c r="AR25" s="144"/>
      <c r="AS25" s="146"/>
      <c r="AT25" s="146"/>
      <c r="AU25" s="139">
        <f>23456+22426+20013+19459</f>
        <v>85354</v>
      </c>
      <c r="AV25" s="1"/>
      <c r="AW25" s="144"/>
      <c r="AX25" s="146"/>
      <c r="AY25" s="146"/>
      <c r="AZ25" s="139"/>
      <c r="BA25" s="1"/>
      <c r="BB25" s="144"/>
      <c r="BC25" s="146"/>
      <c r="BD25" s="146"/>
      <c r="BE25" s="139"/>
      <c r="BF25" s="1"/>
      <c r="BG25" s="1"/>
      <c r="BH25" s="1"/>
      <c r="BI25" s="1"/>
      <c r="BJ25" s="1"/>
      <c r="BK25" s="1"/>
      <c r="BL25" s="1"/>
      <c r="BM25" s="1"/>
      <c r="BN25" s="1"/>
      <c r="BO25" s="1"/>
      <c r="BP25" s="1"/>
      <c r="BQ25" s="1"/>
      <c r="BR25" s="1"/>
      <c r="BS25" s="1"/>
    </row>
    <row r="26" spans="1:71" ht="15.75" customHeight="1">
      <c r="A26" s="25">
        <f t="shared" si="0"/>
        <v>26</v>
      </c>
      <c r="B26" s="1"/>
      <c r="C26" s="1"/>
      <c r="D26" s="36"/>
      <c r="E26" s="1"/>
      <c r="F26" s="1"/>
      <c r="G26" s="149"/>
      <c r="H26" s="1"/>
      <c r="I26" s="36"/>
      <c r="J26" s="1"/>
      <c r="K26" s="1"/>
      <c r="L26" s="149"/>
      <c r="M26" s="1"/>
      <c r="N26" s="36"/>
      <c r="O26" s="1"/>
      <c r="P26" s="1"/>
      <c r="Q26" s="149"/>
      <c r="R26" s="1"/>
      <c r="S26" s="36"/>
      <c r="T26" s="1"/>
      <c r="U26" s="1"/>
      <c r="V26" s="149"/>
      <c r="W26" s="1"/>
      <c r="X26" s="36"/>
      <c r="Y26" s="1"/>
      <c r="Z26" s="1"/>
      <c r="AA26" s="149"/>
      <c r="AB26" s="1"/>
      <c r="AC26" s="36"/>
      <c r="AD26" s="1"/>
      <c r="AE26" s="1"/>
      <c r="AF26" s="149"/>
      <c r="AG26" s="1"/>
      <c r="AH26" s="36"/>
      <c r="AI26" s="1"/>
      <c r="AJ26" s="1"/>
      <c r="AK26" s="149"/>
      <c r="AL26" s="1"/>
      <c r="AM26" s="36"/>
      <c r="AN26" s="1"/>
      <c r="AO26" s="1"/>
      <c r="AP26" s="149"/>
      <c r="AQ26" s="1"/>
      <c r="AR26" s="36"/>
      <c r="AS26" s="1"/>
      <c r="AT26" s="1"/>
      <c r="AU26" s="149"/>
      <c r="AV26" s="1"/>
      <c r="AW26" s="36"/>
      <c r="AX26" s="1"/>
      <c r="AY26" s="1"/>
      <c r="AZ26" s="149"/>
      <c r="BA26" s="1"/>
      <c r="BB26" s="36"/>
      <c r="BC26" s="1"/>
      <c r="BD26" s="1"/>
      <c r="BE26" s="149"/>
      <c r="BF26" s="1"/>
      <c r="BG26" s="1"/>
      <c r="BH26" s="1"/>
      <c r="BI26" s="1"/>
      <c r="BJ26" s="1"/>
      <c r="BK26" s="1"/>
      <c r="BL26" s="1"/>
      <c r="BM26" s="1"/>
      <c r="BN26" s="1"/>
      <c r="BO26" s="1"/>
      <c r="BP26" s="1"/>
      <c r="BQ26" s="1"/>
      <c r="BR26" s="1"/>
      <c r="BS26" s="1"/>
    </row>
    <row r="27" spans="1:71" ht="15.75" customHeight="1">
      <c r="A27" s="25">
        <f t="shared" si="0"/>
        <v>27</v>
      </c>
      <c r="B27" s="1"/>
      <c r="C27" s="1"/>
      <c r="D27" s="368" t="s">
        <v>114</v>
      </c>
      <c r="E27" s="369"/>
      <c r="F27" s="369"/>
      <c r="G27" s="370"/>
      <c r="H27" s="1"/>
      <c r="I27" s="368" t="s">
        <v>114</v>
      </c>
      <c r="J27" s="369"/>
      <c r="K27" s="369"/>
      <c r="L27" s="370"/>
      <c r="M27" s="1"/>
      <c r="N27" s="368" t="s">
        <v>114</v>
      </c>
      <c r="O27" s="369"/>
      <c r="P27" s="369"/>
      <c r="Q27" s="370"/>
      <c r="R27" s="1"/>
      <c r="S27" s="368" t="s">
        <v>114</v>
      </c>
      <c r="T27" s="369"/>
      <c r="U27" s="369"/>
      <c r="V27" s="370"/>
      <c r="W27" s="1"/>
      <c r="X27" s="368" t="s">
        <v>114</v>
      </c>
      <c r="Y27" s="369"/>
      <c r="Z27" s="369"/>
      <c r="AA27" s="370"/>
      <c r="AB27" s="1"/>
      <c r="AC27" s="368" t="s">
        <v>114</v>
      </c>
      <c r="AD27" s="369"/>
      <c r="AE27" s="369"/>
      <c r="AF27" s="370"/>
      <c r="AG27" s="1"/>
      <c r="AH27" s="368" t="s">
        <v>114</v>
      </c>
      <c r="AI27" s="369"/>
      <c r="AJ27" s="369"/>
      <c r="AK27" s="370"/>
      <c r="AL27" s="1"/>
      <c r="AM27" s="368" t="s">
        <v>114</v>
      </c>
      <c r="AN27" s="369"/>
      <c r="AO27" s="369"/>
      <c r="AP27" s="370"/>
      <c r="AQ27" s="1"/>
      <c r="AR27" s="368" t="s">
        <v>114</v>
      </c>
      <c r="AS27" s="369"/>
      <c r="AT27" s="369"/>
      <c r="AU27" s="370"/>
      <c r="AV27" s="1"/>
      <c r="AW27" s="368" t="s">
        <v>114</v>
      </c>
      <c r="AX27" s="369"/>
      <c r="AY27" s="369"/>
      <c r="AZ27" s="370"/>
      <c r="BA27" s="1"/>
      <c r="BB27" s="368" t="s">
        <v>114</v>
      </c>
      <c r="BC27" s="369"/>
      <c r="BD27" s="369"/>
      <c r="BE27" s="370"/>
      <c r="BF27" s="1"/>
      <c r="BG27" s="1"/>
      <c r="BH27" s="1"/>
      <c r="BI27" s="1"/>
      <c r="BJ27" s="1"/>
      <c r="BK27" s="1"/>
      <c r="BL27" s="1"/>
      <c r="BM27" s="1"/>
      <c r="BN27" s="1"/>
      <c r="BO27" s="1"/>
      <c r="BP27" s="1"/>
      <c r="BQ27" s="1"/>
      <c r="BR27" s="1"/>
      <c r="BS27" s="1"/>
    </row>
    <row r="28" spans="1:71" ht="15.75" customHeight="1">
      <c r="A28" s="25">
        <f t="shared" si="0"/>
        <v>28</v>
      </c>
      <c r="B28" s="1"/>
      <c r="C28" s="1"/>
      <c r="D28" s="151">
        <v>2020</v>
      </c>
      <c r="E28" s="152">
        <v>2021</v>
      </c>
      <c r="F28" s="152">
        <v>2022</v>
      </c>
      <c r="G28" s="153"/>
      <c r="H28" s="150"/>
      <c r="I28" s="151">
        <v>2020</v>
      </c>
      <c r="J28" s="152">
        <v>2021</v>
      </c>
      <c r="K28" s="152">
        <v>2022</v>
      </c>
      <c r="L28" s="153"/>
      <c r="M28" s="150"/>
      <c r="N28" s="151">
        <v>2020</v>
      </c>
      <c r="O28" s="152">
        <v>2021</v>
      </c>
      <c r="P28" s="152">
        <v>2022</v>
      </c>
      <c r="Q28" s="153"/>
      <c r="R28" s="150"/>
      <c r="S28" s="151">
        <v>2020</v>
      </c>
      <c r="T28" s="152">
        <v>2021</v>
      </c>
      <c r="U28" s="152">
        <v>2022</v>
      </c>
      <c r="V28" s="153"/>
      <c r="W28" s="150"/>
      <c r="X28" s="151">
        <v>2020</v>
      </c>
      <c r="Y28" s="152">
        <v>2021</v>
      </c>
      <c r="Z28" s="152">
        <v>2022</v>
      </c>
      <c r="AA28" s="153"/>
      <c r="AB28" s="150"/>
      <c r="AC28" s="151">
        <v>2020</v>
      </c>
      <c r="AD28" s="152">
        <v>2021</v>
      </c>
      <c r="AE28" s="152">
        <v>2022</v>
      </c>
      <c r="AF28" s="153"/>
      <c r="AG28" s="150"/>
      <c r="AH28" s="151">
        <v>2020</v>
      </c>
      <c r="AI28" s="152">
        <v>2021</v>
      </c>
      <c r="AJ28" s="152">
        <v>2022</v>
      </c>
      <c r="AK28" s="153"/>
      <c r="AL28" s="150"/>
      <c r="AM28" s="151">
        <v>2020</v>
      </c>
      <c r="AN28" s="152">
        <v>2021</v>
      </c>
      <c r="AO28" s="152">
        <v>2022</v>
      </c>
      <c r="AP28" s="153"/>
      <c r="AQ28" s="150"/>
      <c r="AR28" s="151">
        <v>2020</v>
      </c>
      <c r="AS28" s="152">
        <v>2021</v>
      </c>
      <c r="AT28" s="152">
        <v>2022</v>
      </c>
      <c r="AU28" s="153"/>
      <c r="AV28" s="150"/>
      <c r="AW28" s="151">
        <v>2020</v>
      </c>
      <c r="AX28" s="152">
        <v>2021</v>
      </c>
      <c r="AY28" s="152">
        <v>2022</v>
      </c>
      <c r="AZ28" s="153"/>
      <c r="BA28" s="150"/>
      <c r="BB28" s="151">
        <v>2020</v>
      </c>
      <c r="BC28" s="152">
        <v>2021</v>
      </c>
      <c r="BD28" s="152">
        <v>2022</v>
      </c>
      <c r="BE28" s="154"/>
      <c r="BF28" s="1"/>
      <c r="BG28" s="1"/>
      <c r="BH28" s="1"/>
      <c r="BI28" s="1"/>
      <c r="BJ28" s="1"/>
      <c r="BK28" s="1"/>
      <c r="BL28" s="1"/>
      <c r="BM28" s="1"/>
      <c r="BN28" s="1"/>
      <c r="BO28" s="1"/>
      <c r="BP28" s="1"/>
      <c r="BQ28" s="1"/>
      <c r="BR28" s="1"/>
      <c r="BS28" s="1"/>
    </row>
    <row r="29" spans="1:71" ht="15.75" customHeight="1">
      <c r="A29" s="25">
        <f t="shared" si="0"/>
        <v>29</v>
      </c>
      <c r="B29" s="19" t="s">
        <v>90</v>
      </c>
      <c r="C29" s="19"/>
      <c r="D29" s="138">
        <f>1.09*1459</f>
        <v>1590.3100000000002</v>
      </c>
      <c r="E29" s="138">
        <f>1.09*2552</f>
        <v>2781.6800000000003</v>
      </c>
      <c r="F29" s="138">
        <f>1.09*2625</f>
        <v>2861.25</v>
      </c>
      <c r="G29" s="143"/>
      <c r="H29" s="1"/>
      <c r="I29" s="138">
        <v>5188</v>
      </c>
      <c r="J29" s="138">
        <v>5376</v>
      </c>
      <c r="K29" s="138">
        <v>5816</v>
      </c>
      <c r="L29" s="143"/>
      <c r="M29" s="1"/>
      <c r="N29" s="138">
        <v>2838</v>
      </c>
      <c r="O29" s="138">
        <v>2689</v>
      </c>
      <c r="P29" s="138">
        <v>3469</v>
      </c>
      <c r="Q29" s="143"/>
      <c r="R29" s="1"/>
      <c r="S29" s="138">
        <v>2520</v>
      </c>
      <c r="T29" s="138">
        <v>2670</v>
      </c>
      <c r="U29" s="138">
        <v>2890</v>
      </c>
      <c r="V29" s="143"/>
      <c r="W29" s="1"/>
      <c r="X29" s="138">
        <v>284231.17</v>
      </c>
      <c r="Y29" s="138">
        <v>331183.07</v>
      </c>
      <c r="Z29" s="138">
        <v>334287.62</v>
      </c>
      <c r="AA29" s="143"/>
      <c r="AB29" s="1"/>
      <c r="AC29" s="138">
        <v>1284000</v>
      </c>
      <c r="AD29" s="138">
        <v>1370000</v>
      </c>
      <c r="AE29" s="138">
        <v>1333000</v>
      </c>
      <c r="AF29" s="143"/>
      <c r="AG29" s="1"/>
      <c r="AH29" s="138">
        <v>3123.3339999999998</v>
      </c>
      <c r="AI29" s="138">
        <v>2222.3879999999999</v>
      </c>
      <c r="AJ29" s="138">
        <v>1548</v>
      </c>
      <c r="AK29" s="143"/>
      <c r="AL29" s="1"/>
      <c r="AM29" s="138">
        <v>747.7</v>
      </c>
      <c r="AN29" s="138">
        <v>794.05</v>
      </c>
      <c r="AO29" s="138">
        <v>821.38</v>
      </c>
      <c r="AP29" s="143"/>
      <c r="AQ29" s="1"/>
      <c r="AR29" s="138">
        <f>262.01</f>
        <v>262.01</v>
      </c>
      <c r="AS29" s="138">
        <f>282.99</f>
        <v>282.99</v>
      </c>
      <c r="AT29" s="138">
        <v>268</v>
      </c>
      <c r="AU29" s="143"/>
      <c r="AV29" s="1"/>
      <c r="AW29" s="138">
        <v>2490</v>
      </c>
      <c r="AX29" s="138">
        <v>2897</v>
      </c>
      <c r="AY29" s="138">
        <v>3043</v>
      </c>
      <c r="AZ29" s="143"/>
      <c r="BA29" s="1"/>
      <c r="BB29" s="155">
        <v>6800</v>
      </c>
      <c r="BC29" s="155">
        <v>7420</v>
      </c>
      <c r="BD29" s="155">
        <v>8640</v>
      </c>
      <c r="BE29" s="143"/>
      <c r="BF29" s="1"/>
      <c r="BG29" s="72"/>
      <c r="BH29" s="1"/>
      <c r="BI29" s="1"/>
      <c r="BJ29" s="1"/>
      <c r="BK29" s="1"/>
      <c r="BL29" s="1"/>
      <c r="BM29" s="1"/>
      <c r="BN29" s="1"/>
      <c r="BO29" s="1"/>
      <c r="BP29" s="1"/>
      <c r="BQ29" s="1"/>
      <c r="BR29" s="1"/>
      <c r="BS29" s="1"/>
    </row>
    <row r="30" spans="1:71" ht="15.75" customHeight="1">
      <c r="A30" s="25">
        <f t="shared" si="0"/>
        <v>30</v>
      </c>
      <c r="B30" s="19" t="s">
        <v>95</v>
      </c>
      <c r="C30" s="19"/>
      <c r="D30" s="139">
        <f>1.09*672.96</f>
        <v>733.52640000000008</v>
      </c>
      <c r="E30" s="139">
        <f>1.09*1274</f>
        <v>1388.66</v>
      </c>
      <c r="F30" s="139">
        <f>1.09*1450</f>
        <v>1580.5000000000002</v>
      </c>
      <c r="G30" s="143"/>
      <c r="H30" s="1"/>
      <c r="I30" s="139">
        <v>1781</v>
      </c>
      <c r="J30" s="139">
        <v>1839</v>
      </c>
      <c r="K30" s="139">
        <v>2096</v>
      </c>
      <c r="L30" s="143"/>
      <c r="M30" s="1"/>
      <c r="N30" s="139">
        <v>663.41</v>
      </c>
      <c r="O30" s="139">
        <v>667.67</v>
      </c>
      <c r="P30" s="139">
        <v>880.27</v>
      </c>
      <c r="Q30" s="143"/>
      <c r="R30" s="1"/>
      <c r="S30" s="139">
        <v>431.63</v>
      </c>
      <c r="T30" s="139">
        <v>477.13</v>
      </c>
      <c r="U30" s="139">
        <v>546.19000000000005</v>
      </c>
      <c r="V30" s="143"/>
      <c r="W30" s="1"/>
      <c r="X30" s="139">
        <v>44754.75</v>
      </c>
      <c r="Y30" s="139">
        <v>54460.89</v>
      </c>
      <c r="Z30" s="139">
        <v>56378.89</v>
      </c>
      <c r="AA30" s="143"/>
      <c r="AB30" s="1"/>
      <c r="AC30" s="139">
        <v>325180</v>
      </c>
      <c r="AD30" s="139">
        <v>392070</v>
      </c>
      <c r="AE30" s="139">
        <v>390150</v>
      </c>
      <c r="AF30" s="143"/>
      <c r="AG30" s="1"/>
      <c r="AH30" s="139">
        <v>2465.8270000000002</v>
      </c>
      <c r="AI30" s="139">
        <v>1609.011</v>
      </c>
      <c r="AJ30" s="139">
        <v>987</v>
      </c>
      <c r="AK30" s="143"/>
      <c r="AL30" s="1"/>
      <c r="AM30" s="139">
        <v>115.12</v>
      </c>
      <c r="AN30" s="139">
        <v>125.6</v>
      </c>
      <c r="AO30" s="139">
        <v>134.03</v>
      </c>
      <c r="AP30" s="143"/>
      <c r="AQ30" s="1"/>
      <c r="AR30" s="139">
        <v>110.86</v>
      </c>
      <c r="AS30" s="139">
        <v>123.7</v>
      </c>
      <c r="AT30" s="139">
        <v>124.7</v>
      </c>
      <c r="AU30" s="143"/>
      <c r="AV30" s="1"/>
      <c r="AW30" s="139">
        <v>1045</v>
      </c>
      <c r="AX30" s="139">
        <v>1269</v>
      </c>
      <c r="AY30" s="139">
        <v>1296</v>
      </c>
      <c r="AZ30" s="143"/>
      <c r="BA30" s="1"/>
      <c r="BB30" s="156">
        <v>2027.7392510402217</v>
      </c>
      <c r="BC30" s="156">
        <v>2212.6213592233007</v>
      </c>
      <c r="BD30" s="156">
        <v>2576.4216366158112</v>
      </c>
      <c r="BE30" s="143"/>
      <c r="BF30" s="1"/>
      <c r="BG30" s="3"/>
      <c r="BH30" s="1"/>
      <c r="BI30" s="1"/>
      <c r="BJ30" s="1"/>
      <c r="BK30" s="1"/>
      <c r="BL30" s="1"/>
      <c r="BM30" s="1"/>
      <c r="BN30" s="1"/>
      <c r="BO30" s="1"/>
      <c r="BP30" s="1"/>
      <c r="BQ30" s="1"/>
      <c r="BR30" s="1"/>
      <c r="BS30" s="1"/>
    </row>
    <row r="31" spans="1:71" ht="15.75" customHeight="1">
      <c r="A31" s="25">
        <f t="shared" si="0"/>
        <v>31</v>
      </c>
      <c r="B31" s="19" t="s">
        <v>91</v>
      </c>
      <c r="C31" s="19"/>
      <c r="D31" s="139">
        <f>1.09*26.72</f>
        <v>29.1248</v>
      </c>
      <c r="E31" s="139">
        <f>1.09*424.82</f>
        <v>463.05380000000002</v>
      </c>
      <c r="F31" s="139">
        <f>1.09*456.84</f>
        <v>497.9556</v>
      </c>
      <c r="G31" s="157"/>
      <c r="H31" s="1"/>
      <c r="I31" s="139">
        <v>1381.9939999999999</v>
      </c>
      <c r="J31" s="139">
        <v>1445.91</v>
      </c>
      <c r="K31" s="139">
        <v>1641.74</v>
      </c>
      <c r="L31" s="157"/>
      <c r="M31" s="1"/>
      <c r="N31" s="139">
        <v>542.33000000000004</v>
      </c>
      <c r="O31" s="139">
        <v>515.83000000000004</v>
      </c>
      <c r="P31" s="139">
        <v>653.96</v>
      </c>
      <c r="Q31" s="157"/>
      <c r="R31" s="1"/>
      <c r="S31" s="139">
        <v>274.61599999999999</v>
      </c>
      <c r="T31" s="139">
        <v>306.47199999999998</v>
      </c>
      <c r="U31" s="139">
        <v>456.75</v>
      </c>
      <c r="V31" s="157"/>
      <c r="W31" s="1"/>
      <c r="X31" s="139">
        <v>24819.08</v>
      </c>
      <c r="Y31" s="139">
        <v>33394.43</v>
      </c>
      <c r="Z31" s="139">
        <v>35298.15</v>
      </c>
      <c r="AA31" s="157"/>
      <c r="AB31" s="1"/>
      <c r="AC31" s="139">
        <v>228750</v>
      </c>
      <c r="AD31" s="139">
        <v>282520</v>
      </c>
      <c r="AE31" s="139">
        <v>293270</v>
      </c>
      <c r="AF31" s="157"/>
      <c r="AG31" s="1"/>
      <c r="AH31" s="139">
        <v>1926.0260000000001</v>
      </c>
      <c r="AI31" s="139">
        <v>1382.982</v>
      </c>
      <c r="AJ31" s="139">
        <v>880.01</v>
      </c>
      <c r="AK31" s="157"/>
      <c r="AL31" s="1"/>
      <c r="AM31" s="139">
        <v>66.64</v>
      </c>
      <c r="AN31" s="139">
        <v>74.599999999999994</v>
      </c>
      <c r="AO31" s="139">
        <v>79.040000000000006</v>
      </c>
      <c r="AP31" s="157"/>
      <c r="AQ31" s="1"/>
      <c r="AR31" s="139">
        <f>88</f>
        <v>88</v>
      </c>
      <c r="AS31" s="139">
        <f>94.5</f>
        <v>94.5</v>
      </c>
      <c r="AT31" s="139">
        <v>92.72</v>
      </c>
      <c r="AU31" s="157"/>
      <c r="AV31" s="1"/>
      <c r="AW31" s="139">
        <v>789</v>
      </c>
      <c r="AX31" s="139">
        <v>972</v>
      </c>
      <c r="AY31" s="139">
        <v>929.2</v>
      </c>
      <c r="AZ31" s="157"/>
      <c r="BA31" s="1"/>
      <c r="BB31" s="156">
        <v>1575.0346740638004</v>
      </c>
      <c r="BC31" s="156">
        <v>1718.6407766990292</v>
      </c>
      <c r="BD31" s="156">
        <v>2001.2205270457698</v>
      </c>
      <c r="BE31" s="157"/>
      <c r="BF31" s="1"/>
      <c r="BG31" s="1"/>
      <c r="BH31" s="1"/>
      <c r="BI31" s="1"/>
      <c r="BJ31" s="1"/>
      <c r="BK31" s="1"/>
      <c r="BL31" s="1"/>
      <c r="BM31" s="1"/>
      <c r="BN31" s="1"/>
      <c r="BO31" s="1"/>
      <c r="BP31" s="1"/>
      <c r="BQ31" s="1"/>
      <c r="BR31" s="1"/>
      <c r="BS31" s="1"/>
    </row>
    <row r="32" spans="1:71" ht="15.75" customHeight="1">
      <c r="A32" s="25">
        <f t="shared" si="0"/>
        <v>32</v>
      </c>
      <c r="B32" s="1"/>
      <c r="C32" s="1"/>
      <c r="D32" s="36"/>
      <c r="E32" s="1"/>
      <c r="F32" s="1"/>
      <c r="G32" s="149"/>
      <c r="H32" s="1"/>
      <c r="I32" s="36"/>
      <c r="J32" s="1"/>
      <c r="K32" s="1"/>
      <c r="L32" s="149"/>
      <c r="M32" s="1"/>
      <c r="N32" s="36"/>
      <c r="O32" s="1"/>
      <c r="P32" s="1"/>
      <c r="Q32" s="149"/>
      <c r="R32" s="1"/>
      <c r="S32" s="36"/>
      <c r="T32" s="1"/>
      <c r="U32" s="1"/>
      <c r="V32" s="149"/>
      <c r="W32" s="1"/>
      <c r="X32" s="36"/>
      <c r="Y32" s="1"/>
      <c r="Z32" s="1"/>
      <c r="AA32" s="149"/>
      <c r="AB32" s="1"/>
      <c r="AC32" s="36"/>
      <c r="AD32" s="1"/>
      <c r="AE32" s="1"/>
      <c r="AF32" s="149"/>
      <c r="AG32" s="1"/>
      <c r="AH32" s="36"/>
      <c r="AI32" s="1"/>
      <c r="AJ32" s="1"/>
      <c r="AK32" s="149"/>
      <c r="AL32" s="1"/>
      <c r="AM32" s="36"/>
      <c r="AN32" s="1"/>
      <c r="AO32" s="1"/>
      <c r="AP32" s="149"/>
      <c r="AQ32" s="1"/>
      <c r="AR32" s="36"/>
      <c r="AS32" s="1"/>
      <c r="AT32" s="1"/>
      <c r="AU32" s="149"/>
      <c r="AV32" s="1"/>
      <c r="AW32" s="36"/>
      <c r="AX32" s="1"/>
      <c r="AY32" s="1"/>
      <c r="AZ32" s="149"/>
      <c r="BA32" s="1"/>
      <c r="BB32" s="36"/>
      <c r="BC32" s="1"/>
      <c r="BD32" s="1"/>
      <c r="BE32" s="149"/>
      <c r="BF32" s="1"/>
      <c r="BG32" s="3"/>
      <c r="BH32" s="1"/>
      <c r="BI32" s="1"/>
      <c r="BJ32" s="1"/>
      <c r="BK32" s="1"/>
      <c r="BL32" s="1"/>
      <c r="BM32" s="1"/>
      <c r="BN32" s="1"/>
      <c r="BO32" s="1"/>
      <c r="BP32" s="1"/>
      <c r="BQ32" s="1"/>
      <c r="BR32" s="1"/>
      <c r="BS32" s="1"/>
    </row>
    <row r="33" spans="1:71" ht="15.75" customHeight="1">
      <c r="A33" s="25">
        <f t="shared" si="0"/>
        <v>33</v>
      </c>
      <c r="B33" s="1"/>
      <c r="C33" s="1"/>
      <c r="D33" s="368" t="s">
        <v>140</v>
      </c>
      <c r="E33" s="369"/>
      <c r="F33" s="369"/>
      <c r="G33" s="370"/>
      <c r="H33" s="1"/>
      <c r="I33" s="368" t="s">
        <v>140</v>
      </c>
      <c r="J33" s="369"/>
      <c r="K33" s="369"/>
      <c r="L33" s="370"/>
      <c r="M33" s="1"/>
      <c r="N33" s="368" t="s">
        <v>140</v>
      </c>
      <c r="O33" s="369"/>
      <c r="P33" s="369"/>
      <c r="Q33" s="370"/>
      <c r="R33" s="1"/>
      <c r="S33" s="368" t="s">
        <v>140</v>
      </c>
      <c r="T33" s="369"/>
      <c r="U33" s="369"/>
      <c r="V33" s="370"/>
      <c r="W33" s="1"/>
      <c r="X33" s="368" t="s">
        <v>140</v>
      </c>
      <c r="Y33" s="369"/>
      <c r="Z33" s="369"/>
      <c r="AA33" s="370"/>
      <c r="AB33" s="1"/>
      <c r="AC33" s="368" t="s">
        <v>140</v>
      </c>
      <c r="AD33" s="369"/>
      <c r="AE33" s="369"/>
      <c r="AF33" s="370"/>
      <c r="AG33" s="1"/>
      <c r="AH33" s="368" t="s">
        <v>140</v>
      </c>
      <c r="AI33" s="369"/>
      <c r="AJ33" s="369"/>
      <c r="AK33" s="370"/>
      <c r="AL33" s="1"/>
      <c r="AM33" s="368" t="s">
        <v>140</v>
      </c>
      <c r="AN33" s="369"/>
      <c r="AO33" s="369"/>
      <c r="AP33" s="370"/>
      <c r="AQ33" s="1"/>
      <c r="AR33" s="368" t="s">
        <v>140</v>
      </c>
      <c r="AS33" s="369"/>
      <c r="AT33" s="369"/>
      <c r="AU33" s="370"/>
      <c r="AV33" s="1"/>
      <c r="AW33" s="368" t="s">
        <v>140</v>
      </c>
      <c r="AX33" s="369"/>
      <c r="AY33" s="369"/>
      <c r="AZ33" s="370"/>
      <c r="BA33" s="1"/>
      <c r="BB33" s="368" t="s">
        <v>140</v>
      </c>
      <c r="BC33" s="369"/>
      <c r="BD33" s="369"/>
      <c r="BE33" s="370"/>
      <c r="BF33" s="1"/>
      <c r="BG33" s="1"/>
      <c r="BH33" s="1"/>
      <c r="BI33" s="1"/>
      <c r="BJ33" s="1"/>
      <c r="BK33" s="1"/>
      <c r="BL33" s="1"/>
      <c r="BM33" s="1"/>
      <c r="BN33" s="1"/>
      <c r="BO33" s="1"/>
      <c r="BP33" s="1"/>
      <c r="BQ33" s="1"/>
      <c r="BR33" s="1"/>
      <c r="BS33" s="1"/>
    </row>
    <row r="34" spans="1:71" ht="15.75" customHeight="1">
      <c r="A34" s="25">
        <f t="shared" si="0"/>
        <v>34</v>
      </c>
      <c r="B34" s="19" t="s">
        <v>141</v>
      </c>
      <c r="C34" s="19"/>
      <c r="D34" s="158"/>
      <c r="E34" s="159"/>
      <c r="F34" s="159"/>
      <c r="G34" s="160">
        <v>81.31</v>
      </c>
      <c r="H34" s="1"/>
      <c r="I34" s="158"/>
      <c r="J34" s="159"/>
      <c r="K34" s="159"/>
      <c r="L34" s="160">
        <v>109.65</v>
      </c>
      <c r="M34" s="1"/>
      <c r="N34" s="158"/>
      <c r="O34" s="159"/>
      <c r="P34" s="159"/>
      <c r="Q34" s="160">
        <v>110.72</v>
      </c>
      <c r="R34" s="1"/>
      <c r="S34" s="158"/>
      <c r="T34" s="159"/>
      <c r="U34" s="159"/>
      <c r="V34" s="160">
        <v>94100</v>
      </c>
      <c r="W34" s="1"/>
      <c r="X34" s="158"/>
      <c r="Y34" s="159"/>
      <c r="Z34" s="159"/>
      <c r="AA34" s="160">
        <v>5200</v>
      </c>
      <c r="AB34" s="1"/>
      <c r="AC34" s="158"/>
      <c r="AD34" s="159"/>
      <c r="AE34" s="159"/>
      <c r="AF34" s="160">
        <v>40650</v>
      </c>
      <c r="AG34" s="1"/>
      <c r="AH34" s="158"/>
      <c r="AI34" s="159"/>
      <c r="AJ34" s="159"/>
      <c r="AK34" s="160">
        <v>310.5</v>
      </c>
      <c r="AL34" s="1"/>
      <c r="AM34" s="158"/>
      <c r="AN34" s="159"/>
      <c r="AO34" s="159"/>
      <c r="AP34" s="160">
        <v>6023</v>
      </c>
      <c r="AQ34" s="1"/>
      <c r="AR34" s="158"/>
      <c r="AS34" s="159"/>
      <c r="AT34" s="159"/>
      <c r="AU34" s="160">
        <v>1630</v>
      </c>
      <c r="AV34" s="1"/>
      <c r="AW34" s="158"/>
      <c r="AX34" s="159"/>
      <c r="AY34" s="159"/>
      <c r="AZ34" s="160">
        <v>648000</v>
      </c>
      <c r="BA34" s="1"/>
      <c r="BB34" s="158"/>
      <c r="BC34" s="159"/>
      <c r="BD34" s="159"/>
      <c r="BE34" s="161" t="e">
        <f ca="1">_xludf.SINGLE(Share_Price)</f>
        <v>#NAME?</v>
      </c>
      <c r="BF34" s="1"/>
      <c r="BG34" s="1"/>
      <c r="BH34" s="1"/>
      <c r="BI34" s="1"/>
      <c r="BJ34" s="1"/>
      <c r="BK34" s="1"/>
      <c r="BL34" s="1"/>
      <c r="BM34" s="1"/>
      <c r="BN34" s="1"/>
      <c r="BO34" s="1"/>
      <c r="BP34" s="1"/>
      <c r="BQ34" s="1"/>
      <c r="BR34" s="1"/>
      <c r="BS34" s="1"/>
    </row>
    <row r="35" spans="1:71" ht="15.75" customHeight="1">
      <c r="A35" s="25">
        <f t="shared" si="0"/>
        <v>35</v>
      </c>
      <c r="B35" s="19" t="s">
        <v>142</v>
      </c>
      <c r="C35" s="19"/>
      <c r="D35" s="135"/>
      <c r="E35" s="136"/>
      <c r="F35" s="136"/>
      <c r="G35" s="162"/>
      <c r="H35" s="1"/>
      <c r="I35" s="135"/>
      <c r="J35" s="136"/>
      <c r="K35" s="136"/>
      <c r="L35" s="162">
        <v>289.67</v>
      </c>
      <c r="M35" s="1"/>
      <c r="N35" s="135"/>
      <c r="O35" s="136"/>
      <c r="P35" s="136"/>
      <c r="Q35" s="162">
        <v>113.42</v>
      </c>
      <c r="R35" s="1"/>
      <c r="S35" s="135"/>
      <c r="T35" s="136"/>
      <c r="U35" s="136"/>
      <c r="V35" s="162">
        <v>81.790000000000006</v>
      </c>
      <c r="W35" s="1"/>
      <c r="X35" s="135"/>
      <c r="Y35" s="136"/>
      <c r="Z35" s="136"/>
      <c r="AA35" s="162">
        <v>119.288</v>
      </c>
      <c r="AB35" s="1"/>
      <c r="AC35" s="135"/>
      <c r="AD35" s="136"/>
      <c r="AE35" s="136"/>
      <c r="AF35" s="162">
        <v>119.12375900000001</v>
      </c>
      <c r="AG35" s="1"/>
      <c r="AH35" s="135"/>
      <c r="AI35" s="136"/>
      <c r="AJ35" s="136"/>
      <c r="AK35" s="162">
        <v>96.12</v>
      </c>
      <c r="AL35" s="1"/>
      <c r="AM35" s="135"/>
      <c r="AN35" s="136"/>
      <c r="AO35" s="136"/>
      <c r="AP35" s="162">
        <v>219.68</v>
      </c>
      <c r="AQ35" s="1"/>
      <c r="AR35" s="135"/>
      <c r="AS35" s="136"/>
      <c r="AT35" s="136"/>
      <c r="AU35" s="162">
        <f>880.56</f>
        <v>880.56</v>
      </c>
      <c r="AV35" s="1"/>
      <c r="AW35" s="135"/>
      <c r="AX35" s="136"/>
      <c r="AY35" s="136"/>
      <c r="AZ35" s="162">
        <v>20.61</v>
      </c>
      <c r="BA35" s="1"/>
      <c r="BB35" s="135"/>
      <c r="BC35" s="136"/>
      <c r="BD35" s="136"/>
      <c r="BE35" s="162">
        <v>767</v>
      </c>
      <c r="BF35" s="1"/>
      <c r="BG35" s="1"/>
      <c r="BH35" s="1"/>
      <c r="BI35" s="1"/>
      <c r="BJ35" s="1"/>
      <c r="BK35" s="1"/>
      <c r="BL35" s="1"/>
      <c r="BM35" s="1"/>
      <c r="BN35" s="1"/>
      <c r="BO35" s="1"/>
      <c r="BP35" s="1"/>
      <c r="BQ35" s="1"/>
      <c r="BR35" s="1"/>
      <c r="BS35" s="1"/>
    </row>
    <row r="36" spans="1:71" ht="15.75" customHeight="1">
      <c r="A36" s="25">
        <f t="shared" si="0"/>
        <v>36</v>
      </c>
      <c r="B36" s="19" t="s">
        <v>143</v>
      </c>
      <c r="C36" s="19"/>
      <c r="D36" s="163"/>
      <c r="E36" s="164"/>
      <c r="F36" s="164"/>
      <c r="G36" s="165"/>
      <c r="H36" s="1"/>
      <c r="I36" s="163"/>
      <c r="J36" s="164"/>
      <c r="K36" s="164"/>
      <c r="L36" s="165"/>
      <c r="M36" s="1"/>
      <c r="N36" s="163"/>
      <c r="O36" s="164"/>
      <c r="P36" s="164"/>
      <c r="Q36" s="165"/>
      <c r="R36" s="1"/>
      <c r="S36" s="163"/>
      <c r="T36" s="164"/>
      <c r="U36" s="164"/>
      <c r="V36" s="165"/>
      <c r="W36" s="1"/>
      <c r="X36" s="163"/>
      <c r="Y36" s="164"/>
      <c r="Z36" s="164"/>
      <c r="AA36" s="165"/>
      <c r="AB36" s="1"/>
      <c r="AC36" s="163"/>
      <c r="AD36" s="164"/>
      <c r="AE36" s="164"/>
      <c r="AF36" s="165"/>
      <c r="AG36" s="1"/>
      <c r="AH36" s="163"/>
      <c r="AI36" s="164"/>
      <c r="AJ36" s="164"/>
      <c r="AK36" s="165"/>
      <c r="AL36" s="1"/>
      <c r="AM36" s="163"/>
      <c r="AN36" s="164"/>
      <c r="AO36" s="164"/>
      <c r="AP36" s="165"/>
      <c r="AQ36" s="1"/>
      <c r="AR36" s="163"/>
      <c r="AS36" s="164"/>
      <c r="AT36" s="164"/>
      <c r="AU36" s="165"/>
      <c r="AV36" s="1"/>
      <c r="AW36" s="163"/>
      <c r="AX36" s="164"/>
      <c r="AY36" s="164"/>
      <c r="AZ36" s="165"/>
      <c r="BA36" s="1"/>
      <c r="BB36" s="163"/>
      <c r="BC36" s="164"/>
      <c r="BD36" s="164"/>
      <c r="BE36" s="165"/>
      <c r="BF36" s="1"/>
      <c r="BG36" s="3"/>
      <c r="BH36" s="1"/>
      <c r="BI36" s="1"/>
      <c r="BJ36" s="1"/>
      <c r="BK36" s="1"/>
      <c r="BL36" s="1"/>
      <c r="BM36" s="1"/>
      <c r="BN36" s="1"/>
      <c r="BO36" s="1"/>
      <c r="BP36" s="1"/>
      <c r="BQ36" s="1"/>
      <c r="BR36" s="1"/>
      <c r="BS36" s="1"/>
    </row>
    <row r="37" spans="1:71" ht="15.75" customHeight="1">
      <c r="A37" s="25">
        <f t="shared" si="0"/>
        <v>37</v>
      </c>
      <c r="B37" s="1"/>
      <c r="C37" s="1"/>
      <c r="D37" s="163"/>
      <c r="E37" s="166" t="s">
        <v>144</v>
      </c>
      <c r="F37" s="167" t="s">
        <v>145</v>
      </c>
      <c r="G37" s="168" t="s">
        <v>146</v>
      </c>
      <c r="H37" s="1"/>
      <c r="I37" s="163"/>
      <c r="J37" s="166" t="s">
        <v>144</v>
      </c>
      <c r="K37" s="167" t="s">
        <v>145</v>
      </c>
      <c r="L37" s="168" t="s">
        <v>146</v>
      </c>
      <c r="M37" s="1"/>
      <c r="N37" s="163"/>
      <c r="O37" s="166" t="s">
        <v>144</v>
      </c>
      <c r="P37" s="167" t="s">
        <v>145</v>
      </c>
      <c r="Q37" s="168" t="s">
        <v>146</v>
      </c>
      <c r="R37" s="1"/>
      <c r="S37" s="163"/>
      <c r="T37" s="166" t="s">
        <v>144</v>
      </c>
      <c r="U37" s="167" t="s">
        <v>145</v>
      </c>
      <c r="V37" s="168" t="s">
        <v>146</v>
      </c>
      <c r="W37" s="1"/>
      <c r="X37" s="163"/>
      <c r="Y37" s="166" t="s">
        <v>144</v>
      </c>
      <c r="Z37" s="167" t="s">
        <v>145</v>
      </c>
      <c r="AA37" s="168" t="s">
        <v>146</v>
      </c>
      <c r="AB37" s="1"/>
      <c r="AC37" s="163"/>
      <c r="AD37" s="166" t="s">
        <v>144</v>
      </c>
      <c r="AE37" s="167" t="s">
        <v>145</v>
      </c>
      <c r="AF37" s="168" t="s">
        <v>146</v>
      </c>
      <c r="AG37" s="1"/>
      <c r="AH37" s="163"/>
      <c r="AI37" s="166" t="s">
        <v>144</v>
      </c>
      <c r="AJ37" s="167" t="s">
        <v>145</v>
      </c>
      <c r="AK37" s="168" t="s">
        <v>146</v>
      </c>
      <c r="AL37" s="1"/>
      <c r="AM37" s="163"/>
      <c r="AN37" s="166" t="s">
        <v>144</v>
      </c>
      <c r="AO37" s="167" t="s">
        <v>145</v>
      </c>
      <c r="AP37" s="168" t="s">
        <v>146</v>
      </c>
      <c r="AQ37" s="1"/>
      <c r="AR37" s="163"/>
      <c r="AS37" s="166" t="s">
        <v>144</v>
      </c>
      <c r="AT37" s="167" t="s">
        <v>145</v>
      </c>
      <c r="AU37" s="168" t="s">
        <v>146</v>
      </c>
      <c r="AV37" s="1"/>
      <c r="AW37" s="163"/>
      <c r="AX37" s="166" t="s">
        <v>144</v>
      </c>
      <c r="AY37" s="167" t="s">
        <v>145</v>
      </c>
      <c r="AZ37" s="168" t="s">
        <v>146</v>
      </c>
      <c r="BA37" s="1"/>
      <c r="BB37" s="163"/>
      <c r="BC37" s="166" t="s">
        <v>144</v>
      </c>
      <c r="BD37" s="167" t="s">
        <v>145</v>
      </c>
      <c r="BE37" s="168" t="s">
        <v>146</v>
      </c>
      <c r="BF37" s="1"/>
      <c r="BG37" s="1"/>
      <c r="BH37" s="1"/>
      <c r="BI37" s="1"/>
      <c r="BJ37" s="1"/>
      <c r="BK37" s="1"/>
      <c r="BL37" s="1"/>
      <c r="BM37" s="1"/>
      <c r="BN37" s="1"/>
      <c r="BO37" s="1"/>
      <c r="BP37" s="1"/>
      <c r="BQ37" s="1"/>
      <c r="BR37" s="1"/>
      <c r="BS37" s="1"/>
    </row>
    <row r="38" spans="1:71" ht="15.75" customHeight="1">
      <c r="A38" s="25">
        <f t="shared" si="0"/>
        <v>38</v>
      </c>
      <c r="B38" s="1"/>
      <c r="C38" s="1"/>
      <c r="D38" s="163"/>
      <c r="E38" s="169"/>
      <c r="F38" s="170"/>
      <c r="G38" s="171">
        <f t="shared" ref="G38:G46" si="26">IF(F38&lt;G$34,E38-((E38*F38)/G$34),0)</f>
        <v>0</v>
      </c>
      <c r="H38" s="1"/>
      <c r="I38" s="163"/>
      <c r="J38" s="169"/>
      <c r="K38" s="170"/>
      <c r="L38" s="171">
        <f t="shared" ref="L38:L46" si="27">IF(K38&lt;L$34,J38-((J38*K38)/L$34),0)</f>
        <v>0</v>
      </c>
      <c r="M38" s="1"/>
      <c r="N38" s="163"/>
      <c r="O38" s="169"/>
      <c r="P38" s="170"/>
      <c r="Q38" s="171">
        <f t="shared" ref="Q38:Q46" si="28">IF(P38&lt;Q$34,O38-((O38*P38)/Q$34),0)</f>
        <v>0</v>
      </c>
      <c r="R38" s="1"/>
      <c r="S38" s="163"/>
      <c r="T38" s="169"/>
      <c r="U38" s="170"/>
      <c r="V38" s="171">
        <f t="shared" ref="V38:V46" si="29">IF(U38&lt;V$34,T38-((T38*U38)/V$34),0)</f>
        <v>0</v>
      </c>
      <c r="W38" s="1"/>
      <c r="X38" s="163"/>
      <c r="Y38" s="169"/>
      <c r="Z38" s="170"/>
      <c r="AA38" s="171">
        <f t="shared" ref="AA38:AA46" si="30">IF(Z38&lt;AA$34,Y38-((Y38*Z38)/AA$34),0)</f>
        <v>0</v>
      </c>
      <c r="AB38" s="1"/>
      <c r="AC38" s="163"/>
      <c r="AD38" s="169"/>
      <c r="AE38" s="170"/>
      <c r="AF38" s="171">
        <f t="shared" ref="AF38:AF46" si="31">IF(AE38&lt;AF$34,AD38-((AD38*AE38)/AF$34),0)</f>
        <v>0</v>
      </c>
      <c r="AG38" s="1"/>
      <c r="AH38" s="163"/>
      <c r="AI38" s="169"/>
      <c r="AJ38" s="170"/>
      <c r="AK38" s="171">
        <f t="shared" ref="AK38:AK46" si="32">IF(AJ38&lt;AK$34,AI38-((AI38*AJ38)/AK$34),0)</f>
        <v>0</v>
      </c>
      <c r="AL38" s="1"/>
      <c r="AM38" s="163"/>
      <c r="AN38" s="169"/>
      <c r="AO38" s="170"/>
      <c r="AP38" s="171">
        <f t="shared" ref="AP38:AP46" si="33">IF(AO38&lt;AP$34,AN38-((AN38*AO38)/AP$34),0)</f>
        <v>0</v>
      </c>
      <c r="AQ38" s="1"/>
      <c r="AR38" s="163"/>
      <c r="AS38" s="169"/>
      <c r="AT38" s="170"/>
      <c r="AU38" s="171">
        <f t="shared" ref="AU38:AU46" si="34">IF(AT38&lt;AU$34,AS38-((AS38*AT38)/AU$34),0)</f>
        <v>0</v>
      </c>
      <c r="AV38" s="1"/>
      <c r="AW38" s="163"/>
      <c r="AX38" s="169"/>
      <c r="AY38" s="170"/>
      <c r="AZ38" s="171">
        <f t="shared" ref="AZ38:AZ46" si="35">IF(AY38&lt;AZ$34,AX38-((AX38*AY38)/AZ$34),0)</f>
        <v>0</v>
      </c>
      <c r="BA38" s="1"/>
      <c r="BB38" s="163"/>
      <c r="BC38" s="169"/>
      <c r="BD38" s="170"/>
      <c r="BE38" s="171" t="e">
        <f t="shared" ref="BE38:BE46" ca="1" si="36">IF(BD38&lt;BE$34,BC38-((BC38*BD38)/BE$34),0)</f>
        <v>#NAME?</v>
      </c>
      <c r="BF38" s="1"/>
      <c r="BG38" s="1"/>
      <c r="BH38" s="1"/>
      <c r="BI38" s="1"/>
      <c r="BJ38" s="1"/>
      <c r="BK38" s="1"/>
      <c r="BL38" s="1"/>
      <c r="BM38" s="1"/>
      <c r="BN38" s="1"/>
      <c r="BO38" s="1"/>
      <c r="BP38" s="1"/>
      <c r="BQ38" s="1"/>
      <c r="BR38" s="1"/>
      <c r="BS38" s="1"/>
    </row>
    <row r="39" spans="1:71" ht="15.75" customHeight="1">
      <c r="A39" s="25">
        <f t="shared" si="0"/>
        <v>39</v>
      </c>
      <c r="B39" s="1"/>
      <c r="C39" s="1"/>
      <c r="D39" s="163"/>
      <c r="E39" s="169"/>
      <c r="F39" s="170"/>
      <c r="G39" s="171">
        <f t="shared" si="26"/>
        <v>0</v>
      </c>
      <c r="H39" s="1"/>
      <c r="I39" s="163"/>
      <c r="J39" s="169"/>
      <c r="K39" s="170"/>
      <c r="L39" s="171">
        <f t="shared" si="27"/>
        <v>0</v>
      </c>
      <c r="M39" s="1"/>
      <c r="N39" s="163"/>
      <c r="O39" s="169"/>
      <c r="P39" s="170"/>
      <c r="Q39" s="171">
        <f t="shared" si="28"/>
        <v>0</v>
      </c>
      <c r="R39" s="1"/>
      <c r="S39" s="163"/>
      <c r="T39" s="169"/>
      <c r="U39" s="170"/>
      <c r="V39" s="171">
        <f t="shared" si="29"/>
        <v>0</v>
      </c>
      <c r="W39" s="1"/>
      <c r="X39" s="163"/>
      <c r="Y39" s="169"/>
      <c r="Z39" s="170"/>
      <c r="AA39" s="171">
        <f t="shared" si="30"/>
        <v>0</v>
      </c>
      <c r="AB39" s="1"/>
      <c r="AC39" s="163"/>
      <c r="AD39" s="169"/>
      <c r="AE39" s="170"/>
      <c r="AF39" s="171">
        <f t="shared" si="31"/>
        <v>0</v>
      </c>
      <c r="AG39" s="1"/>
      <c r="AH39" s="163"/>
      <c r="AI39" s="169"/>
      <c r="AJ39" s="170"/>
      <c r="AK39" s="171">
        <f t="shared" si="32"/>
        <v>0</v>
      </c>
      <c r="AL39" s="1"/>
      <c r="AM39" s="163"/>
      <c r="AN39" s="169"/>
      <c r="AO39" s="170"/>
      <c r="AP39" s="171">
        <f t="shared" si="33"/>
        <v>0</v>
      </c>
      <c r="AQ39" s="1"/>
      <c r="AR39" s="163"/>
      <c r="AS39" s="169"/>
      <c r="AT39" s="170"/>
      <c r="AU39" s="171">
        <f t="shared" si="34"/>
        <v>0</v>
      </c>
      <c r="AV39" s="1"/>
      <c r="AW39" s="163"/>
      <c r="AX39" s="169"/>
      <c r="AY39" s="170"/>
      <c r="AZ39" s="171">
        <f t="shared" si="35"/>
        <v>0</v>
      </c>
      <c r="BA39" s="1"/>
      <c r="BB39" s="163"/>
      <c r="BC39" s="169"/>
      <c r="BD39" s="170"/>
      <c r="BE39" s="171" t="e">
        <f t="shared" ca="1" si="36"/>
        <v>#NAME?</v>
      </c>
      <c r="BF39" s="1"/>
      <c r="BG39" s="3"/>
      <c r="BH39" s="1"/>
      <c r="BI39" s="1"/>
      <c r="BJ39" s="1"/>
      <c r="BK39" s="1"/>
      <c r="BL39" s="1"/>
      <c r="BM39" s="1"/>
      <c r="BN39" s="1"/>
      <c r="BO39" s="1"/>
      <c r="BP39" s="1"/>
      <c r="BQ39" s="1"/>
      <c r="BR39" s="1"/>
      <c r="BS39" s="1"/>
    </row>
    <row r="40" spans="1:71" ht="15.75" customHeight="1">
      <c r="A40" s="25">
        <f t="shared" si="0"/>
        <v>40</v>
      </c>
      <c r="B40" s="1"/>
      <c r="C40" s="1"/>
      <c r="D40" s="163"/>
      <c r="E40" s="169"/>
      <c r="F40" s="170"/>
      <c r="G40" s="171">
        <f t="shared" si="26"/>
        <v>0</v>
      </c>
      <c r="H40" s="1"/>
      <c r="I40" s="163"/>
      <c r="J40" s="169"/>
      <c r="K40" s="170"/>
      <c r="L40" s="171">
        <f t="shared" si="27"/>
        <v>0</v>
      </c>
      <c r="M40" s="1"/>
      <c r="N40" s="163"/>
      <c r="O40" s="169"/>
      <c r="P40" s="170"/>
      <c r="Q40" s="171">
        <f t="shared" si="28"/>
        <v>0</v>
      </c>
      <c r="R40" s="1"/>
      <c r="S40" s="163"/>
      <c r="T40" s="169"/>
      <c r="U40" s="170"/>
      <c r="V40" s="171">
        <f t="shared" si="29"/>
        <v>0</v>
      </c>
      <c r="W40" s="1"/>
      <c r="X40" s="163"/>
      <c r="Y40" s="169"/>
      <c r="Z40" s="170"/>
      <c r="AA40" s="171">
        <f t="shared" si="30"/>
        <v>0</v>
      </c>
      <c r="AB40" s="1"/>
      <c r="AC40" s="163"/>
      <c r="AD40" s="169"/>
      <c r="AE40" s="170"/>
      <c r="AF40" s="171">
        <f t="shared" si="31"/>
        <v>0</v>
      </c>
      <c r="AG40" s="1"/>
      <c r="AH40" s="163"/>
      <c r="AI40" s="169"/>
      <c r="AJ40" s="170"/>
      <c r="AK40" s="171">
        <f t="shared" si="32"/>
        <v>0</v>
      </c>
      <c r="AL40" s="1"/>
      <c r="AM40" s="163"/>
      <c r="AN40" s="169"/>
      <c r="AO40" s="170"/>
      <c r="AP40" s="171">
        <f t="shared" si="33"/>
        <v>0</v>
      </c>
      <c r="AQ40" s="1"/>
      <c r="AR40" s="163"/>
      <c r="AS40" s="169"/>
      <c r="AT40" s="170"/>
      <c r="AU40" s="171">
        <f t="shared" si="34"/>
        <v>0</v>
      </c>
      <c r="AV40" s="1"/>
      <c r="AW40" s="163"/>
      <c r="AX40" s="169"/>
      <c r="AY40" s="170"/>
      <c r="AZ40" s="171">
        <f t="shared" si="35"/>
        <v>0</v>
      </c>
      <c r="BA40" s="1"/>
      <c r="BB40" s="163"/>
      <c r="BC40" s="169"/>
      <c r="BD40" s="170"/>
      <c r="BE40" s="171" t="e">
        <f t="shared" ca="1" si="36"/>
        <v>#NAME?</v>
      </c>
      <c r="BF40" s="1"/>
      <c r="BG40" s="1"/>
      <c r="BH40" s="1"/>
      <c r="BI40" s="1"/>
      <c r="BJ40" s="1"/>
      <c r="BK40" s="1"/>
      <c r="BL40" s="1"/>
      <c r="BM40" s="1"/>
      <c r="BN40" s="1"/>
      <c r="BO40" s="1"/>
      <c r="BP40" s="1"/>
      <c r="BQ40" s="1"/>
      <c r="BR40" s="1"/>
      <c r="BS40" s="1"/>
    </row>
    <row r="41" spans="1:71" ht="15.75" customHeight="1">
      <c r="A41" s="25">
        <f t="shared" si="0"/>
        <v>41</v>
      </c>
      <c r="B41" s="1"/>
      <c r="C41" s="1"/>
      <c r="D41" s="163"/>
      <c r="E41" s="169"/>
      <c r="F41" s="170"/>
      <c r="G41" s="171">
        <f t="shared" si="26"/>
        <v>0</v>
      </c>
      <c r="H41" s="1"/>
      <c r="I41" s="163"/>
      <c r="J41" s="169"/>
      <c r="K41" s="170"/>
      <c r="L41" s="171">
        <f t="shared" si="27"/>
        <v>0</v>
      </c>
      <c r="M41" s="1"/>
      <c r="N41" s="163"/>
      <c r="O41" s="169"/>
      <c r="P41" s="170"/>
      <c r="Q41" s="171">
        <f t="shared" si="28"/>
        <v>0</v>
      </c>
      <c r="R41" s="1"/>
      <c r="S41" s="163"/>
      <c r="T41" s="169"/>
      <c r="U41" s="170"/>
      <c r="V41" s="171">
        <f t="shared" si="29"/>
        <v>0</v>
      </c>
      <c r="W41" s="1"/>
      <c r="X41" s="163"/>
      <c r="Y41" s="169"/>
      <c r="Z41" s="170"/>
      <c r="AA41" s="171">
        <f t="shared" si="30"/>
        <v>0</v>
      </c>
      <c r="AB41" s="1"/>
      <c r="AC41" s="163"/>
      <c r="AD41" s="169"/>
      <c r="AE41" s="170"/>
      <c r="AF41" s="171">
        <f t="shared" si="31"/>
        <v>0</v>
      </c>
      <c r="AG41" s="1"/>
      <c r="AH41" s="163"/>
      <c r="AI41" s="169"/>
      <c r="AJ41" s="170"/>
      <c r="AK41" s="171">
        <f t="shared" si="32"/>
        <v>0</v>
      </c>
      <c r="AL41" s="1"/>
      <c r="AM41" s="163"/>
      <c r="AN41" s="169"/>
      <c r="AO41" s="170"/>
      <c r="AP41" s="171">
        <f t="shared" si="33"/>
        <v>0</v>
      </c>
      <c r="AQ41" s="1"/>
      <c r="AR41" s="163"/>
      <c r="AS41" s="169"/>
      <c r="AT41" s="170"/>
      <c r="AU41" s="171">
        <f t="shared" si="34"/>
        <v>0</v>
      </c>
      <c r="AV41" s="1"/>
      <c r="AW41" s="163"/>
      <c r="AX41" s="169"/>
      <c r="AY41" s="170"/>
      <c r="AZ41" s="171">
        <f t="shared" si="35"/>
        <v>0</v>
      </c>
      <c r="BA41" s="1"/>
      <c r="BB41" s="163"/>
      <c r="BC41" s="169"/>
      <c r="BD41" s="170"/>
      <c r="BE41" s="171" t="e">
        <f t="shared" ca="1" si="36"/>
        <v>#NAME?</v>
      </c>
      <c r="BF41" s="1"/>
      <c r="BG41" s="1"/>
      <c r="BH41" s="1"/>
      <c r="BI41" s="1"/>
      <c r="BJ41" s="1"/>
      <c r="BK41" s="1"/>
      <c r="BL41" s="1"/>
      <c r="BM41" s="1"/>
      <c r="BN41" s="1"/>
      <c r="BO41" s="1"/>
      <c r="BP41" s="1"/>
      <c r="BQ41" s="1"/>
      <c r="BR41" s="1"/>
      <c r="BS41" s="1"/>
    </row>
    <row r="42" spans="1:71" ht="15.75" customHeight="1">
      <c r="A42" s="25">
        <f t="shared" si="0"/>
        <v>42</v>
      </c>
      <c r="B42" s="1"/>
      <c r="C42" s="1"/>
      <c r="D42" s="163"/>
      <c r="E42" s="169"/>
      <c r="F42" s="170"/>
      <c r="G42" s="171">
        <f t="shared" si="26"/>
        <v>0</v>
      </c>
      <c r="H42" s="1"/>
      <c r="I42" s="163"/>
      <c r="J42" s="169"/>
      <c r="K42" s="170"/>
      <c r="L42" s="171">
        <f t="shared" si="27"/>
        <v>0</v>
      </c>
      <c r="M42" s="1"/>
      <c r="N42" s="163"/>
      <c r="O42" s="169"/>
      <c r="P42" s="170"/>
      <c r="Q42" s="171">
        <f t="shared" si="28"/>
        <v>0</v>
      </c>
      <c r="R42" s="1"/>
      <c r="S42" s="163"/>
      <c r="T42" s="169"/>
      <c r="U42" s="170"/>
      <c r="V42" s="171">
        <f t="shared" si="29"/>
        <v>0</v>
      </c>
      <c r="W42" s="1"/>
      <c r="X42" s="163"/>
      <c r="Y42" s="169"/>
      <c r="Z42" s="170"/>
      <c r="AA42" s="171">
        <f t="shared" si="30"/>
        <v>0</v>
      </c>
      <c r="AB42" s="1"/>
      <c r="AC42" s="163"/>
      <c r="AD42" s="169"/>
      <c r="AE42" s="170"/>
      <c r="AF42" s="171">
        <f t="shared" si="31"/>
        <v>0</v>
      </c>
      <c r="AG42" s="1"/>
      <c r="AH42" s="163"/>
      <c r="AI42" s="169"/>
      <c r="AJ42" s="170"/>
      <c r="AK42" s="171">
        <f t="shared" si="32"/>
        <v>0</v>
      </c>
      <c r="AL42" s="1"/>
      <c r="AM42" s="163"/>
      <c r="AN42" s="169"/>
      <c r="AO42" s="170"/>
      <c r="AP42" s="171">
        <f t="shared" si="33"/>
        <v>0</v>
      </c>
      <c r="AQ42" s="1"/>
      <c r="AR42" s="163"/>
      <c r="AS42" s="169"/>
      <c r="AT42" s="170"/>
      <c r="AU42" s="171">
        <f t="shared" si="34"/>
        <v>0</v>
      </c>
      <c r="AV42" s="1"/>
      <c r="AW42" s="163"/>
      <c r="AX42" s="169"/>
      <c r="AY42" s="170"/>
      <c r="AZ42" s="171">
        <f t="shared" si="35"/>
        <v>0</v>
      </c>
      <c r="BA42" s="1"/>
      <c r="BB42" s="163"/>
      <c r="BC42" s="169"/>
      <c r="BD42" s="170"/>
      <c r="BE42" s="171" t="e">
        <f t="shared" ca="1" si="36"/>
        <v>#NAME?</v>
      </c>
      <c r="BF42" s="1"/>
      <c r="BG42" s="1"/>
      <c r="BH42" s="1"/>
      <c r="BI42" s="1"/>
      <c r="BJ42" s="1"/>
      <c r="BK42" s="1"/>
      <c r="BL42" s="1"/>
      <c r="BM42" s="1"/>
      <c r="BN42" s="1"/>
      <c r="BO42" s="1"/>
      <c r="BP42" s="1"/>
      <c r="BQ42" s="1"/>
      <c r="BR42" s="1"/>
      <c r="BS42" s="1"/>
    </row>
    <row r="43" spans="1:71" ht="15.75" customHeight="1">
      <c r="A43" s="25">
        <f t="shared" si="0"/>
        <v>43</v>
      </c>
      <c r="B43" s="1"/>
      <c r="C43" s="1"/>
      <c r="D43" s="163"/>
      <c r="E43" s="169"/>
      <c r="F43" s="170"/>
      <c r="G43" s="171">
        <f t="shared" si="26"/>
        <v>0</v>
      </c>
      <c r="H43" s="1"/>
      <c r="I43" s="163"/>
      <c r="J43" s="169"/>
      <c r="K43" s="170"/>
      <c r="L43" s="171">
        <f t="shared" si="27"/>
        <v>0</v>
      </c>
      <c r="M43" s="1"/>
      <c r="N43" s="163"/>
      <c r="O43" s="169"/>
      <c r="P43" s="170"/>
      <c r="Q43" s="171">
        <f t="shared" si="28"/>
        <v>0</v>
      </c>
      <c r="R43" s="1"/>
      <c r="S43" s="163"/>
      <c r="T43" s="169"/>
      <c r="U43" s="170"/>
      <c r="V43" s="171">
        <f t="shared" si="29"/>
        <v>0</v>
      </c>
      <c r="W43" s="1"/>
      <c r="X43" s="163"/>
      <c r="Y43" s="169"/>
      <c r="Z43" s="170"/>
      <c r="AA43" s="171">
        <f t="shared" si="30"/>
        <v>0</v>
      </c>
      <c r="AB43" s="1"/>
      <c r="AC43" s="163"/>
      <c r="AD43" s="169"/>
      <c r="AE43" s="170"/>
      <c r="AF43" s="171">
        <f t="shared" si="31"/>
        <v>0</v>
      </c>
      <c r="AG43" s="1"/>
      <c r="AH43" s="163"/>
      <c r="AI43" s="169"/>
      <c r="AJ43" s="170"/>
      <c r="AK43" s="171">
        <f t="shared" si="32"/>
        <v>0</v>
      </c>
      <c r="AL43" s="1"/>
      <c r="AM43" s="163"/>
      <c r="AN43" s="169"/>
      <c r="AO43" s="170"/>
      <c r="AP43" s="171">
        <f t="shared" si="33"/>
        <v>0</v>
      </c>
      <c r="AQ43" s="1"/>
      <c r="AR43" s="163"/>
      <c r="AS43" s="169"/>
      <c r="AT43" s="170"/>
      <c r="AU43" s="171">
        <f t="shared" si="34"/>
        <v>0</v>
      </c>
      <c r="AV43" s="1"/>
      <c r="AW43" s="163"/>
      <c r="AX43" s="169"/>
      <c r="AY43" s="170"/>
      <c r="AZ43" s="171">
        <f t="shared" si="35"/>
        <v>0</v>
      </c>
      <c r="BA43" s="1"/>
      <c r="BB43" s="163"/>
      <c r="BC43" s="169"/>
      <c r="BD43" s="170"/>
      <c r="BE43" s="171" t="e">
        <f t="shared" ca="1" si="36"/>
        <v>#NAME?</v>
      </c>
      <c r="BF43" s="1"/>
      <c r="BG43" s="1"/>
      <c r="BH43" s="1"/>
      <c r="BI43" s="1"/>
      <c r="BJ43" s="1"/>
      <c r="BK43" s="1"/>
      <c r="BL43" s="1"/>
      <c r="BM43" s="1"/>
      <c r="BN43" s="1"/>
      <c r="BO43" s="1"/>
      <c r="BP43" s="1"/>
      <c r="BQ43" s="1"/>
      <c r="BR43" s="1"/>
      <c r="BS43" s="1"/>
    </row>
    <row r="44" spans="1:71" ht="15.75" customHeight="1">
      <c r="A44" s="25">
        <f t="shared" si="0"/>
        <v>44</v>
      </c>
      <c r="B44" s="1"/>
      <c r="C44" s="1"/>
      <c r="D44" s="163"/>
      <c r="E44" s="169"/>
      <c r="F44" s="170"/>
      <c r="G44" s="171">
        <f t="shared" si="26"/>
        <v>0</v>
      </c>
      <c r="H44" s="1"/>
      <c r="I44" s="163"/>
      <c r="J44" s="169"/>
      <c r="K44" s="170"/>
      <c r="L44" s="171">
        <f t="shared" si="27"/>
        <v>0</v>
      </c>
      <c r="M44" s="1"/>
      <c r="N44" s="163"/>
      <c r="O44" s="169"/>
      <c r="P44" s="170"/>
      <c r="Q44" s="171">
        <f t="shared" si="28"/>
        <v>0</v>
      </c>
      <c r="R44" s="1"/>
      <c r="S44" s="163"/>
      <c r="T44" s="169"/>
      <c r="U44" s="170"/>
      <c r="V44" s="171">
        <f t="shared" si="29"/>
        <v>0</v>
      </c>
      <c r="W44" s="1"/>
      <c r="X44" s="163"/>
      <c r="Y44" s="169"/>
      <c r="Z44" s="170"/>
      <c r="AA44" s="171">
        <f t="shared" si="30"/>
        <v>0</v>
      </c>
      <c r="AB44" s="1"/>
      <c r="AC44" s="163"/>
      <c r="AD44" s="169"/>
      <c r="AE44" s="170"/>
      <c r="AF44" s="171">
        <f t="shared" si="31"/>
        <v>0</v>
      </c>
      <c r="AG44" s="1"/>
      <c r="AH44" s="163"/>
      <c r="AI44" s="169"/>
      <c r="AJ44" s="170"/>
      <c r="AK44" s="171">
        <f t="shared" si="32"/>
        <v>0</v>
      </c>
      <c r="AL44" s="1"/>
      <c r="AM44" s="163"/>
      <c r="AN44" s="169"/>
      <c r="AO44" s="170"/>
      <c r="AP44" s="171">
        <f t="shared" si="33"/>
        <v>0</v>
      </c>
      <c r="AQ44" s="1"/>
      <c r="AR44" s="163"/>
      <c r="AS44" s="169"/>
      <c r="AT44" s="170"/>
      <c r="AU44" s="171">
        <f t="shared" si="34"/>
        <v>0</v>
      </c>
      <c r="AV44" s="1"/>
      <c r="AW44" s="163"/>
      <c r="AX44" s="169"/>
      <c r="AY44" s="170"/>
      <c r="AZ44" s="171">
        <f t="shared" si="35"/>
        <v>0</v>
      </c>
      <c r="BA44" s="1"/>
      <c r="BB44" s="163"/>
      <c r="BC44" s="169"/>
      <c r="BD44" s="170"/>
      <c r="BE44" s="171" t="e">
        <f t="shared" ca="1" si="36"/>
        <v>#NAME?</v>
      </c>
      <c r="BF44" s="1"/>
      <c r="BG44" s="1"/>
      <c r="BH44" s="1"/>
      <c r="BI44" s="1"/>
      <c r="BJ44" s="1"/>
      <c r="BK44" s="1"/>
      <c r="BL44" s="1"/>
      <c r="BM44" s="1"/>
      <c r="BN44" s="1"/>
      <c r="BO44" s="1"/>
      <c r="BP44" s="1"/>
      <c r="BQ44" s="1"/>
      <c r="BR44" s="1"/>
      <c r="BS44" s="1"/>
    </row>
    <row r="45" spans="1:71" ht="15.75" customHeight="1">
      <c r="A45" s="25">
        <f t="shared" si="0"/>
        <v>45</v>
      </c>
      <c r="B45" s="1"/>
      <c r="C45" s="1"/>
      <c r="D45" s="163"/>
      <c r="E45" s="169"/>
      <c r="F45" s="170"/>
      <c r="G45" s="171">
        <f t="shared" si="26"/>
        <v>0</v>
      </c>
      <c r="H45" s="1"/>
      <c r="I45" s="163"/>
      <c r="J45" s="169"/>
      <c r="K45" s="170"/>
      <c r="L45" s="171">
        <f t="shared" si="27"/>
        <v>0</v>
      </c>
      <c r="M45" s="1"/>
      <c r="N45" s="163"/>
      <c r="O45" s="169"/>
      <c r="P45" s="170"/>
      <c r="Q45" s="171">
        <f t="shared" si="28"/>
        <v>0</v>
      </c>
      <c r="R45" s="1"/>
      <c r="S45" s="163"/>
      <c r="T45" s="169"/>
      <c r="U45" s="170"/>
      <c r="V45" s="171">
        <f t="shared" si="29"/>
        <v>0</v>
      </c>
      <c r="W45" s="1"/>
      <c r="X45" s="163"/>
      <c r="Y45" s="169"/>
      <c r="Z45" s="170"/>
      <c r="AA45" s="171">
        <f t="shared" si="30"/>
        <v>0</v>
      </c>
      <c r="AB45" s="1"/>
      <c r="AC45" s="163"/>
      <c r="AD45" s="169"/>
      <c r="AE45" s="170"/>
      <c r="AF45" s="171">
        <f t="shared" si="31"/>
        <v>0</v>
      </c>
      <c r="AG45" s="1"/>
      <c r="AH45" s="163"/>
      <c r="AI45" s="169"/>
      <c r="AJ45" s="170"/>
      <c r="AK45" s="171">
        <f t="shared" si="32"/>
        <v>0</v>
      </c>
      <c r="AL45" s="1"/>
      <c r="AM45" s="163"/>
      <c r="AN45" s="169"/>
      <c r="AO45" s="170"/>
      <c r="AP45" s="171">
        <f t="shared" si="33"/>
        <v>0</v>
      </c>
      <c r="AQ45" s="1"/>
      <c r="AR45" s="163"/>
      <c r="AS45" s="169"/>
      <c r="AT45" s="170"/>
      <c r="AU45" s="171">
        <f t="shared" si="34"/>
        <v>0</v>
      </c>
      <c r="AV45" s="1"/>
      <c r="AW45" s="163"/>
      <c r="AX45" s="169"/>
      <c r="AY45" s="170"/>
      <c r="AZ45" s="171">
        <f t="shared" si="35"/>
        <v>0</v>
      </c>
      <c r="BA45" s="1"/>
      <c r="BB45" s="163"/>
      <c r="BC45" s="169"/>
      <c r="BD45" s="170"/>
      <c r="BE45" s="171" t="e">
        <f t="shared" ca="1" si="36"/>
        <v>#NAME?</v>
      </c>
      <c r="BF45" s="1"/>
      <c r="BG45" s="1"/>
      <c r="BH45" s="1"/>
      <c r="BI45" s="1"/>
      <c r="BJ45" s="1"/>
      <c r="BK45" s="1"/>
      <c r="BL45" s="1"/>
      <c r="BM45" s="1"/>
      <c r="BN45" s="1"/>
      <c r="BO45" s="1"/>
      <c r="BP45" s="1"/>
      <c r="BQ45" s="1"/>
      <c r="BR45" s="1"/>
      <c r="BS45" s="1"/>
    </row>
    <row r="46" spans="1:71" ht="15.75" customHeight="1">
      <c r="A46" s="25">
        <f t="shared" si="0"/>
        <v>46</v>
      </c>
      <c r="B46" s="1"/>
      <c r="C46" s="1"/>
      <c r="D46" s="163"/>
      <c r="E46" s="169"/>
      <c r="F46" s="170"/>
      <c r="G46" s="171">
        <f t="shared" si="26"/>
        <v>0</v>
      </c>
      <c r="H46" s="82"/>
      <c r="I46" s="163"/>
      <c r="J46" s="169"/>
      <c r="K46" s="170"/>
      <c r="L46" s="171">
        <f t="shared" si="27"/>
        <v>0</v>
      </c>
      <c r="M46" s="1"/>
      <c r="N46" s="163"/>
      <c r="O46" s="169"/>
      <c r="P46" s="170"/>
      <c r="Q46" s="171">
        <f t="shared" si="28"/>
        <v>0</v>
      </c>
      <c r="R46" s="1"/>
      <c r="S46" s="163"/>
      <c r="T46" s="169"/>
      <c r="U46" s="170"/>
      <c r="V46" s="171">
        <f t="shared" si="29"/>
        <v>0</v>
      </c>
      <c r="W46" s="1"/>
      <c r="X46" s="163"/>
      <c r="Y46" s="169"/>
      <c r="Z46" s="170"/>
      <c r="AA46" s="171">
        <f t="shared" si="30"/>
        <v>0</v>
      </c>
      <c r="AB46" s="1"/>
      <c r="AC46" s="163"/>
      <c r="AD46" s="169"/>
      <c r="AE46" s="170"/>
      <c r="AF46" s="171">
        <f t="shared" si="31"/>
        <v>0</v>
      </c>
      <c r="AG46" s="1"/>
      <c r="AH46" s="163"/>
      <c r="AI46" s="169"/>
      <c r="AJ46" s="170"/>
      <c r="AK46" s="171">
        <f t="shared" si="32"/>
        <v>0</v>
      </c>
      <c r="AL46" s="1"/>
      <c r="AM46" s="163"/>
      <c r="AN46" s="169"/>
      <c r="AO46" s="170"/>
      <c r="AP46" s="171">
        <f t="shared" si="33"/>
        <v>0</v>
      </c>
      <c r="AQ46" s="1"/>
      <c r="AR46" s="163"/>
      <c r="AS46" s="169"/>
      <c r="AT46" s="170"/>
      <c r="AU46" s="171">
        <f t="shared" si="34"/>
        <v>0</v>
      </c>
      <c r="AV46" s="1"/>
      <c r="AW46" s="163"/>
      <c r="AX46" s="169"/>
      <c r="AY46" s="170"/>
      <c r="AZ46" s="171">
        <f t="shared" si="35"/>
        <v>0</v>
      </c>
      <c r="BA46" s="1"/>
      <c r="BB46" s="163"/>
      <c r="BC46" s="169"/>
      <c r="BD46" s="170"/>
      <c r="BE46" s="171" t="e">
        <f t="shared" ca="1" si="36"/>
        <v>#NAME?</v>
      </c>
      <c r="BF46" s="1"/>
      <c r="BG46" s="3"/>
      <c r="BH46" s="1"/>
      <c r="BI46" s="1"/>
      <c r="BJ46" s="1"/>
      <c r="BK46" s="1"/>
      <c r="BL46" s="1"/>
      <c r="BM46" s="1"/>
      <c r="BN46" s="1"/>
      <c r="BO46" s="1"/>
      <c r="BP46" s="1"/>
      <c r="BQ46" s="1"/>
      <c r="BR46" s="1"/>
      <c r="BS46" s="1"/>
    </row>
    <row r="47" spans="1:71" ht="15.75" customHeight="1">
      <c r="A47" s="25">
        <f t="shared" si="0"/>
        <v>47</v>
      </c>
      <c r="B47" s="1"/>
      <c r="C47" s="1"/>
      <c r="D47" s="163"/>
      <c r="E47" s="207"/>
      <c r="F47" s="208"/>
      <c r="G47" s="209"/>
      <c r="H47" s="1"/>
      <c r="I47" s="163"/>
      <c r="J47" s="207"/>
      <c r="K47" s="208"/>
      <c r="L47" s="209"/>
      <c r="M47" s="1"/>
      <c r="N47" s="163"/>
      <c r="O47" s="207"/>
      <c r="P47" s="208"/>
      <c r="Q47" s="209"/>
      <c r="R47" s="1"/>
      <c r="S47" s="163"/>
      <c r="T47" s="207"/>
      <c r="U47" s="208"/>
      <c r="V47" s="209"/>
      <c r="W47" s="1"/>
      <c r="X47" s="163"/>
      <c r="Y47" s="207"/>
      <c r="Z47" s="208"/>
      <c r="AA47" s="209"/>
      <c r="AB47" s="1"/>
      <c r="AC47" s="163"/>
      <c r="AD47" s="207"/>
      <c r="AE47" s="208"/>
      <c r="AF47" s="209"/>
      <c r="AG47" s="1"/>
      <c r="AH47" s="163"/>
      <c r="AI47" s="207"/>
      <c r="AJ47" s="208"/>
      <c r="AK47" s="209"/>
      <c r="AL47" s="1"/>
      <c r="AM47" s="163"/>
      <c r="AN47" s="207"/>
      <c r="AO47" s="208"/>
      <c r="AP47" s="209"/>
      <c r="AQ47" s="1"/>
      <c r="AR47" s="163"/>
      <c r="AS47" s="207"/>
      <c r="AT47" s="208"/>
      <c r="AU47" s="209"/>
      <c r="AV47" s="1"/>
      <c r="AW47" s="163"/>
      <c r="AX47" s="207"/>
      <c r="AY47" s="208"/>
      <c r="AZ47" s="209"/>
      <c r="BA47" s="1"/>
      <c r="BB47" s="163"/>
      <c r="BC47" s="207"/>
      <c r="BD47" s="208"/>
      <c r="BE47" s="209"/>
      <c r="BF47" s="1"/>
      <c r="BG47" s="1"/>
      <c r="BH47" s="1"/>
      <c r="BI47" s="1"/>
      <c r="BJ47" s="1"/>
      <c r="BK47" s="1"/>
      <c r="BL47" s="1"/>
      <c r="BM47" s="1"/>
      <c r="BN47" s="1"/>
      <c r="BO47" s="1"/>
      <c r="BP47" s="1"/>
      <c r="BQ47" s="1"/>
      <c r="BR47" s="1"/>
      <c r="BS47" s="1"/>
    </row>
    <row r="48" spans="1:71" ht="15.75" customHeight="1">
      <c r="A48" s="25">
        <f t="shared" si="0"/>
        <v>48</v>
      </c>
      <c r="B48" s="19" t="s">
        <v>72</v>
      </c>
      <c r="C48" s="1"/>
      <c r="D48" s="166" t="s">
        <v>171</v>
      </c>
      <c r="E48" s="167" t="s">
        <v>172</v>
      </c>
      <c r="F48" s="167" t="s">
        <v>173</v>
      </c>
      <c r="G48" s="168" t="s">
        <v>146</v>
      </c>
      <c r="H48" s="1"/>
      <c r="I48" s="166" t="s">
        <v>171</v>
      </c>
      <c r="J48" s="167" t="s">
        <v>172</v>
      </c>
      <c r="K48" s="167" t="s">
        <v>173</v>
      </c>
      <c r="L48" s="168" t="s">
        <v>146</v>
      </c>
      <c r="M48" s="1"/>
      <c r="N48" s="166" t="s">
        <v>171</v>
      </c>
      <c r="O48" s="167" t="s">
        <v>172</v>
      </c>
      <c r="P48" s="167" t="s">
        <v>173</v>
      </c>
      <c r="Q48" s="168" t="s">
        <v>146</v>
      </c>
      <c r="R48" s="1"/>
      <c r="S48" s="166" t="s">
        <v>171</v>
      </c>
      <c r="T48" s="167" t="s">
        <v>172</v>
      </c>
      <c r="U48" s="167" t="s">
        <v>173</v>
      </c>
      <c r="V48" s="168" t="s">
        <v>146</v>
      </c>
      <c r="W48" s="1"/>
      <c r="X48" s="166" t="s">
        <v>171</v>
      </c>
      <c r="Y48" s="167" t="s">
        <v>172</v>
      </c>
      <c r="Z48" s="167" t="s">
        <v>173</v>
      </c>
      <c r="AA48" s="168" t="s">
        <v>146</v>
      </c>
      <c r="AB48" s="1"/>
      <c r="AC48" s="166" t="s">
        <v>171</v>
      </c>
      <c r="AD48" s="167" t="s">
        <v>172</v>
      </c>
      <c r="AE48" s="167" t="s">
        <v>173</v>
      </c>
      <c r="AF48" s="168" t="s">
        <v>146</v>
      </c>
      <c r="AG48" s="1"/>
      <c r="AH48" s="166" t="s">
        <v>171</v>
      </c>
      <c r="AI48" s="167" t="s">
        <v>172</v>
      </c>
      <c r="AJ48" s="167" t="s">
        <v>173</v>
      </c>
      <c r="AK48" s="168" t="s">
        <v>146</v>
      </c>
      <c r="AL48" s="1"/>
      <c r="AM48" s="166" t="s">
        <v>171</v>
      </c>
      <c r="AN48" s="167" t="s">
        <v>172</v>
      </c>
      <c r="AO48" s="167" t="s">
        <v>173</v>
      </c>
      <c r="AP48" s="168" t="s">
        <v>146</v>
      </c>
      <c r="AQ48" s="1"/>
      <c r="AR48" s="166" t="s">
        <v>171</v>
      </c>
      <c r="AS48" s="167" t="s">
        <v>172</v>
      </c>
      <c r="AT48" s="167" t="s">
        <v>173</v>
      </c>
      <c r="AU48" s="168" t="s">
        <v>146</v>
      </c>
      <c r="AV48" s="1"/>
      <c r="AW48" s="166" t="s">
        <v>171</v>
      </c>
      <c r="AX48" s="167" t="s">
        <v>172</v>
      </c>
      <c r="AY48" s="167" t="s">
        <v>173</v>
      </c>
      <c r="AZ48" s="168" t="s">
        <v>146</v>
      </c>
      <c r="BA48" s="1"/>
      <c r="BB48" s="166" t="s">
        <v>171</v>
      </c>
      <c r="BC48" s="167" t="s">
        <v>172</v>
      </c>
      <c r="BD48" s="167" t="s">
        <v>173</v>
      </c>
      <c r="BE48" s="168" t="s">
        <v>146</v>
      </c>
      <c r="BF48" s="1"/>
      <c r="BG48" s="1"/>
      <c r="BH48" s="1"/>
      <c r="BI48" s="1"/>
      <c r="BJ48" s="1"/>
      <c r="BK48" s="1"/>
      <c r="BL48" s="1"/>
      <c r="BM48" s="1"/>
      <c r="BN48" s="1"/>
      <c r="BO48" s="1"/>
      <c r="BP48" s="1"/>
      <c r="BQ48" s="1"/>
      <c r="BR48" s="1"/>
      <c r="BS48" s="1"/>
    </row>
    <row r="49" spans="1:71" ht="15.75" customHeight="1">
      <c r="A49" s="25">
        <f t="shared" si="0"/>
        <v>49</v>
      </c>
      <c r="B49" s="1"/>
      <c r="C49" s="1"/>
      <c r="D49" s="138"/>
      <c r="E49" s="213"/>
      <c r="F49" s="214"/>
      <c r="G49" s="171">
        <f t="shared" ref="G49:G50" si="37">IFERROR(IF(F49&gt;G$34,0,(+E49/F49)*D49/E49),0)</f>
        <v>0</v>
      </c>
      <c r="H49" s="1"/>
      <c r="I49" s="138"/>
      <c r="J49" s="213"/>
      <c r="K49" s="214"/>
      <c r="L49" s="171">
        <f t="shared" ref="L49:L50" si="38">IFERROR(IF(K49&gt;L$34,0,(+J49/K49)*I49/J49),0)</f>
        <v>0</v>
      </c>
      <c r="M49" s="1"/>
      <c r="N49" s="138"/>
      <c r="O49" s="213"/>
      <c r="P49" s="214"/>
      <c r="Q49" s="171">
        <f t="shared" ref="Q49:Q50" si="39">IFERROR(IF(P49&gt;Q$34,0,(+O49/P49)*N49/O49),0)</f>
        <v>0</v>
      </c>
      <c r="R49" s="18"/>
      <c r="S49" s="138"/>
      <c r="T49" s="213"/>
      <c r="U49" s="214"/>
      <c r="V49" s="171">
        <f t="shared" ref="V49:V50" si="40">IFERROR(IF(U49&gt;V$34,0,(+T49/U49)*S49/T49),0)</f>
        <v>0</v>
      </c>
      <c r="W49" s="18"/>
      <c r="X49" s="137"/>
      <c r="Y49" s="213"/>
      <c r="Z49" s="214"/>
      <c r="AA49" s="171">
        <f>IFERROR(IF(Z49&gt;AA$34,0,+X49/Z49-(AA$34*(X49/Z49)-X49)*0.5/AA$34),0)</f>
        <v>0</v>
      </c>
      <c r="AB49" s="18"/>
      <c r="AC49" s="137"/>
      <c r="AD49" s="213"/>
      <c r="AE49" s="214"/>
      <c r="AF49" s="171">
        <f t="shared" ref="AF49:AF50" si="41">IFERROR(IF(AE49&gt;AF$34,0,(+AD49/AE49)*AC49/AD49),0)</f>
        <v>0</v>
      </c>
      <c r="AG49" s="18"/>
      <c r="AH49" s="138"/>
      <c r="AI49" s="213"/>
      <c r="AJ49" s="214"/>
      <c r="AK49" s="171">
        <f t="shared" ref="AK49:AK50" si="42">IFERROR(IF(AJ49&gt;AK$34,0,(+AI49/AJ49)*AH49/AI49),0)</f>
        <v>0</v>
      </c>
      <c r="AL49" s="18"/>
      <c r="AM49" s="138"/>
      <c r="AN49" s="213"/>
      <c r="AO49" s="214"/>
      <c r="AP49" s="171">
        <f t="shared" ref="AP49:AP50" si="43">IFERROR(IF(AO49&gt;AP$34,0,(+AN49/AO49)*AM49/AN49),0)</f>
        <v>0</v>
      </c>
      <c r="AQ49" s="18"/>
      <c r="AR49" s="138"/>
      <c r="AS49" s="213"/>
      <c r="AT49" s="214"/>
      <c r="AU49" s="171">
        <f t="shared" ref="AU49:AU50" si="44">IFERROR(IF(AT49&gt;AU$34,0,(+AS49/AT49)*AR49/AS49),0)</f>
        <v>0</v>
      </c>
      <c r="AV49" s="18"/>
      <c r="AW49" s="138"/>
      <c r="AX49" s="213"/>
      <c r="AY49" s="214"/>
      <c r="AZ49" s="171">
        <f t="shared" ref="AZ49:AZ50" si="45">IFERROR(IF(AY49&gt;AZ$34,0,(+AX49/AY49)*AW49/AX49),0)</f>
        <v>0</v>
      </c>
      <c r="BA49" s="18"/>
      <c r="BB49" s="138"/>
      <c r="BC49" s="213"/>
      <c r="BD49" s="214"/>
      <c r="BE49" s="171">
        <f t="shared" ref="BE49:BE50" ca="1" si="46">IFERROR(IF(BD49&gt;BE$34,0,(+BC49/BD49)*BB49/BC49),0)</f>
        <v>0</v>
      </c>
      <c r="BF49" s="1"/>
      <c r="BG49" s="3"/>
      <c r="BH49" s="1"/>
      <c r="BI49" s="1"/>
      <c r="BJ49" s="1"/>
      <c r="BK49" s="1"/>
      <c r="BL49" s="1"/>
      <c r="BM49" s="1"/>
      <c r="BN49" s="1"/>
      <c r="BO49" s="1"/>
      <c r="BP49" s="1"/>
      <c r="BQ49" s="1"/>
      <c r="BR49" s="1"/>
      <c r="BS49" s="1"/>
    </row>
    <row r="50" spans="1:71" ht="15.75" customHeight="1">
      <c r="A50" s="25">
        <f t="shared" si="0"/>
        <v>50</v>
      </c>
      <c r="B50" s="1"/>
      <c r="C50" s="1"/>
      <c r="D50" s="138"/>
      <c r="E50" s="213"/>
      <c r="F50" s="214"/>
      <c r="G50" s="171">
        <f t="shared" si="37"/>
        <v>0</v>
      </c>
      <c r="H50" s="1"/>
      <c r="I50" s="138"/>
      <c r="J50" s="213"/>
      <c r="K50" s="214"/>
      <c r="L50" s="171">
        <f t="shared" si="38"/>
        <v>0</v>
      </c>
      <c r="M50" s="1"/>
      <c r="N50" s="138"/>
      <c r="O50" s="213"/>
      <c r="P50" s="214"/>
      <c r="Q50" s="171">
        <f t="shared" si="39"/>
        <v>0</v>
      </c>
      <c r="R50" s="1"/>
      <c r="S50" s="138"/>
      <c r="T50" s="213"/>
      <c r="U50" s="214"/>
      <c r="V50" s="171">
        <f t="shared" si="40"/>
        <v>0</v>
      </c>
      <c r="W50" s="1"/>
      <c r="X50" s="138"/>
      <c r="Y50" s="213"/>
      <c r="Z50" s="214"/>
      <c r="AA50" s="171">
        <f>IFERROR(IF(Z50&gt;AA$34,0,(+Y50/Z50)*X50/Y50),0)</f>
        <v>0</v>
      </c>
      <c r="AB50" s="1"/>
      <c r="AC50" s="138"/>
      <c r="AD50" s="213"/>
      <c r="AE50" s="214"/>
      <c r="AF50" s="171">
        <f t="shared" si="41"/>
        <v>0</v>
      </c>
      <c r="AG50" s="1"/>
      <c r="AH50" s="138"/>
      <c r="AI50" s="213"/>
      <c r="AJ50" s="214"/>
      <c r="AK50" s="171">
        <f t="shared" si="42"/>
        <v>0</v>
      </c>
      <c r="AL50" s="1"/>
      <c r="AM50" s="138"/>
      <c r="AN50" s="213"/>
      <c r="AO50" s="214"/>
      <c r="AP50" s="171">
        <f t="shared" si="43"/>
        <v>0</v>
      </c>
      <c r="AQ50" s="1"/>
      <c r="AR50" s="138"/>
      <c r="AS50" s="213"/>
      <c r="AT50" s="214"/>
      <c r="AU50" s="171">
        <f t="shared" si="44"/>
        <v>0</v>
      </c>
      <c r="AV50" s="1"/>
      <c r="AW50" s="138"/>
      <c r="AX50" s="213"/>
      <c r="AY50" s="214"/>
      <c r="AZ50" s="171">
        <f t="shared" si="45"/>
        <v>0</v>
      </c>
      <c r="BA50" s="1"/>
      <c r="BB50" s="138"/>
      <c r="BC50" s="213"/>
      <c r="BD50" s="214"/>
      <c r="BE50" s="171">
        <f t="shared" ca="1" si="46"/>
        <v>0</v>
      </c>
      <c r="BF50" s="1"/>
      <c r="BG50" s="1"/>
      <c r="BH50" s="1"/>
      <c r="BI50" s="1"/>
      <c r="BJ50" s="1"/>
      <c r="BK50" s="1"/>
      <c r="BL50" s="1"/>
      <c r="BM50" s="1"/>
      <c r="BN50" s="1"/>
      <c r="BO50" s="1"/>
      <c r="BP50" s="1"/>
      <c r="BQ50" s="1"/>
      <c r="BR50" s="1"/>
      <c r="BS50" s="1"/>
    </row>
    <row r="51" spans="1:71" ht="15.75" customHeight="1">
      <c r="A51" s="25">
        <f t="shared" si="0"/>
        <v>51</v>
      </c>
      <c r="B51" s="1"/>
      <c r="C51" s="1"/>
      <c r="D51" s="163"/>
      <c r="E51" s="219"/>
      <c r="F51" s="220"/>
      <c r="G51" s="221"/>
      <c r="H51" s="1"/>
      <c r="I51" s="163"/>
      <c r="J51" s="219"/>
      <c r="K51" s="220"/>
      <c r="L51" s="221"/>
      <c r="M51" s="1"/>
      <c r="N51" s="163"/>
      <c r="O51" s="219"/>
      <c r="P51" s="220"/>
      <c r="Q51" s="221"/>
      <c r="R51" s="1"/>
      <c r="S51" s="163"/>
      <c r="T51" s="219"/>
      <c r="U51" s="220"/>
      <c r="V51" s="221"/>
      <c r="W51" s="1"/>
      <c r="X51" s="163"/>
      <c r="Y51" s="219"/>
      <c r="Z51" s="220"/>
      <c r="AA51" s="221"/>
      <c r="AB51" s="1"/>
      <c r="AC51" s="163"/>
      <c r="AD51" s="219"/>
      <c r="AE51" s="220"/>
      <c r="AF51" s="221"/>
      <c r="AG51" s="1"/>
      <c r="AH51" s="163"/>
      <c r="AI51" s="219"/>
      <c r="AJ51" s="220"/>
      <c r="AK51" s="221"/>
      <c r="AL51" s="1"/>
      <c r="AM51" s="163"/>
      <c r="AN51" s="219"/>
      <c r="AO51" s="220"/>
      <c r="AP51" s="221"/>
      <c r="AQ51" s="1"/>
      <c r="AR51" s="163"/>
      <c r="AS51" s="219"/>
      <c r="AT51" s="220"/>
      <c r="AU51" s="221"/>
      <c r="AV51" s="1"/>
      <c r="AW51" s="163"/>
      <c r="AX51" s="219"/>
      <c r="AY51" s="220"/>
      <c r="AZ51" s="221"/>
      <c r="BA51" s="1"/>
      <c r="BB51" s="163"/>
      <c r="BC51" s="219"/>
      <c r="BD51" s="220"/>
      <c r="BE51" s="221"/>
      <c r="BF51" s="1"/>
      <c r="BG51" s="1"/>
      <c r="BH51" s="1"/>
      <c r="BI51" s="1"/>
      <c r="BJ51" s="1"/>
      <c r="BK51" s="1"/>
      <c r="BL51" s="1"/>
      <c r="BM51" s="1"/>
      <c r="BN51" s="1"/>
      <c r="BO51" s="1"/>
      <c r="BP51" s="1"/>
      <c r="BQ51" s="1"/>
      <c r="BR51" s="1"/>
      <c r="BS51" s="1"/>
    </row>
    <row r="52" spans="1:71" ht="15.75" customHeight="1">
      <c r="A52" s="25">
        <f t="shared" si="0"/>
        <v>52</v>
      </c>
      <c r="B52" s="1"/>
      <c r="C52" s="1"/>
      <c r="D52" s="163"/>
      <c r="E52" s="222"/>
      <c r="F52" s="223" t="s">
        <v>179</v>
      </c>
      <c r="G52" s="168" t="s">
        <v>146</v>
      </c>
      <c r="H52" s="1"/>
      <c r="I52" s="163"/>
      <c r="J52" s="222"/>
      <c r="K52" s="223" t="s">
        <v>179</v>
      </c>
      <c r="L52" s="168" t="s">
        <v>146</v>
      </c>
      <c r="M52" s="1"/>
      <c r="N52" s="163"/>
      <c r="O52" s="222"/>
      <c r="P52" s="223" t="s">
        <v>179</v>
      </c>
      <c r="Q52" s="168" t="s">
        <v>146</v>
      </c>
      <c r="R52" s="1"/>
      <c r="S52" s="163"/>
      <c r="T52" s="222"/>
      <c r="U52" s="223" t="s">
        <v>179</v>
      </c>
      <c r="V52" s="168" t="s">
        <v>146</v>
      </c>
      <c r="W52" s="1"/>
      <c r="X52" s="163"/>
      <c r="Y52" s="222"/>
      <c r="Z52" s="223" t="s">
        <v>179</v>
      </c>
      <c r="AA52" s="168" t="s">
        <v>146</v>
      </c>
      <c r="AB52" s="1"/>
      <c r="AC52" s="163"/>
      <c r="AD52" s="222"/>
      <c r="AE52" s="223" t="s">
        <v>179</v>
      </c>
      <c r="AF52" s="168" t="s">
        <v>146</v>
      </c>
      <c r="AG52" s="1"/>
      <c r="AH52" s="163"/>
      <c r="AI52" s="222"/>
      <c r="AJ52" s="223" t="s">
        <v>179</v>
      </c>
      <c r="AK52" s="168" t="s">
        <v>146</v>
      </c>
      <c r="AL52" s="1"/>
      <c r="AM52" s="163"/>
      <c r="AN52" s="222"/>
      <c r="AO52" s="223" t="s">
        <v>179</v>
      </c>
      <c r="AP52" s="168" t="s">
        <v>146</v>
      </c>
      <c r="AQ52" s="1"/>
      <c r="AR52" s="163"/>
      <c r="AS52" s="222"/>
      <c r="AT52" s="223" t="s">
        <v>179</v>
      </c>
      <c r="AU52" s="168" t="s">
        <v>146</v>
      </c>
      <c r="AV52" s="1"/>
      <c r="AW52" s="163"/>
      <c r="AX52" s="222"/>
      <c r="AY52" s="223" t="s">
        <v>179</v>
      </c>
      <c r="AZ52" s="168" t="s">
        <v>146</v>
      </c>
      <c r="BA52" s="1"/>
      <c r="BB52" s="163"/>
      <c r="BC52" s="222"/>
      <c r="BD52" s="223" t="s">
        <v>179</v>
      </c>
      <c r="BE52" s="168" t="s">
        <v>146</v>
      </c>
      <c r="BF52" s="1"/>
      <c r="BG52" s="3"/>
      <c r="BH52" s="1"/>
      <c r="BI52" s="1"/>
      <c r="BJ52" s="1"/>
      <c r="BK52" s="1"/>
      <c r="BL52" s="1"/>
      <c r="BM52" s="1"/>
      <c r="BN52" s="1"/>
      <c r="BO52" s="1"/>
      <c r="BP52" s="1"/>
      <c r="BQ52" s="1"/>
      <c r="BR52" s="1"/>
      <c r="BS52" s="1"/>
    </row>
    <row r="53" spans="1:71" ht="15.75" customHeight="1">
      <c r="A53" s="25">
        <f t="shared" si="0"/>
        <v>53</v>
      </c>
      <c r="B53" s="19" t="s">
        <v>180</v>
      </c>
      <c r="C53" s="1"/>
      <c r="D53" s="163"/>
      <c r="E53" s="222"/>
      <c r="F53" s="169"/>
      <c r="G53" s="171">
        <f>+F53</f>
        <v>0</v>
      </c>
      <c r="H53" s="82"/>
      <c r="I53" s="163"/>
      <c r="J53" s="222"/>
      <c r="K53" s="169"/>
      <c r="L53" s="171">
        <f>+K53</f>
        <v>0</v>
      </c>
      <c r="M53" s="1"/>
      <c r="N53" s="163"/>
      <c r="O53" s="222"/>
      <c r="P53" s="169"/>
      <c r="Q53" s="171">
        <f>+P53</f>
        <v>0</v>
      </c>
      <c r="R53" s="1"/>
      <c r="S53" s="163"/>
      <c r="T53" s="222"/>
      <c r="U53" s="169"/>
      <c r="V53" s="171">
        <f>+U53</f>
        <v>0</v>
      </c>
      <c r="W53" s="1"/>
      <c r="X53" s="163"/>
      <c r="Y53" s="222"/>
      <c r="Z53" s="169"/>
      <c r="AA53" s="171">
        <f>+Z53</f>
        <v>0</v>
      </c>
      <c r="AB53" s="1"/>
      <c r="AC53" s="163"/>
      <c r="AD53" s="222"/>
      <c r="AE53" s="169"/>
      <c r="AF53" s="171">
        <f>+AE53</f>
        <v>0</v>
      </c>
      <c r="AG53" s="1"/>
      <c r="AH53" s="163"/>
      <c r="AI53" s="222"/>
      <c r="AJ53" s="169"/>
      <c r="AK53" s="171">
        <f>+AJ53</f>
        <v>0</v>
      </c>
      <c r="AL53" s="1"/>
      <c r="AM53" s="163"/>
      <c r="AN53" s="222"/>
      <c r="AO53" s="169"/>
      <c r="AP53" s="171">
        <f>+AO53</f>
        <v>0</v>
      </c>
      <c r="AQ53" s="1"/>
      <c r="AR53" s="163"/>
      <c r="AS53" s="222"/>
      <c r="AT53" s="169"/>
      <c r="AU53" s="171">
        <f>+AT53</f>
        <v>0</v>
      </c>
      <c r="AV53" s="1"/>
      <c r="AW53" s="163"/>
      <c r="AX53" s="222"/>
      <c r="AY53" s="169"/>
      <c r="AZ53" s="171">
        <f>+AY53</f>
        <v>0</v>
      </c>
      <c r="BA53" s="1"/>
      <c r="BB53" s="163"/>
      <c r="BC53" s="222"/>
      <c r="BD53" s="169"/>
      <c r="BE53" s="171">
        <f>+BD53</f>
        <v>0</v>
      </c>
      <c r="BF53" s="1"/>
      <c r="BG53" s="1"/>
      <c r="BH53" s="1"/>
      <c r="BI53" s="1"/>
      <c r="BJ53" s="1"/>
      <c r="BK53" s="1"/>
      <c r="BL53" s="1"/>
      <c r="BM53" s="1"/>
      <c r="BN53" s="1"/>
      <c r="BO53" s="1"/>
      <c r="BP53" s="1"/>
      <c r="BQ53" s="1"/>
      <c r="BR53" s="1"/>
      <c r="BS53" s="1"/>
    </row>
    <row r="54" spans="1:71" ht="15.75" customHeight="1">
      <c r="A54" s="25">
        <f t="shared" si="0"/>
        <v>54</v>
      </c>
      <c r="B54" s="19"/>
      <c r="C54" s="1"/>
      <c r="D54" s="163"/>
      <c r="E54" s="224"/>
      <c r="F54" s="219"/>
      <c r="G54" s="225"/>
      <c r="H54" s="1"/>
      <c r="I54" s="163"/>
      <c r="J54" s="224"/>
      <c r="K54" s="219"/>
      <c r="L54" s="225"/>
      <c r="M54" s="1"/>
      <c r="N54" s="163"/>
      <c r="O54" s="224"/>
      <c r="P54" s="219"/>
      <c r="Q54" s="225"/>
      <c r="R54" s="1"/>
      <c r="S54" s="163"/>
      <c r="T54" s="224"/>
      <c r="U54" s="219"/>
      <c r="V54" s="225"/>
      <c r="W54" s="1"/>
      <c r="X54" s="163"/>
      <c r="Y54" s="224"/>
      <c r="Z54" s="219"/>
      <c r="AA54" s="225"/>
      <c r="AB54" s="1"/>
      <c r="AC54" s="163"/>
      <c r="AD54" s="224"/>
      <c r="AE54" s="219"/>
      <c r="AF54" s="225"/>
      <c r="AG54" s="1"/>
      <c r="AH54" s="163"/>
      <c r="AI54" s="224"/>
      <c r="AJ54" s="219"/>
      <c r="AK54" s="225"/>
      <c r="AL54" s="1"/>
      <c r="AM54" s="163"/>
      <c r="AN54" s="224"/>
      <c r="AO54" s="219"/>
      <c r="AP54" s="225"/>
      <c r="AQ54" s="1"/>
      <c r="AR54" s="163"/>
      <c r="AS54" s="224"/>
      <c r="AT54" s="219"/>
      <c r="AU54" s="225"/>
      <c r="AV54" s="1"/>
      <c r="AW54" s="163"/>
      <c r="AX54" s="224"/>
      <c r="AY54" s="219"/>
      <c r="AZ54" s="225"/>
      <c r="BA54" s="1"/>
      <c r="BB54" s="163"/>
      <c r="BC54" s="224"/>
      <c r="BD54" s="219"/>
      <c r="BE54" s="225"/>
      <c r="BF54" s="1"/>
      <c r="BG54" s="1"/>
      <c r="BH54" s="1"/>
      <c r="BI54" s="1"/>
      <c r="BJ54" s="1"/>
      <c r="BK54" s="1"/>
      <c r="BL54" s="1"/>
      <c r="BM54" s="1"/>
      <c r="BN54" s="1"/>
      <c r="BO54" s="1"/>
      <c r="BP54" s="1"/>
      <c r="BQ54" s="1"/>
      <c r="BR54" s="1"/>
      <c r="BS54" s="1"/>
    </row>
    <row r="55" spans="1:71" ht="15.75" customHeight="1">
      <c r="A55" s="25">
        <f t="shared" si="0"/>
        <v>55</v>
      </c>
      <c r="B55" s="19" t="s">
        <v>183</v>
      </c>
      <c r="C55" s="19"/>
      <c r="D55" s="226"/>
      <c r="E55" s="227"/>
      <c r="F55" s="227"/>
      <c r="G55" s="60">
        <v>113.1</v>
      </c>
      <c r="H55" s="1"/>
      <c r="I55" s="226"/>
      <c r="J55" s="227"/>
      <c r="K55" s="227"/>
      <c r="L55" s="60">
        <f>+L53+SUM(L38:L46)+SUM(L49:L50)+L35</f>
        <v>289.67</v>
      </c>
      <c r="M55" s="1"/>
      <c r="N55" s="226"/>
      <c r="O55" s="227"/>
      <c r="P55" s="227"/>
      <c r="Q55" s="60">
        <v>113.42</v>
      </c>
      <c r="R55" s="1"/>
      <c r="S55" s="226"/>
      <c r="T55" s="227"/>
      <c r="U55" s="227"/>
      <c r="V55" s="60">
        <f>+V53+SUM(V38:V46)+SUM(V49:V50)+V35</f>
        <v>81.790000000000006</v>
      </c>
      <c r="W55" s="1"/>
      <c r="X55" s="226"/>
      <c r="Y55" s="227"/>
      <c r="Z55" s="227"/>
      <c r="AA55" s="60">
        <f>+AA53+SUM(AA38:AA46)+SUM(AA49:AA50)+AA35</f>
        <v>119.288</v>
      </c>
      <c r="AB55" s="1"/>
      <c r="AC55" s="226"/>
      <c r="AD55" s="227"/>
      <c r="AE55" s="227"/>
      <c r="AF55" s="60">
        <f>+AF53+SUM(AF38:AF46)+SUM(AF49:AF50)+AF35</f>
        <v>119.12375900000001</v>
      </c>
      <c r="AG55" s="1"/>
      <c r="AH55" s="226"/>
      <c r="AI55" s="227"/>
      <c r="AJ55" s="227"/>
      <c r="AK55" s="60">
        <f>+AK53+SUM(AK38:AK46)+SUM(AK49:AK50)+AK35</f>
        <v>96.12</v>
      </c>
      <c r="AL55" s="1"/>
      <c r="AM55" s="226"/>
      <c r="AN55" s="227"/>
      <c r="AO55" s="227"/>
      <c r="AP55" s="60">
        <v>219.68</v>
      </c>
      <c r="AQ55" s="1"/>
      <c r="AR55" s="226"/>
      <c r="AS55" s="227"/>
      <c r="AT55" s="227"/>
      <c r="AU55" s="60">
        <f>+AU53+SUM(AU38:AU46)+SUM(AU49:AU50)+AU35</f>
        <v>880.56</v>
      </c>
      <c r="AV55" s="1"/>
      <c r="AW55" s="226"/>
      <c r="AX55" s="227"/>
      <c r="AY55" s="227"/>
      <c r="AZ55" s="60">
        <f>+AZ53+SUM(AZ38:AZ46)+SUM(AZ49:AZ50)+AZ35</f>
        <v>20.61</v>
      </c>
      <c r="BA55" s="1"/>
      <c r="BB55" s="226"/>
      <c r="BC55" s="227"/>
      <c r="BD55" s="227"/>
      <c r="BE55" s="60">
        <v>771</v>
      </c>
      <c r="BF55" s="1"/>
      <c r="BG55" s="3"/>
      <c r="BH55" s="1"/>
      <c r="BI55" s="1"/>
      <c r="BJ55" s="1"/>
      <c r="BK55" s="1"/>
      <c r="BL55" s="1"/>
      <c r="BM55" s="1"/>
      <c r="BN55" s="1"/>
      <c r="BO55" s="1"/>
      <c r="BP55" s="1"/>
      <c r="BQ55" s="1"/>
      <c r="BR55" s="1"/>
      <c r="BS55" s="1"/>
    </row>
    <row r="56" spans="1:71" ht="15.75" customHeight="1">
      <c r="A56" s="25">
        <f t="shared" si="0"/>
        <v>56</v>
      </c>
      <c r="B56" s="1"/>
      <c r="C56" s="1"/>
      <c r="D56" s="29"/>
      <c r="E56" s="1"/>
      <c r="F56" s="1"/>
      <c r="G56" s="228"/>
      <c r="H56" s="1"/>
      <c r="I56" s="29"/>
      <c r="J56" s="1"/>
      <c r="K56" s="1"/>
      <c r="L56" s="228"/>
      <c r="M56" s="1"/>
      <c r="N56" s="29"/>
      <c r="O56" s="1"/>
      <c r="P56" s="1"/>
      <c r="Q56" s="228"/>
      <c r="R56" s="1"/>
      <c r="S56" s="29"/>
      <c r="T56" s="1"/>
      <c r="U56" s="1"/>
      <c r="V56" s="228"/>
      <c r="W56" s="1"/>
      <c r="X56" s="29"/>
      <c r="Y56" s="1"/>
      <c r="Z56" s="1"/>
      <c r="AA56" s="228"/>
      <c r="AB56" s="1"/>
      <c r="AC56" s="29"/>
      <c r="AD56" s="1"/>
      <c r="AE56" s="1"/>
      <c r="AF56" s="228"/>
      <c r="AG56" s="1"/>
      <c r="AH56" s="29"/>
      <c r="AI56" s="1"/>
      <c r="AJ56" s="1"/>
      <c r="AK56" s="228"/>
      <c r="AL56" s="1"/>
      <c r="AM56" s="29"/>
      <c r="AN56" s="1"/>
      <c r="AO56" s="1"/>
      <c r="AP56" s="228"/>
      <c r="AQ56" s="1"/>
      <c r="AR56" s="29"/>
      <c r="AS56" s="1"/>
      <c r="AT56" s="1"/>
      <c r="AU56" s="228"/>
      <c r="AV56" s="1"/>
      <c r="AW56" s="29"/>
      <c r="AX56" s="1"/>
      <c r="AY56" s="1"/>
      <c r="AZ56" s="228"/>
      <c r="BA56" s="1"/>
      <c r="BB56" s="29"/>
      <c r="BC56" s="1"/>
      <c r="BD56" s="1"/>
      <c r="BE56" s="228"/>
      <c r="BF56" s="1"/>
      <c r="BG56" s="1"/>
      <c r="BH56" s="1"/>
      <c r="BI56" s="1"/>
      <c r="BJ56" s="1"/>
      <c r="BK56" s="1"/>
      <c r="BL56" s="1"/>
      <c r="BM56" s="1"/>
      <c r="BN56" s="1"/>
      <c r="BO56" s="1"/>
      <c r="BP56" s="1"/>
      <c r="BQ56" s="1"/>
      <c r="BR56" s="1"/>
      <c r="BS56" s="1"/>
    </row>
    <row r="57" spans="1:71" ht="15.75" customHeight="1">
      <c r="A57" s="25">
        <f t="shared" si="0"/>
        <v>57</v>
      </c>
      <c r="B57" s="1"/>
      <c r="C57" s="1"/>
      <c r="D57" s="368" t="s">
        <v>184</v>
      </c>
      <c r="E57" s="369"/>
      <c r="F57" s="369"/>
      <c r="G57" s="370"/>
      <c r="H57" s="1"/>
      <c r="I57" s="368" t="s">
        <v>184</v>
      </c>
      <c r="J57" s="369"/>
      <c r="K57" s="369"/>
      <c r="L57" s="370"/>
      <c r="M57" s="1"/>
      <c r="N57" s="368" t="s">
        <v>184</v>
      </c>
      <c r="O57" s="369"/>
      <c r="P57" s="369"/>
      <c r="Q57" s="370"/>
      <c r="R57" s="1"/>
      <c r="S57" s="368" t="s">
        <v>184</v>
      </c>
      <c r="T57" s="369"/>
      <c r="U57" s="369"/>
      <c r="V57" s="370"/>
      <c r="W57" s="1"/>
      <c r="X57" s="368" t="s">
        <v>184</v>
      </c>
      <c r="Y57" s="369"/>
      <c r="Z57" s="369"/>
      <c r="AA57" s="370"/>
      <c r="AB57" s="1"/>
      <c r="AC57" s="368" t="s">
        <v>184</v>
      </c>
      <c r="AD57" s="369"/>
      <c r="AE57" s="369"/>
      <c r="AF57" s="370"/>
      <c r="AG57" s="1"/>
      <c r="AH57" s="368" t="s">
        <v>184</v>
      </c>
      <c r="AI57" s="369"/>
      <c r="AJ57" s="369"/>
      <c r="AK57" s="370"/>
      <c r="AL57" s="1"/>
      <c r="AM57" s="368" t="s">
        <v>184</v>
      </c>
      <c r="AN57" s="369"/>
      <c r="AO57" s="369"/>
      <c r="AP57" s="370"/>
      <c r="AQ57" s="1"/>
      <c r="AR57" s="368" t="s">
        <v>184</v>
      </c>
      <c r="AS57" s="369"/>
      <c r="AT57" s="369"/>
      <c r="AU57" s="370"/>
      <c r="AV57" s="1"/>
      <c r="AW57" s="368" t="s">
        <v>184</v>
      </c>
      <c r="AX57" s="369"/>
      <c r="AY57" s="369"/>
      <c r="AZ57" s="370"/>
      <c r="BA57" s="1"/>
      <c r="BB57" s="368" t="s">
        <v>184</v>
      </c>
      <c r="BC57" s="369"/>
      <c r="BD57" s="369"/>
      <c r="BE57" s="370"/>
      <c r="BF57" s="1"/>
      <c r="BG57" s="1"/>
      <c r="BH57" s="1"/>
      <c r="BI57" s="1"/>
      <c r="BJ57" s="1"/>
      <c r="BK57" s="1"/>
      <c r="BL57" s="1"/>
      <c r="BM57" s="1"/>
      <c r="BN57" s="1"/>
      <c r="BO57" s="1"/>
      <c r="BP57" s="1"/>
      <c r="BQ57" s="1"/>
      <c r="BR57" s="1"/>
      <c r="BS57" s="1"/>
    </row>
    <row r="58" spans="1:71" ht="15.75" customHeight="1">
      <c r="A58" s="25">
        <f t="shared" si="0"/>
        <v>58</v>
      </c>
      <c r="B58" s="1"/>
      <c r="C58" s="1"/>
      <c r="D58" s="158"/>
      <c r="E58" s="159"/>
      <c r="F58" s="159"/>
      <c r="G58" s="229"/>
      <c r="H58" s="1"/>
      <c r="I58" s="158"/>
      <c r="J58" s="159"/>
      <c r="K58" s="159"/>
      <c r="L58" s="229"/>
      <c r="M58" s="1"/>
      <c r="N58" s="158"/>
      <c r="O58" s="159"/>
      <c r="P58" s="159"/>
      <c r="Q58" s="229"/>
      <c r="R58" s="1"/>
      <c r="S58" s="158"/>
      <c r="T58" s="159"/>
      <c r="U58" s="159"/>
      <c r="V58" s="229"/>
      <c r="W58" s="1"/>
      <c r="X58" s="158"/>
      <c r="Y58" s="159"/>
      <c r="Z58" s="159"/>
      <c r="AA58" s="229"/>
      <c r="AB58" s="1"/>
      <c r="AC58" s="158"/>
      <c r="AD58" s="159"/>
      <c r="AE58" s="159"/>
      <c r="AF58" s="229"/>
      <c r="AG58" s="1"/>
      <c r="AH58" s="158"/>
      <c r="AI58" s="159"/>
      <c r="AJ58" s="159"/>
      <c r="AK58" s="229"/>
      <c r="AL58" s="1"/>
      <c r="AM58" s="158"/>
      <c r="AN58" s="159"/>
      <c r="AO58" s="159"/>
      <c r="AP58" s="229"/>
      <c r="AQ58" s="1"/>
      <c r="AR58" s="158"/>
      <c r="AS58" s="159"/>
      <c r="AT58" s="159"/>
      <c r="AU58" s="229"/>
      <c r="AV58" s="1"/>
      <c r="AW58" s="158"/>
      <c r="AX58" s="159"/>
      <c r="AY58" s="159"/>
      <c r="AZ58" s="229"/>
      <c r="BA58" s="1"/>
      <c r="BB58" s="158"/>
      <c r="BC58" s="159"/>
      <c r="BD58" s="159"/>
      <c r="BE58" s="229"/>
      <c r="BF58" s="1"/>
      <c r="BG58" s="3"/>
      <c r="BH58" s="1"/>
      <c r="BI58" s="1"/>
      <c r="BJ58" s="1"/>
      <c r="BK58" s="1"/>
      <c r="BL58" s="1"/>
      <c r="BM58" s="1"/>
      <c r="BN58" s="1"/>
      <c r="BO58" s="1"/>
      <c r="BP58" s="1"/>
      <c r="BQ58" s="1"/>
      <c r="BR58" s="1"/>
      <c r="BS58" s="1"/>
    </row>
    <row r="59" spans="1:71" ht="15.75" customHeight="1">
      <c r="A59" s="25">
        <f t="shared" si="0"/>
        <v>59</v>
      </c>
      <c r="B59" s="1" t="s">
        <v>187</v>
      </c>
      <c r="C59" s="1"/>
      <c r="D59" s="135"/>
      <c r="E59" s="136"/>
      <c r="F59" s="136"/>
      <c r="G59" s="137">
        <v>9638.16</v>
      </c>
      <c r="H59" s="1"/>
      <c r="I59" s="135"/>
      <c r="J59" s="136"/>
      <c r="K59" s="136"/>
      <c r="L59" s="137">
        <f>+L55*L34</f>
        <v>31762.315500000004</v>
      </c>
      <c r="M59" s="1"/>
      <c r="N59" s="135"/>
      <c r="O59" s="136"/>
      <c r="P59" s="136"/>
      <c r="Q59" s="137">
        <f>+Q55*Q34</f>
        <v>12557.8624</v>
      </c>
      <c r="R59" s="1"/>
      <c r="S59" s="135"/>
      <c r="T59" s="136"/>
      <c r="U59" s="136"/>
      <c r="V59" s="137">
        <v>8051.68</v>
      </c>
      <c r="W59" s="1"/>
      <c r="X59" s="135"/>
      <c r="Y59" s="136"/>
      <c r="Z59" s="136"/>
      <c r="AA59" s="137">
        <f>+AA55*AA34</f>
        <v>620297.6</v>
      </c>
      <c r="AB59" s="1"/>
      <c r="AC59" s="135"/>
      <c r="AD59" s="136"/>
      <c r="AE59" s="136"/>
      <c r="AF59" s="137">
        <f>+AF55*AF34</f>
        <v>4842380.8033500006</v>
      </c>
      <c r="AG59" s="1"/>
      <c r="AH59" s="135"/>
      <c r="AI59" s="136"/>
      <c r="AJ59" s="136"/>
      <c r="AK59" s="137">
        <f>+AK55*AK34</f>
        <v>29845.260000000002</v>
      </c>
      <c r="AL59" s="1"/>
      <c r="AM59" s="135"/>
      <c r="AN59" s="136"/>
      <c r="AO59" s="136"/>
      <c r="AP59" s="137">
        <f>+AP55*AP34</f>
        <v>1323132.6400000001</v>
      </c>
      <c r="AQ59" s="230">
        <f>AP59/732347</f>
        <v>1.8067017957334435</v>
      </c>
      <c r="AR59" s="135"/>
      <c r="AS59" s="136"/>
      <c r="AT59" s="136"/>
      <c r="AU59" s="137">
        <f>+AU55*AU34</f>
        <v>1435312.7999999998</v>
      </c>
      <c r="AV59" s="1"/>
      <c r="AW59" s="135"/>
      <c r="AX59" s="136"/>
      <c r="AY59" s="136"/>
      <c r="AZ59" s="137">
        <f>+AZ55*AZ34</f>
        <v>13355280</v>
      </c>
      <c r="BA59" s="1"/>
      <c r="BB59" s="135"/>
      <c r="BC59" s="136"/>
      <c r="BD59" s="136"/>
      <c r="BE59" s="137">
        <v>47350</v>
      </c>
      <c r="BF59" s="1"/>
      <c r="BG59" s="1">
        <f>BE59/BE6</f>
        <v>7.2969640930805983</v>
      </c>
      <c r="BH59" s="1"/>
      <c r="BI59" s="1"/>
      <c r="BJ59" s="1"/>
      <c r="BK59" s="1"/>
      <c r="BL59" s="1"/>
      <c r="BM59" s="1"/>
      <c r="BN59" s="1"/>
      <c r="BO59" s="1"/>
      <c r="BP59" s="1"/>
      <c r="BQ59" s="1"/>
      <c r="BR59" s="1"/>
      <c r="BS59" s="1"/>
    </row>
    <row r="60" spans="1:71" ht="15.75" customHeight="1">
      <c r="A60" s="25">
        <f t="shared" si="0"/>
        <v>60</v>
      </c>
      <c r="B60" s="1" t="s">
        <v>188</v>
      </c>
      <c r="C60" s="1"/>
      <c r="D60" s="163"/>
      <c r="E60" s="164"/>
      <c r="F60" s="164"/>
      <c r="G60" s="137">
        <f>9245.61*1.09</f>
        <v>10077.714900000001</v>
      </c>
      <c r="H60" s="1"/>
      <c r="I60" s="163"/>
      <c r="J60" s="164"/>
      <c r="K60" s="164"/>
      <c r="L60" s="137">
        <f>+L59+SUM(L17:L25)</f>
        <v>26397.115500000004</v>
      </c>
      <c r="M60" s="1"/>
      <c r="N60" s="163"/>
      <c r="O60" s="164"/>
      <c r="P60" s="164"/>
      <c r="Q60" s="137">
        <f>+Q59+SUM(Q17:Q25)</f>
        <v>10573.662399999999</v>
      </c>
      <c r="R60" s="1"/>
      <c r="S60" s="163"/>
      <c r="T60" s="164"/>
      <c r="U60" s="164"/>
      <c r="V60" s="137">
        <v>6265</v>
      </c>
      <c r="W60" s="1"/>
      <c r="X60" s="163"/>
      <c r="Y60" s="164"/>
      <c r="Z60" s="164"/>
      <c r="AA60" s="137">
        <f>+AA59+SUM(AA17:AA25)</f>
        <v>619307.1</v>
      </c>
      <c r="AB60" s="1"/>
      <c r="AC60" s="163"/>
      <c r="AD60" s="164"/>
      <c r="AE60" s="164"/>
      <c r="AF60" s="137">
        <f>+AF59+SUM(AF17:AF25)</f>
        <v>4833542.8033500006</v>
      </c>
      <c r="AG60" s="1"/>
      <c r="AH60" s="163"/>
      <c r="AI60" s="164"/>
      <c r="AJ60" s="164"/>
      <c r="AK60" s="137">
        <f>+AK59+SUM(AK17:AK25)</f>
        <v>29596.652000000002</v>
      </c>
      <c r="AL60" s="1"/>
      <c r="AM60" s="163"/>
      <c r="AN60" s="164"/>
      <c r="AO60" s="164"/>
      <c r="AP60" s="137">
        <f>+AP59+SUM(AP17:AP25)</f>
        <v>1323610.4890000001</v>
      </c>
      <c r="AQ60" s="1"/>
      <c r="AR60" s="163"/>
      <c r="AS60" s="164"/>
      <c r="AT60" s="164"/>
      <c r="AU60" s="137">
        <f>+AU59+SUM(AU17:AU25)</f>
        <v>1532436.8239999998</v>
      </c>
      <c r="AV60" s="1"/>
      <c r="AW60" s="163"/>
      <c r="AX60" s="164"/>
      <c r="AY60" s="164"/>
      <c r="AZ60" s="137">
        <f>+AZ59+SUM(AZ17:AZ25)</f>
        <v>13136163</v>
      </c>
      <c r="BA60" s="1"/>
      <c r="BB60" s="163"/>
      <c r="BC60" s="164"/>
      <c r="BD60" s="164"/>
      <c r="BE60" s="137">
        <v>44810</v>
      </c>
      <c r="BF60" s="1"/>
      <c r="BG60" s="1"/>
      <c r="BH60" s="1"/>
      <c r="BI60" s="1"/>
      <c r="BJ60" s="1"/>
      <c r="BK60" s="1"/>
      <c r="BL60" s="1"/>
      <c r="BM60" s="1"/>
      <c r="BN60" s="1"/>
      <c r="BO60" s="1"/>
      <c r="BP60" s="1"/>
      <c r="BQ60" s="1"/>
      <c r="BR60" s="1"/>
      <c r="BS60" s="1"/>
    </row>
    <row r="61" spans="1:71" ht="15.75" customHeight="1">
      <c r="A61" s="25">
        <f t="shared" si="0"/>
        <v>61</v>
      </c>
      <c r="B61" s="1" t="s">
        <v>191</v>
      </c>
      <c r="C61" s="1"/>
      <c r="D61" s="226"/>
      <c r="E61" s="227"/>
      <c r="F61" s="227"/>
      <c r="G61" s="233">
        <v>1.3</v>
      </c>
      <c r="H61" s="1"/>
      <c r="I61" s="226"/>
      <c r="J61" s="227"/>
      <c r="K61" s="227"/>
      <c r="L61" s="233">
        <v>1.05</v>
      </c>
      <c r="M61" s="1"/>
      <c r="N61" s="226"/>
      <c r="O61" s="227"/>
      <c r="P61" s="227"/>
      <c r="Q61" s="233">
        <v>0.79</v>
      </c>
      <c r="R61" s="1"/>
      <c r="S61" s="226"/>
      <c r="T61" s="227"/>
      <c r="U61" s="227"/>
      <c r="V61" s="233">
        <v>1.33</v>
      </c>
      <c r="W61" s="1"/>
      <c r="X61" s="226"/>
      <c r="Y61" s="227"/>
      <c r="Z61" s="227"/>
      <c r="AA61" s="233">
        <v>0.72</v>
      </c>
      <c r="AB61" s="1"/>
      <c r="AC61" s="226"/>
      <c r="AD61" s="227"/>
      <c r="AE61" s="227"/>
      <c r="AF61" s="233">
        <v>1.05</v>
      </c>
      <c r="AG61" s="1"/>
      <c r="AH61" s="226"/>
      <c r="AI61" s="227"/>
      <c r="AJ61" s="227"/>
      <c r="AK61" s="233">
        <v>0.99</v>
      </c>
      <c r="AL61" s="1"/>
      <c r="AM61" s="226"/>
      <c r="AN61" s="227"/>
      <c r="AO61" s="227"/>
      <c r="AP61" s="233">
        <v>0.47</v>
      </c>
      <c r="AQ61" s="1"/>
      <c r="AR61" s="226"/>
      <c r="AS61" s="227"/>
      <c r="AT61" s="227"/>
      <c r="AU61" s="233">
        <f>0.87</f>
        <v>0.87</v>
      </c>
      <c r="AV61" s="1"/>
      <c r="AW61" s="226"/>
      <c r="AX61" s="227"/>
      <c r="AY61" s="227"/>
      <c r="AZ61" s="233">
        <v>0.21</v>
      </c>
      <c r="BA61" s="1"/>
      <c r="BB61" s="226"/>
      <c r="BC61" s="227"/>
      <c r="BD61" s="227"/>
      <c r="BE61" s="233">
        <v>0.83420000000000005</v>
      </c>
      <c r="BF61" s="1"/>
      <c r="BG61" s="3"/>
      <c r="BH61" s="1"/>
      <c r="BI61" s="1"/>
      <c r="BJ61" s="1"/>
      <c r="BK61" s="1"/>
      <c r="BL61" s="1"/>
      <c r="BM61" s="1"/>
      <c r="BN61" s="1"/>
      <c r="BO61" s="1"/>
      <c r="BP61" s="1"/>
      <c r="BQ61" s="1"/>
      <c r="BR61" s="1"/>
      <c r="BS61" s="1"/>
    </row>
    <row r="62" spans="1:71" ht="15.75" customHeight="1">
      <c r="A62" s="25">
        <f t="shared" si="0"/>
        <v>62</v>
      </c>
      <c r="B62" s="1"/>
      <c r="C62" s="1"/>
      <c r="D62" s="36"/>
      <c r="E62" s="1"/>
      <c r="F62" s="1"/>
      <c r="G62" s="149"/>
      <c r="H62" s="1"/>
      <c r="I62" s="36"/>
      <c r="J62" s="1"/>
      <c r="K62" s="1"/>
      <c r="L62" s="149"/>
      <c r="M62" s="1"/>
      <c r="N62" s="36"/>
      <c r="O62" s="1"/>
      <c r="P62" s="1"/>
      <c r="Q62" s="149"/>
      <c r="R62" s="1"/>
      <c r="S62" s="36"/>
      <c r="T62" s="1"/>
      <c r="U62" s="1"/>
      <c r="V62" s="149"/>
      <c r="W62" s="1"/>
      <c r="X62" s="36"/>
      <c r="Y62" s="1"/>
      <c r="Z62" s="1"/>
      <c r="AA62" s="149"/>
      <c r="AB62" s="1"/>
      <c r="AC62" s="36"/>
      <c r="AD62" s="1"/>
      <c r="AE62" s="1"/>
      <c r="AF62" s="149"/>
      <c r="AG62" s="1"/>
      <c r="AH62" s="36"/>
      <c r="AI62" s="1"/>
      <c r="AJ62" s="1"/>
      <c r="AK62" s="149"/>
      <c r="AL62" s="1"/>
      <c r="AM62" s="36"/>
      <c r="AN62" s="1"/>
      <c r="AO62" s="1"/>
      <c r="AP62" s="149"/>
      <c r="AQ62" s="1"/>
      <c r="AR62" s="36"/>
      <c r="AS62" s="1"/>
      <c r="AT62" s="1"/>
      <c r="AU62" s="149"/>
      <c r="AV62" s="1"/>
      <c r="AW62" s="36"/>
      <c r="AX62" s="1"/>
      <c r="AY62" s="1"/>
      <c r="AZ62" s="149"/>
      <c r="BA62" s="1"/>
      <c r="BB62" s="36"/>
      <c r="BC62" s="1"/>
      <c r="BD62" s="1"/>
      <c r="BE62" s="149"/>
      <c r="BF62" s="1"/>
      <c r="BG62" s="1"/>
      <c r="BH62" s="1"/>
      <c r="BI62" s="1"/>
      <c r="BJ62" s="1"/>
      <c r="BK62" s="1"/>
      <c r="BL62" s="1"/>
      <c r="BM62" s="1"/>
      <c r="BN62" s="1"/>
      <c r="BO62" s="1"/>
      <c r="BP62" s="1"/>
      <c r="BQ62" s="1"/>
      <c r="BR62" s="1"/>
      <c r="BS62" s="1"/>
    </row>
    <row r="63" spans="1:71" ht="15.75" customHeight="1">
      <c r="A63" s="25">
        <f t="shared" si="0"/>
        <v>63</v>
      </c>
      <c r="B63" s="1"/>
      <c r="C63" s="1"/>
      <c r="D63" s="368" t="s">
        <v>192</v>
      </c>
      <c r="E63" s="369"/>
      <c r="F63" s="369"/>
      <c r="G63" s="370"/>
      <c r="H63" s="1"/>
      <c r="I63" s="368" t="s">
        <v>192</v>
      </c>
      <c r="J63" s="369"/>
      <c r="K63" s="369"/>
      <c r="L63" s="370"/>
      <c r="M63" s="1"/>
      <c r="N63" s="368" t="s">
        <v>192</v>
      </c>
      <c r="O63" s="369"/>
      <c r="P63" s="369"/>
      <c r="Q63" s="370"/>
      <c r="R63" s="1"/>
      <c r="S63" s="368" t="s">
        <v>192</v>
      </c>
      <c r="T63" s="369"/>
      <c r="U63" s="369"/>
      <c r="V63" s="370"/>
      <c r="W63" s="1"/>
      <c r="X63" s="368" t="s">
        <v>192</v>
      </c>
      <c r="Y63" s="369"/>
      <c r="Z63" s="369"/>
      <c r="AA63" s="370"/>
      <c r="AB63" s="1"/>
      <c r="AC63" s="368" t="s">
        <v>192</v>
      </c>
      <c r="AD63" s="369"/>
      <c r="AE63" s="369"/>
      <c r="AF63" s="370"/>
      <c r="AG63" s="1"/>
      <c r="AH63" s="368" t="s">
        <v>192</v>
      </c>
      <c r="AI63" s="369"/>
      <c r="AJ63" s="369"/>
      <c r="AK63" s="370"/>
      <c r="AL63" s="1"/>
      <c r="AM63" s="368" t="s">
        <v>192</v>
      </c>
      <c r="AN63" s="369"/>
      <c r="AO63" s="369"/>
      <c r="AP63" s="370"/>
      <c r="AQ63" s="1"/>
      <c r="AR63" s="368" t="s">
        <v>192</v>
      </c>
      <c r="AS63" s="369"/>
      <c r="AT63" s="369"/>
      <c r="AU63" s="370"/>
      <c r="AV63" s="1"/>
      <c r="AW63" s="368" t="s">
        <v>192</v>
      </c>
      <c r="AX63" s="369"/>
      <c r="AY63" s="369"/>
      <c r="AZ63" s="370"/>
      <c r="BA63" s="1"/>
      <c r="BB63" s="368" t="s">
        <v>192</v>
      </c>
      <c r="BC63" s="369"/>
      <c r="BD63" s="369"/>
      <c r="BE63" s="370"/>
      <c r="BF63" s="1"/>
      <c r="BG63" s="1"/>
      <c r="BH63" s="1"/>
      <c r="BI63" s="1"/>
      <c r="BJ63" s="1"/>
      <c r="BK63" s="1"/>
      <c r="BL63" s="1"/>
      <c r="BM63" s="1"/>
      <c r="BN63" s="1"/>
      <c r="BO63" s="1"/>
      <c r="BP63" s="1"/>
      <c r="BQ63" s="1"/>
      <c r="BR63" s="1"/>
      <c r="BS63" s="1"/>
    </row>
    <row r="64" spans="1:71" ht="15.75" customHeight="1">
      <c r="A64" s="25">
        <f t="shared" si="0"/>
        <v>64</v>
      </c>
      <c r="B64" s="1"/>
      <c r="C64" s="1"/>
      <c r="D64" s="109" t="str">
        <f>G5</f>
        <v>LTM</v>
      </c>
      <c r="E64" s="110">
        <f t="shared" ref="E64:G64" si="47">D28</f>
        <v>2020</v>
      </c>
      <c r="F64" s="110">
        <f t="shared" si="47"/>
        <v>2021</v>
      </c>
      <c r="G64" s="111">
        <f t="shared" si="47"/>
        <v>2022</v>
      </c>
      <c r="H64" s="1"/>
      <c r="I64" s="109" t="str">
        <f>L5</f>
        <v>LTM</v>
      </c>
      <c r="J64" s="110">
        <f t="shared" ref="J64:L64" si="48">I28</f>
        <v>2020</v>
      </c>
      <c r="K64" s="110">
        <f t="shared" si="48"/>
        <v>2021</v>
      </c>
      <c r="L64" s="111">
        <f t="shared" si="48"/>
        <v>2022</v>
      </c>
      <c r="M64" s="1"/>
      <c r="N64" s="109" t="str">
        <f>Q5</f>
        <v>LTM</v>
      </c>
      <c r="O64" s="110">
        <f t="shared" ref="O64:Q64" si="49">N28</f>
        <v>2020</v>
      </c>
      <c r="P64" s="110">
        <f t="shared" si="49"/>
        <v>2021</v>
      </c>
      <c r="Q64" s="111">
        <f t="shared" si="49"/>
        <v>2022</v>
      </c>
      <c r="R64" s="1"/>
      <c r="S64" s="109" t="str">
        <f>V5</f>
        <v>LTM</v>
      </c>
      <c r="T64" s="110">
        <f t="shared" ref="T64:V64" si="50">S28</f>
        <v>2020</v>
      </c>
      <c r="U64" s="110">
        <f t="shared" si="50"/>
        <v>2021</v>
      </c>
      <c r="V64" s="111">
        <f t="shared" si="50"/>
        <v>2022</v>
      </c>
      <c r="W64" s="1"/>
      <c r="X64" s="109" t="str">
        <f>AA5</f>
        <v>LTM</v>
      </c>
      <c r="Y64" s="110">
        <f t="shared" ref="Y64:AA64" si="51">X28</f>
        <v>2020</v>
      </c>
      <c r="Z64" s="110">
        <f t="shared" si="51"/>
        <v>2021</v>
      </c>
      <c r="AA64" s="111">
        <f t="shared" si="51"/>
        <v>2022</v>
      </c>
      <c r="AB64" s="1"/>
      <c r="AC64" s="109" t="str">
        <f>AF5</f>
        <v>LTM</v>
      </c>
      <c r="AD64" s="110">
        <f t="shared" ref="AD64:AF64" si="52">AC28</f>
        <v>2020</v>
      </c>
      <c r="AE64" s="110">
        <f t="shared" si="52"/>
        <v>2021</v>
      </c>
      <c r="AF64" s="111">
        <f t="shared" si="52"/>
        <v>2022</v>
      </c>
      <c r="AG64" s="1"/>
      <c r="AH64" s="109" t="str">
        <f>AK5</f>
        <v>LTM</v>
      </c>
      <c r="AI64" s="110">
        <f t="shared" ref="AI64:AK64" si="53">AH28</f>
        <v>2020</v>
      </c>
      <c r="AJ64" s="110">
        <f t="shared" si="53"/>
        <v>2021</v>
      </c>
      <c r="AK64" s="111">
        <f t="shared" si="53"/>
        <v>2022</v>
      </c>
      <c r="AL64" s="1"/>
      <c r="AM64" s="109" t="str">
        <f>AP5</f>
        <v>LTM</v>
      </c>
      <c r="AN64" s="110">
        <f t="shared" ref="AN64:AP64" si="54">AM28</f>
        <v>2020</v>
      </c>
      <c r="AO64" s="110">
        <f t="shared" si="54"/>
        <v>2021</v>
      </c>
      <c r="AP64" s="111">
        <f t="shared" si="54"/>
        <v>2022</v>
      </c>
      <c r="AQ64" s="1"/>
      <c r="AR64" s="109" t="str">
        <f>AU5</f>
        <v>LTM</v>
      </c>
      <c r="AS64" s="110">
        <f t="shared" ref="AS64:AU64" si="55">AR28</f>
        <v>2020</v>
      </c>
      <c r="AT64" s="110">
        <f t="shared" si="55"/>
        <v>2021</v>
      </c>
      <c r="AU64" s="111">
        <f t="shared" si="55"/>
        <v>2022</v>
      </c>
      <c r="AV64" s="1"/>
      <c r="AW64" s="109" t="str">
        <f>AZ5</f>
        <v>LTM</v>
      </c>
      <c r="AX64" s="110">
        <f t="shared" ref="AX64:AZ64" si="56">AW28</f>
        <v>2020</v>
      </c>
      <c r="AY64" s="110">
        <f t="shared" si="56"/>
        <v>2021</v>
      </c>
      <c r="AZ64" s="111">
        <f t="shared" si="56"/>
        <v>2022</v>
      </c>
      <c r="BA64" s="1"/>
      <c r="BB64" s="109" t="str">
        <f>BE5</f>
        <v>LTM</v>
      </c>
      <c r="BC64" s="110">
        <f t="shared" ref="BC64:BE64" si="57">BB28</f>
        <v>2020</v>
      </c>
      <c r="BD64" s="110">
        <f t="shared" si="57"/>
        <v>2021</v>
      </c>
      <c r="BE64" s="111">
        <f t="shared" si="57"/>
        <v>2022</v>
      </c>
      <c r="BF64" s="1"/>
      <c r="BG64" s="1"/>
      <c r="BH64" s="1"/>
      <c r="BI64" s="1"/>
      <c r="BJ64" s="1"/>
      <c r="BK64" s="1"/>
      <c r="BL64" s="1"/>
      <c r="BM64" s="1"/>
      <c r="BN64" s="1"/>
      <c r="BO64" s="1"/>
      <c r="BP64" s="1"/>
      <c r="BQ64" s="1"/>
      <c r="BR64" s="1"/>
      <c r="BS64" s="1"/>
    </row>
    <row r="65" spans="1:71" ht="15.75" customHeight="1">
      <c r="A65" s="25">
        <f t="shared" si="0"/>
        <v>65</v>
      </c>
      <c r="B65" s="1" t="s">
        <v>195</v>
      </c>
      <c r="C65" s="1"/>
      <c r="D65" s="237">
        <f>IFERROR(IF(OR(+G$60/G6&lt;0,+G$60/G6&gt;=100),"NM",+G$60/G6),"N/A")</f>
        <v>5.2058614864864863</v>
      </c>
      <c r="E65" s="238">
        <f t="shared" ref="E65:E66" si="58">IFERROR(IF(OR(+G$60/D29&lt;0,+G$60/D29&gt;=100),"NM",+G$60/D29),"N/A")</f>
        <v>6.3369499657299517</v>
      </c>
      <c r="F65" s="238">
        <f t="shared" ref="F65:F66" si="59">IFERROR(IF(OR(+G$60/E29&lt;0,+G$60/E29&gt;=100),"NM",+G$60/E29),"N/A")</f>
        <v>3.6228879310344828</v>
      </c>
      <c r="G65" s="239">
        <f t="shared" ref="G65:G66" si="60">IFERROR(IF(OR(+G$60/F29&lt;0,+G$60/F29&gt;=100),"NM",+G$60/F29),"N/A")</f>
        <v>3.5221371428571433</v>
      </c>
      <c r="H65" s="1"/>
      <c r="I65" s="237">
        <f>IFERROR(IF(OR(+L$60/L6&lt;0,+L$60/L6&gt;=100),"NM",+L$60/L6),"N/A")</f>
        <v>5.3327506060606069</v>
      </c>
      <c r="J65" s="238">
        <f t="shared" ref="J65:J66" si="61">IFERROR(IF(OR(+L$60/I29&lt;0,+L$60/I29&gt;=100),"NM",+L$60/I29),"N/A")</f>
        <v>5.0881101580570558</v>
      </c>
      <c r="K65" s="238">
        <f t="shared" ref="K65:K66" si="62">IFERROR(IF(OR(+L$60/J29&lt;0,+L$60/J29&gt;=100),"NM",+L$60/J29),"N/A")</f>
        <v>4.9101777343750008</v>
      </c>
      <c r="L65" s="239">
        <f t="shared" ref="L65:L66" si="63">IFERROR(IF(OR(+L$60/K29&lt;0,+L$60/K29&gt;=100),"NM",+L$60/K29),"N/A")</f>
        <v>4.5387062414030268</v>
      </c>
      <c r="M65" s="1"/>
      <c r="N65" s="237">
        <f>IFERROR(IF(OR(+Q$60/Q6&lt;0,+Q$60/Q6&gt;=100),"NM",+Q$60/Q6),"N/A")</f>
        <v>3.6875435586245375</v>
      </c>
      <c r="O65" s="238">
        <f t="shared" ref="O65:O66" si="64">IFERROR(IF(OR(+Q$60/N29&lt;0,+Q$60/N29&gt;=100),"NM",+Q$60/N29),"N/A")</f>
        <v>3.7257443269908386</v>
      </c>
      <c r="P65" s="238">
        <f t="shared" ref="P65:P66" si="65">IFERROR(IF(OR(+Q$60/O29&lt;0,+Q$60/O29&gt;=100),"NM",+Q$60/O29),"N/A")</f>
        <v>3.9321912978802525</v>
      </c>
      <c r="Q65" s="239">
        <f t="shared" ref="Q65:Q66" si="66">IFERROR(IF(OR(+Q$60/P29&lt;0,+Q$60/P29&gt;=100),"NM",+Q$60/P29),"N/A")</f>
        <v>3.0480433554338422</v>
      </c>
      <c r="R65" s="1"/>
      <c r="S65" s="237">
        <f>IFERROR(IF(OR(+V$60/V6&lt;0,+V$60/V6&gt;=100),"NM",+V$60/V6),"N/A")</f>
        <v>2.8284424379232505</v>
      </c>
      <c r="T65" s="238">
        <f t="shared" ref="T65:T66" si="67">IFERROR(IF(OR(+V$60/S29&lt;0,+V$60/S29&gt;=100),"NM",+V$60/S29),"N/A")</f>
        <v>2.4861111111111112</v>
      </c>
      <c r="U65" s="238">
        <f t="shared" ref="U65:U66" si="68">IFERROR(IF(OR(+V$60/T29&lt;0,+V$60/T29&gt;=100),"NM",+V$60/T29),"N/A")</f>
        <v>2.3464419475655429</v>
      </c>
      <c r="V65" s="239">
        <f t="shared" ref="V65:V66" si="69">IFERROR(IF(OR(+V$60/U29&lt;0,+V$60/U29&gt;=100),"NM",+V$60/U29),"N/A")</f>
        <v>2.167820069204152</v>
      </c>
      <c r="W65" s="1"/>
      <c r="X65" s="237">
        <f>IFERROR(IF(OR(+AA$60/AA6&lt;0,+AA$60/AA6&gt;=100),"NM",+AA$60/AA6),"N/A")</f>
        <v>2.1985178900434161</v>
      </c>
      <c r="Y65" s="238">
        <f t="shared" ref="Y65:Y66" si="70">IFERROR(IF(OR(+AA$60/X29&lt;0,+AA$60/X29&gt;=100),"NM",+AA$60/X29),"N/A")</f>
        <v>2.1788852362673663</v>
      </c>
      <c r="Z65" s="238">
        <f t="shared" ref="Z65:Z66" si="71">IFERROR(IF(OR(+AA$60/Y29&lt;0,+AA$60/Y29&gt;=100),"NM",+AA$60/Y29),"N/A")</f>
        <v>1.8699841752176523</v>
      </c>
      <c r="AA65" s="239">
        <f t="shared" ref="AA65:AA66" si="72">IFERROR(IF(OR(+AA$60/Z29&lt;0,+AA$60/Z29&gt;=100),"NM",+AA$60/Z29),"N/A")</f>
        <v>1.8526175154198052</v>
      </c>
      <c r="AB65" s="1"/>
      <c r="AC65" s="237">
        <f>IFERROR(IF(OR(+AF$60/AF6&lt;0,+AF$60/AF6&gt;=100),"NM",+AF$60/AF6),"N/A")</f>
        <v>3.9427463028974672</v>
      </c>
      <c r="AD65" s="238">
        <f t="shared" ref="AD65:AD66" si="73">IFERROR(IF(OR(+AF$60/AC29&lt;0,+AF$60/AC29&gt;=100),"NM",+AF$60/AC29),"N/A")</f>
        <v>3.7644414356308418</v>
      </c>
      <c r="AE65" s="238">
        <f t="shared" ref="AE65:AE66" si="74">IFERROR(IF(OR(+AF$60/AD29&lt;0,+AF$60/AD29&gt;=100),"NM",+AF$60/AD29),"N/A")</f>
        <v>3.5281334331021901</v>
      </c>
      <c r="AF65" s="239">
        <f t="shared" ref="AF65:AF66" si="75">IFERROR(IF(OR(+AF$60/AE29&lt;0,+AF$60/AE29&gt;=100),"NM",+AF$60/AE29),"N/A")</f>
        <v>3.6260636184171049</v>
      </c>
      <c r="AG65" s="1"/>
      <c r="AH65" s="237">
        <f>IFERROR(IF(OR(+AK$60/AK6&lt;0,+AK$60/AK6&gt;=100),"NM",+AK$60/AK6),"N/A")</f>
        <v>67.507531590712105</v>
      </c>
      <c r="AI65" s="238">
        <f t="shared" ref="AI65:AI66" si="76">IFERROR(IF(OR(+AK$60/AH29&lt;0,+AK$60/AH29&gt;=100),"NM",+AK$60/AH29),"N/A")</f>
        <v>9.4759804747106795</v>
      </c>
      <c r="AJ65" s="238">
        <f t="shared" ref="AJ65:AJ66" si="77">IFERROR(IF(OR(+AK$60/AI29&lt;0,+AK$60/AI29&gt;=100),"NM",+AK$60/AI29),"N/A")</f>
        <v>13.31749991450638</v>
      </c>
      <c r="AK65" s="239">
        <f t="shared" ref="AK65:AK66" si="78">IFERROR(IF(OR(+AK$60/AJ29&lt;0,+AK$60/AJ29&gt;=100),"NM",+AK$60/AJ29),"N/A")</f>
        <v>19.119284237726099</v>
      </c>
      <c r="AL65" s="1"/>
      <c r="AM65" s="237" t="str">
        <f>IFERROR(IF(OR(+AP$60/AP6&lt;0,+AP$60/AP6&gt;=100),"NM",+AP$60/AP6),"N/A")</f>
        <v>NM</v>
      </c>
      <c r="AN65" s="238" t="str">
        <f t="shared" ref="AN65:AN66" si="79">IFERROR(IF(OR(+AP$60/AM29&lt;0,+AP$60/AM29&gt;=100),"NM",+AP$60/AM29),"N/A")</f>
        <v>NM</v>
      </c>
      <c r="AO65" s="238" t="str">
        <f t="shared" ref="AO65:AO66" si="80">IFERROR(IF(OR(+AP$60/AN29&lt;0,+AP$60/AN29&gt;=100),"NM",+AP$60/AN29),"N/A")</f>
        <v>NM</v>
      </c>
      <c r="AP65" s="239" t="str">
        <f t="shared" ref="AP65:AP66" si="81">IFERROR(IF(OR(+AP$60/AO29&lt;0,+AP$60/AO29&gt;=100),"NM",+AP$60/AO29),"N/A")</f>
        <v>NM</v>
      </c>
      <c r="AQ65" s="1"/>
      <c r="AR65" s="237" t="str">
        <f>IFERROR(IF(OR(+AU$60/AU6&lt;0,+AU$60/AU6&gt;=100),"NM",+AU$60/AU6),"N/A")</f>
        <v>NM</v>
      </c>
      <c r="AS65" s="238" t="str">
        <f t="shared" ref="AS65:AS66" si="82">IFERROR(IF(OR(+AU$60/AR29&lt;0,+AU$60/AR29&gt;=100),"NM",+AU$60/AR29),"N/A")</f>
        <v>NM</v>
      </c>
      <c r="AT65" s="238" t="str">
        <f t="shared" ref="AT65:AT66" si="83">IFERROR(IF(OR(+AU$60/AS29&lt;0,+AU$60/AS29&gt;=100),"NM",+AU$60/AS29),"N/A")</f>
        <v>NM</v>
      </c>
      <c r="AU65" s="239" t="str">
        <f t="shared" ref="AU65:AU66" si="84">IFERROR(IF(OR(+AU$60/AT29&lt;0,+AU$60/AT29&gt;=100),"NM",+AU$60/AT29),"N/A")</f>
        <v>NM</v>
      </c>
      <c r="AV65" s="1"/>
      <c r="AW65" s="237">
        <f>IFERROR(IF(OR(+AZ$60/AZ6&lt;0,+AZ$60/AZ6&gt;=100),"NM",+AZ$60/AZ6),"N/A")</f>
        <v>8.38296917816524</v>
      </c>
      <c r="AX65" s="238" t="str">
        <f t="shared" ref="AX65:AX66" si="85">IFERROR(IF(OR(+AZ$60/AW29&lt;0,+AZ$60/AW29&gt;=100),"NM",+AZ$60/AW29),"N/A")</f>
        <v>NM</v>
      </c>
      <c r="AY65" s="238" t="str">
        <f t="shared" ref="AY65:AY66" si="86">IFERROR(IF(OR(+AZ$60/AX29&lt;0,+AZ$60/AX29&gt;=100),"NM",+AZ$60/AX29),"N/A")</f>
        <v>NM</v>
      </c>
      <c r="AZ65" s="239" t="str">
        <f t="shared" ref="AZ65:AZ66" si="87">IFERROR(IF(OR(+AZ$60/AY29&lt;0,+AZ$60/AY29&gt;=100),"NM",+AZ$60/AY29),"N/A")</f>
        <v>NM</v>
      </c>
      <c r="BA65" s="1"/>
      <c r="BB65" s="237">
        <f>IFERROR(IF(OR(+BE$60/BE6&lt;0,+BE$60/BE6&gt;=100),"NM",+BE$60/BE6),"N/A")</f>
        <v>6.9055324395130224</v>
      </c>
      <c r="BC65" s="238">
        <f t="shared" ref="BC65:BC66" si="88">IFERROR(IF(OR(+BE$60/BB29&lt;0,+BE$60/BB29&gt;=100),"NM",+BE$60/BB29),"N/A")</f>
        <v>6.5897058823529413</v>
      </c>
      <c r="BD65" s="238">
        <f t="shared" ref="BD65:BD66" si="89">IFERROR(IF(OR(+BE$60/BC29&lt;0,+BE$60/BC29&gt;=100),"NM",+BE$60/BC29),"N/A")</f>
        <v>6.0390835579514821</v>
      </c>
      <c r="BE65" s="239">
        <f t="shared" ref="BE65:BE66" si="90">IFERROR(IF(OR(+BE$60/BD29&lt;0,+BE$60/BD29&gt;=100),"NM",+BE$60/BD29),"N/A")</f>
        <v>5.1863425925925926</v>
      </c>
      <c r="BF65" s="1"/>
      <c r="BG65" s="1"/>
      <c r="BH65" s="1"/>
      <c r="BI65" s="1"/>
      <c r="BJ65" s="1"/>
      <c r="BK65" s="1"/>
      <c r="BL65" s="1"/>
      <c r="BM65" s="1"/>
      <c r="BN65" s="1"/>
      <c r="BO65" s="1"/>
      <c r="BP65" s="1"/>
      <c r="BQ65" s="1"/>
      <c r="BR65" s="1"/>
      <c r="BS65" s="1"/>
    </row>
    <row r="66" spans="1:71" ht="15.75" customHeight="1">
      <c r="A66" s="25">
        <f t="shared" si="0"/>
        <v>66</v>
      </c>
      <c r="B66" s="1" t="s">
        <v>206</v>
      </c>
      <c r="C66" s="1"/>
      <c r="D66" s="244">
        <f>IFERROR(IF(OR(+G$60/G12&lt;0,+G$60/G12&gt;=100),"NM",+G$60/G12),"N/A")</f>
        <v>13.031162790697675</v>
      </c>
      <c r="E66" s="245">
        <f t="shared" si="58"/>
        <v>13.738721469329528</v>
      </c>
      <c r="F66" s="245">
        <f t="shared" si="59"/>
        <v>7.2571507064364207</v>
      </c>
      <c r="G66" s="246">
        <f t="shared" si="60"/>
        <v>6.3762827586206896</v>
      </c>
      <c r="H66" s="1"/>
      <c r="I66" s="244">
        <f>IFERROR(IF(OR(+L$60/L12&lt;0,+L$60/L12&gt;=100),"NM",+L$60/L12),"N/A")</f>
        <v>13.271551282051284</v>
      </c>
      <c r="J66" s="245">
        <f t="shared" si="61"/>
        <v>14.821513475575522</v>
      </c>
      <c r="K66" s="245">
        <f t="shared" si="62"/>
        <v>14.354059543230019</v>
      </c>
      <c r="L66" s="246">
        <f t="shared" si="63"/>
        <v>12.594043654580155</v>
      </c>
      <c r="M66" s="1"/>
      <c r="N66" s="244">
        <f>IFERROR(IF(OR(+Q$60/Q12&lt;0,+Q$60/Q12&gt;=100),"NM",+Q$60/Q12),"N/A")</f>
        <v>17.973249022607515</v>
      </c>
      <c r="O66" s="245">
        <f t="shared" si="64"/>
        <v>15.938352451726685</v>
      </c>
      <c r="P66" s="245">
        <f t="shared" si="65"/>
        <v>15.83665942756152</v>
      </c>
      <c r="Q66" s="246">
        <f t="shared" si="66"/>
        <v>12.011840003635248</v>
      </c>
      <c r="R66" s="1"/>
      <c r="S66" s="244">
        <f>IFERROR(IF(OR(+V$60/V12&lt;0,+V$60/V12&gt;=100),"NM",+V$60/V12),"N/A")</f>
        <v>19.302164368789956</v>
      </c>
      <c r="T66" s="245">
        <f t="shared" si="67"/>
        <v>14.514746426337373</v>
      </c>
      <c r="U66" s="245">
        <f t="shared" si="68"/>
        <v>13.130593339341479</v>
      </c>
      <c r="V66" s="246">
        <f t="shared" si="69"/>
        <v>11.470367454548782</v>
      </c>
      <c r="W66" s="1"/>
      <c r="X66" s="244">
        <f>IFERROR(IF(OR(+AA$60/AA12&lt;0,+AA$60/AA12&gt;=100),"NM",+AA$60/AA12),"N/A")</f>
        <v>15.261011310711909</v>
      </c>
      <c r="Y66" s="245">
        <f t="shared" si="70"/>
        <v>13.837795988135337</v>
      </c>
      <c r="Z66" s="245">
        <f t="shared" si="71"/>
        <v>11.37159344990506</v>
      </c>
      <c r="AA66" s="246">
        <f t="shared" si="72"/>
        <v>10.984733825018548</v>
      </c>
      <c r="AB66" s="1"/>
      <c r="AC66" s="244">
        <f>IFERROR(IF(OR(+AF$60/AF12&lt;0,+AF$60/AF12&gt;=100),"NM",+AF$60/AF12),"N/A")</f>
        <v>16.519172129206229</v>
      </c>
      <c r="AD66" s="245">
        <f t="shared" si="73"/>
        <v>14.864206911095396</v>
      </c>
      <c r="AE66" s="245">
        <f t="shared" si="74"/>
        <v>12.328264859208817</v>
      </c>
      <c r="AF66" s="246">
        <f t="shared" si="75"/>
        <v>12.38893452095348</v>
      </c>
      <c r="AG66" s="1"/>
      <c r="AH66" s="244" t="str">
        <f>IFERROR(IF(OR(+AK$60/AK12&lt;0,+AK$60/AK12&gt;=100),"NM",+AK$60/AK12),"N/A")</f>
        <v>NM</v>
      </c>
      <c r="AI66" s="245">
        <f t="shared" si="76"/>
        <v>12.002728496362478</v>
      </c>
      <c r="AJ66" s="245">
        <f t="shared" si="77"/>
        <v>18.394313028313668</v>
      </c>
      <c r="AK66" s="246">
        <f t="shared" si="78"/>
        <v>29.986476190476193</v>
      </c>
      <c r="AL66" s="1"/>
      <c r="AM66" s="244" t="str">
        <f>IFERROR(IF(OR(+AP$60/AP12&lt;0,+AP$60/AP12&gt;=100),"NM",+AP$60/AP12),"N/A")</f>
        <v>NM</v>
      </c>
      <c r="AN66" s="245" t="str">
        <f t="shared" si="79"/>
        <v>NM</v>
      </c>
      <c r="AO66" s="245" t="str">
        <f t="shared" si="80"/>
        <v>NM</v>
      </c>
      <c r="AP66" s="246" t="str">
        <f t="shared" si="81"/>
        <v>NM</v>
      </c>
      <c r="AQ66" s="1"/>
      <c r="AR66" s="244">
        <f>IFERROR(IF(OR(+AU$60/AU12&lt;0,+AU$60/AU12&gt;=100),"NM",+AU$60/AU12),"N/A")</f>
        <v>55.685790845866961</v>
      </c>
      <c r="AS66" s="245" t="str">
        <f t="shared" si="82"/>
        <v>NM</v>
      </c>
      <c r="AT66" s="245" t="str">
        <f t="shared" si="83"/>
        <v>NM</v>
      </c>
      <c r="AU66" s="246" t="str">
        <f t="shared" si="84"/>
        <v>NM</v>
      </c>
      <c r="AV66" s="1"/>
      <c r="AW66" s="244">
        <f>IFERROR(IF(OR(+AZ$60/AZ12&lt;0,+AZ$60/AZ12&gt;=100),"NM",+AZ$60/AZ12),"N/A")</f>
        <v>26.539150620336866</v>
      </c>
      <c r="AX66" s="245" t="str">
        <f t="shared" si="85"/>
        <v>NM</v>
      </c>
      <c r="AY66" s="245" t="str">
        <f t="shared" si="86"/>
        <v>NM</v>
      </c>
      <c r="AZ66" s="246" t="str">
        <f t="shared" si="87"/>
        <v>NM</v>
      </c>
      <c r="BA66" s="1"/>
      <c r="BB66" s="244">
        <f>IFERROR(IF(OR(+BE$60/BE12&lt;0,+BE$60/BE12&gt;=100),"NM",+BE$60/BE12),"N/A")</f>
        <v>23.157622739018088</v>
      </c>
      <c r="BC66" s="245">
        <f t="shared" si="88"/>
        <v>22.098502051983587</v>
      </c>
      <c r="BD66" s="245">
        <f t="shared" si="89"/>
        <v>20.251996489688462</v>
      </c>
      <c r="BE66" s="246">
        <f t="shared" si="90"/>
        <v>17.392339577950043</v>
      </c>
      <c r="BF66" s="1"/>
      <c r="BG66" s="1"/>
      <c r="BH66" s="1"/>
      <c r="BI66" s="1"/>
      <c r="BJ66" s="1"/>
      <c r="BK66" s="1"/>
      <c r="BL66" s="1"/>
      <c r="BM66" s="1"/>
      <c r="BN66" s="1"/>
      <c r="BO66" s="1"/>
      <c r="BP66" s="1"/>
      <c r="BQ66" s="1"/>
      <c r="BR66" s="1"/>
      <c r="BS66" s="1"/>
    </row>
    <row r="67" spans="1:71" ht="15.75" customHeight="1">
      <c r="A67" s="25">
        <f t="shared" si="0"/>
        <v>67</v>
      </c>
      <c r="B67" s="1" t="s">
        <v>211</v>
      </c>
      <c r="C67" s="1"/>
      <c r="D67" s="248" t="str">
        <f>IFERROR(IF(OR(+G$59/G7&lt;0,+G$59/G7&gt;=100),"NM",+G$59/G7),"N/A")</f>
        <v>NM</v>
      </c>
      <c r="E67" s="250" t="str">
        <f>IFERROR(IF(OR(+G$59/D31&lt;0,+G$59/D31&gt;=100),"NM",+G$59/D31),"N/A")</f>
        <v>NM</v>
      </c>
      <c r="F67" s="250">
        <f>IFERROR(IF(OR(+G$59/E31&lt;0,+G$59/E31&gt;=100),"NM",+G$59/E31),"N/A")</f>
        <v>20.814341659651642</v>
      </c>
      <c r="G67" s="252">
        <f>IFERROR(IF(OR(+G$59/F31&lt;0,+G$59/F31&gt;=100),"NM",+G$59/F31),"N/A")</f>
        <v>19.355460607331256</v>
      </c>
      <c r="H67" s="1"/>
      <c r="I67" s="248">
        <f>IFERROR(IF(OR(+L$59/L7&lt;0,+L$59/L7&gt;=100),"NM",+L$59/L7),"N/A")</f>
        <v>31.170083905789994</v>
      </c>
      <c r="J67" s="250">
        <f>IFERROR(IF(OR(+L$59/I31&lt;0,+L$59/I31&gt;=100),"NM",+L$59/I31),"N/A")</f>
        <v>22.982961937606103</v>
      </c>
      <c r="K67" s="250">
        <f>IFERROR(IF(OR(+L$59/J31&lt;0,+L$59/J31&gt;=100),"NM",+L$59/J31),"N/A")</f>
        <v>21.967007282610954</v>
      </c>
      <c r="L67" s="252">
        <f>IFERROR(IF(OR(+L$59/K31&lt;0,+L$59/K31&gt;=100),"NM",+L$59/K31),"N/A")</f>
        <v>19.346739130434784</v>
      </c>
      <c r="M67" s="1"/>
      <c r="N67" s="248">
        <f>IFERROR(IF(OR(+Q$59/Q7&lt;0,+Q$59/Q7&gt;=100),"NM",+Q$59/Q7),"N/A")</f>
        <v>37.598390419161674</v>
      </c>
      <c r="O67" s="250">
        <f>IFERROR(IF(OR(+Q$59/N31&lt;0,+Q$59/N31&gt;=100),"NM",+Q$59/N31),"N/A")</f>
        <v>23.155389522984159</v>
      </c>
      <c r="P67" s="250">
        <f>IFERROR(IF(OR(+Q$59/O31&lt;0,+Q$59/O31&gt;=100),"NM",+Q$59/O31),"N/A")</f>
        <v>24.344963263090552</v>
      </c>
      <c r="Q67" s="252">
        <f>IFERROR(IF(OR(+Q$59/P31&lt;0,+Q$59/P31&gt;=100),"NM",+Q$59/P31),"N/A")</f>
        <v>19.202798947947887</v>
      </c>
      <c r="R67" s="1"/>
      <c r="S67" s="248">
        <f>IFERROR(IF(OR(+V$59/V7&lt;0,+V$59/V7&gt;=100),"NM",+V$59/V7),"N/A")</f>
        <v>39.731951640759931</v>
      </c>
      <c r="T67" s="250">
        <f>IFERROR(IF(OR(+V$59/S31&lt;0,+V$59/S31&gt;=100),"NM",+V$59/S31),"N/A")</f>
        <v>29.319777434672417</v>
      </c>
      <c r="U67" s="250">
        <f>IFERROR(IF(OR(+V$59/T31&lt;0,+V$59/T31&gt;=100),"NM",+V$59/T31),"N/A")</f>
        <v>26.272155368190244</v>
      </c>
      <c r="V67" s="252">
        <f>IFERROR(IF(OR(+V$59/U31&lt;0,+V$59/U31&gt;=100),"NM",+V$59/U31),"N/A")</f>
        <v>17.628199233716476</v>
      </c>
      <c r="W67" s="1"/>
      <c r="X67" s="248">
        <f>IFERROR(IF(OR(+AA$59/AA7&lt;0,+AA$59/AA7&gt;=100),"NM",+AA$59/AA7),"N/A")</f>
        <v>21.584577910780151</v>
      </c>
      <c r="Y67" s="250">
        <f>IFERROR(IF(OR(+AA$59/X31&lt;0,+AA$59/X31&gt;=100),"NM",+AA$59/X31),"N/A")</f>
        <v>24.992771690167402</v>
      </c>
      <c r="Z67" s="250">
        <f>IFERROR(IF(OR(+AA$59/Y31&lt;0,+AA$59/Y31&gt;=100),"NM",+AA$59/Y31),"N/A")</f>
        <v>18.574882098601474</v>
      </c>
      <c r="AA67" s="252">
        <f>IFERROR(IF(OR(+AA$59/Z31&lt;0,+AA$59/Z31&gt;=100),"NM",+AA$59/Z31),"N/A")</f>
        <v>17.573090941026653</v>
      </c>
      <c r="AB67" s="1"/>
      <c r="AC67" s="248">
        <f>IFERROR(IF(OR(+AF$59/AF7&lt;0,+AF$59/AF7&gt;=100),"NM",+AF$59/AF7),"N/A")</f>
        <v>21.850518484166166</v>
      </c>
      <c r="AD67" s="250">
        <f>IFERROR(IF(OR(+AF$59/AC31&lt;0,+AF$59/AC31&gt;=100),"NM",+AF$59/AC31),"N/A")</f>
        <v>21.168877828852462</v>
      </c>
      <c r="AE67" s="250">
        <f>IFERROR(IF(OR(+AF$59/AD31&lt;0,+AF$59/AD31&gt;=100),"NM",+AF$59/AD31),"N/A")</f>
        <v>17.139957536988533</v>
      </c>
      <c r="AF67" s="252">
        <f>IFERROR(IF(OR(+AF$59/AE31&lt;0,+AF$59/AE31&gt;=100),"NM",+AF$59/AE31),"N/A")</f>
        <v>16.511681397176666</v>
      </c>
      <c r="AG67" s="1"/>
      <c r="AH67" s="248" t="str">
        <f>IFERROR(IF(OR(+AK$59/AK7&lt;0,+AK$59/AK7&gt;=100),"NM",+AK$59/AK7),"N/A")</f>
        <v>NM</v>
      </c>
      <c r="AI67" s="250">
        <f>IFERROR(IF(OR(+AK$59/AH31&lt;0,+AK$59/AH31&gt;=100),"NM",+AK$59/AH31),"N/A")</f>
        <v>15.49577212353312</v>
      </c>
      <c r="AJ67" s="250">
        <f>IFERROR(IF(OR(+AK$59/AI31&lt;0,+AK$59/AI31&gt;=100),"NM",+AK$59/AI31),"N/A")</f>
        <v>21.580367640359746</v>
      </c>
      <c r="AK67" s="252">
        <f>IFERROR(IF(OR(+AK$59/AJ31&lt;0,+AK$59/AJ31&gt;=100),"NM",+AK$59/AJ31),"N/A")</f>
        <v>33.914682787695597</v>
      </c>
      <c r="AL67" s="1"/>
      <c r="AM67" s="248" t="str">
        <f>IFERROR(IF(OR(+AP$59/AP7&lt;0,+AP$59/AP7&gt;=100),"NM",+AP$59/AP7),"N/A")</f>
        <v>NM</v>
      </c>
      <c r="AN67" s="250" t="str">
        <f>IFERROR(IF(OR(+AP$59/AM31&lt;0,+AP$59/AM31&gt;=100),"NM",+AP$59/AM31),"N/A")</f>
        <v>NM</v>
      </c>
      <c r="AO67" s="250" t="str">
        <f>IFERROR(IF(OR(+AP$59/AN31&lt;0,+AP$59/AN31&gt;=100),"NM",+AP$59/AN31),"N/A")</f>
        <v>NM</v>
      </c>
      <c r="AP67" s="252" t="str">
        <f>IFERROR(IF(OR(+AP$59/AO31&lt;0,+AP$59/AO31&gt;=100),"NM",+AP$59/AO31),"N/A")</f>
        <v>NM</v>
      </c>
      <c r="AQ67" s="1"/>
      <c r="AR67" s="248" t="str">
        <f>IFERROR(IF(OR(+AU$59/AU7&lt;0,+AU$59/AU7&gt;=100),"NM",+AU$59/AU7),"N/A")</f>
        <v>NM</v>
      </c>
      <c r="AS67" s="250" t="str">
        <f>IFERROR(IF(OR(+AU$59/AR31&lt;0,+AU$59/AR31&gt;=100),"NM",+AU$59/AR31),"N/A")</f>
        <v>NM</v>
      </c>
      <c r="AT67" s="250" t="str">
        <f>IFERROR(IF(OR(+AU$59/AS31&lt;0,+AU$59/AS31&gt;=100),"NM",+AU$59/AS31),"N/A")</f>
        <v>NM</v>
      </c>
      <c r="AU67" s="252" t="str">
        <f>IFERROR(IF(OR(+AU$59/AT31&lt;0,+AU$59/AT31&gt;=100),"NM",+AU$59/AT31),"N/A")</f>
        <v>NM</v>
      </c>
      <c r="AV67" s="1"/>
      <c r="AW67" s="248">
        <f>IFERROR(IF(OR(+AZ$59/AZ7&lt;0,+AZ$59/AZ7&gt;=100),"NM",+AZ$59/AZ7),"N/A")</f>
        <v>35.825113803713073</v>
      </c>
      <c r="AX67" s="250" t="str">
        <f>IFERROR(IF(OR(+AZ$59/AW31&lt;0,+AZ$59/AW31&gt;=100),"NM",+AZ$59/AW31),"N/A")</f>
        <v>NM</v>
      </c>
      <c r="AY67" s="250" t="str">
        <f>IFERROR(IF(OR(+AZ$59/AX31&lt;0,+AZ$59/AX31&gt;=100),"NM",+AZ$59/AX31),"N/A")</f>
        <v>NM</v>
      </c>
      <c r="AZ67" s="252" t="str">
        <f>IFERROR(IF(OR(+AZ$59/AY31&lt;0,+AZ$59/AY31&gt;=100),"NM",+AZ$59/AY31),"N/A")</f>
        <v>NM</v>
      </c>
      <c r="BA67" s="1"/>
      <c r="BB67" s="248">
        <f>IFERROR(IF(OR(+BE$59/BE7&lt;0,+BE$59/BE7&gt;=100),"NM",+BE$59/BE7),"N/A")</f>
        <v>31.503659347970725</v>
      </c>
      <c r="BC67" s="250">
        <f>IFERROR(IF(OR(+BE$59/BB31&lt;0,+BE$59/BB31&gt;=100),"NM",+BE$59/BB31),"N/A")</f>
        <v>30.06283022190912</v>
      </c>
      <c r="BD67" s="250">
        <f>IFERROR(IF(OR(+BE$59/BC31&lt;0,+BE$59/BC31&gt;=100),"NM",+BE$59/BC31),"N/A")</f>
        <v>27.550841712800814</v>
      </c>
      <c r="BE67" s="252">
        <f>IFERROR(IF(OR(+BE$59/BD31&lt;0,+BE$59/BD31&gt;=100),"NM",+BE$59/BD31),"N/A")</f>
        <v>23.660560822798846</v>
      </c>
      <c r="BF67" s="1"/>
      <c r="BG67" s="1"/>
      <c r="BH67" s="1"/>
      <c r="BI67" s="1"/>
      <c r="BJ67" s="1"/>
      <c r="BK67" s="1"/>
      <c r="BL67" s="1"/>
      <c r="BM67" s="1"/>
      <c r="BN67" s="1"/>
      <c r="BO67" s="1"/>
      <c r="BP67" s="1"/>
      <c r="BQ67" s="1"/>
      <c r="BR67" s="1"/>
      <c r="BS67" s="1"/>
    </row>
    <row r="68" spans="1:71" ht="15.75" customHeight="1">
      <c r="A68" s="25">
        <f t="shared" si="0"/>
        <v>68</v>
      </c>
      <c r="B68" s="1"/>
      <c r="C68" s="1"/>
      <c r="D68" s="29"/>
      <c r="E68" s="1"/>
      <c r="F68" s="1"/>
      <c r="G68" s="228"/>
      <c r="H68" s="1"/>
      <c r="I68" s="29"/>
      <c r="J68" s="1"/>
      <c r="K68" s="1"/>
      <c r="L68" s="228"/>
      <c r="M68" s="1"/>
      <c r="N68" s="29"/>
      <c r="O68" s="1"/>
      <c r="P68" s="1"/>
      <c r="Q68" s="228"/>
      <c r="R68" s="1"/>
      <c r="S68" s="29"/>
      <c r="T68" s="1"/>
      <c r="U68" s="1"/>
      <c r="V68" s="228"/>
      <c r="W68" s="1"/>
      <c r="X68" s="29"/>
      <c r="Y68" s="1"/>
      <c r="Z68" s="1"/>
      <c r="AA68" s="228"/>
      <c r="AB68" s="1"/>
      <c r="AC68" s="29"/>
      <c r="AD68" s="1"/>
      <c r="AE68" s="1"/>
      <c r="AF68" s="228"/>
      <c r="AG68" s="1"/>
      <c r="AH68" s="29"/>
      <c r="AI68" s="1"/>
      <c r="AJ68" s="1"/>
      <c r="AK68" s="228"/>
      <c r="AL68" s="1"/>
      <c r="AM68" s="29"/>
      <c r="AN68" s="1"/>
      <c r="AO68" s="1"/>
      <c r="AP68" s="228"/>
      <c r="AQ68" s="1"/>
      <c r="AR68" s="29"/>
      <c r="AS68" s="1"/>
      <c r="AT68" s="1"/>
      <c r="AU68" s="228"/>
      <c r="AV68" s="1"/>
      <c r="AW68" s="29"/>
      <c r="AX68" s="1"/>
      <c r="AY68" s="1"/>
      <c r="AZ68" s="228"/>
      <c r="BA68" s="1"/>
      <c r="BB68" s="29"/>
      <c r="BC68" s="1"/>
      <c r="BD68" s="1"/>
      <c r="BE68" s="228"/>
      <c r="BF68" s="1"/>
      <c r="BG68" s="1"/>
      <c r="BH68" s="1"/>
      <c r="BI68" s="1"/>
      <c r="BJ68" s="1"/>
      <c r="BK68" s="1"/>
      <c r="BL68" s="1"/>
      <c r="BM68" s="1"/>
      <c r="BN68" s="1"/>
      <c r="BO68" s="1"/>
      <c r="BP68" s="1"/>
      <c r="BQ68" s="1"/>
      <c r="BR68" s="1"/>
      <c r="BS68" s="1"/>
    </row>
    <row r="69" spans="1:71" ht="15.75" customHeight="1">
      <c r="A69" s="25">
        <f t="shared" si="0"/>
        <v>69</v>
      </c>
      <c r="B69" s="1"/>
      <c r="C69" s="1"/>
      <c r="D69" s="368" t="s">
        <v>220</v>
      </c>
      <c r="E69" s="369"/>
      <c r="F69" s="369"/>
      <c r="G69" s="370"/>
      <c r="H69" s="1"/>
      <c r="I69" s="368" t="s">
        <v>220</v>
      </c>
      <c r="J69" s="369"/>
      <c r="K69" s="369"/>
      <c r="L69" s="370"/>
      <c r="M69" s="1"/>
      <c r="N69" s="368" t="s">
        <v>220</v>
      </c>
      <c r="O69" s="369"/>
      <c r="P69" s="369"/>
      <c r="Q69" s="370"/>
      <c r="R69" s="1"/>
      <c r="S69" s="368" t="s">
        <v>220</v>
      </c>
      <c r="T69" s="369"/>
      <c r="U69" s="369"/>
      <c r="V69" s="370"/>
      <c r="W69" s="1"/>
      <c r="X69" s="368" t="s">
        <v>220</v>
      </c>
      <c r="Y69" s="369"/>
      <c r="Z69" s="369"/>
      <c r="AA69" s="370"/>
      <c r="AB69" s="1"/>
      <c r="AC69" s="368" t="s">
        <v>220</v>
      </c>
      <c r="AD69" s="369"/>
      <c r="AE69" s="369"/>
      <c r="AF69" s="370"/>
      <c r="AG69" s="1"/>
      <c r="AH69" s="368" t="s">
        <v>220</v>
      </c>
      <c r="AI69" s="369"/>
      <c r="AJ69" s="369"/>
      <c r="AK69" s="370"/>
      <c r="AL69" s="1"/>
      <c r="AM69" s="368" t="s">
        <v>220</v>
      </c>
      <c r="AN69" s="369"/>
      <c r="AO69" s="369"/>
      <c r="AP69" s="370"/>
      <c r="AQ69" s="1"/>
      <c r="AR69" s="368" t="s">
        <v>220</v>
      </c>
      <c r="AS69" s="369"/>
      <c r="AT69" s="369"/>
      <c r="AU69" s="370"/>
      <c r="AV69" s="1"/>
      <c r="AW69" s="368" t="s">
        <v>220</v>
      </c>
      <c r="AX69" s="369"/>
      <c r="AY69" s="369"/>
      <c r="AZ69" s="370"/>
      <c r="BA69" s="1"/>
      <c r="BB69" s="368" t="s">
        <v>220</v>
      </c>
      <c r="BC69" s="369"/>
      <c r="BD69" s="369"/>
      <c r="BE69" s="370"/>
      <c r="BF69" s="1"/>
      <c r="BG69" s="1"/>
      <c r="BH69" s="1"/>
      <c r="BI69" s="1"/>
      <c r="BJ69" s="1"/>
      <c r="BK69" s="1"/>
      <c r="BL69" s="1"/>
      <c r="BM69" s="1"/>
      <c r="BN69" s="1"/>
      <c r="BO69" s="1"/>
      <c r="BP69" s="1"/>
      <c r="BQ69" s="1"/>
      <c r="BR69" s="1"/>
      <c r="BS69" s="1"/>
    </row>
    <row r="70" spans="1:71" ht="15.75" customHeight="1">
      <c r="A70" s="25">
        <f t="shared" si="0"/>
        <v>70</v>
      </c>
      <c r="B70" s="1"/>
      <c r="C70" s="1"/>
      <c r="D70" s="163"/>
      <c r="E70" s="164"/>
      <c r="F70" s="164"/>
      <c r="G70" s="265"/>
      <c r="H70" s="1"/>
      <c r="I70" s="163"/>
      <c r="J70" s="164"/>
      <c r="K70" s="164"/>
      <c r="L70" s="265"/>
      <c r="M70" s="1"/>
      <c r="N70" s="163"/>
      <c r="O70" s="164"/>
      <c r="P70" s="164"/>
      <c r="Q70" s="265"/>
      <c r="R70" s="1"/>
      <c r="S70" s="163"/>
      <c r="T70" s="164"/>
      <c r="U70" s="164"/>
      <c r="V70" s="265"/>
      <c r="W70" s="1"/>
      <c r="X70" s="163"/>
      <c r="Y70" s="164"/>
      <c r="Z70" s="164"/>
      <c r="AA70" s="265"/>
      <c r="AB70" s="1"/>
      <c r="AC70" s="163"/>
      <c r="AD70" s="164"/>
      <c r="AE70" s="164"/>
      <c r="AF70" s="265"/>
      <c r="AG70" s="1"/>
      <c r="AH70" s="163"/>
      <c r="AI70" s="164"/>
      <c r="AJ70" s="164"/>
      <c r="AK70" s="265"/>
      <c r="AL70" s="1"/>
      <c r="AM70" s="163"/>
      <c r="AN70" s="164"/>
      <c r="AO70" s="164"/>
      <c r="AP70" s="265"/>
      <c r="AQ70" s="1"/>
      <c r="AR70" s="163"/>
      <c r="AS70" s="164"/>
      <c r="AT70" s="164"/>
      <c r="AU70" s="265"/>
      <c r="AV70" s="1"/>
      <c r="AW70" s="163"/>
      <c r="AX70" s="164"/>
      <c r="AY70" s="164"/>
      <c r="AZ70" s="265"/>
      <c r="BA70" s="1"/>
      <c r="BB70" s="163"/>
      <c r="BC70" s="164"/>
      <c r="BD70" s="164"/>
      <c r="BE70" s="265"/>
      <c r="BF70" s="1"/>
      <c r="BG70" s="1"/>
      <c r="BH70" s="1"/>
      <c r="BI70" s="1"/>
      <c r="BJ70" s="1"/>
      <c r="BK70" s="1"/>
      <c r="BL70" s="1"/>
      <c r="BM70" s="1"/>
      <c r="BN70" s="1"/>
      <c r="BO70" s="1"/>
      <c r="BP70" s="1"/>
      <c r="BQ70" s="1"/>
      <c r="BR70" s="1"/>
      <c r="BS70" s="1"/>
    </row>
    <row r="71" spans="1:71" ht="15.75" customHeight="1">
      <c r="A71" s="25">
        <f t="shared" si="0"/>
        <v>71</v>
      </c>
      <c r="B71" s="1" t="str">
        <f>TEXT(Forward_Year_1,"yyyy-mm-dd")&amp;" "&amp;B29</f>
        <v>yyyy-12-31 Revenue:</v>
      </c>
      <c r="C71" s="1"/>
      <c r="D71" s="163"/>
      <c r="E71" s="164"/>
      <c r="F71" s="164"/>
      <c r="G71" s="137">
        <f t="shared" ref="G71:G73" si="91">+D29</f>
        <v>1590.3100000000002</v>
      </c>
      <c r="H71" s="1"/>
      <c r="I71" s="163"/>
      <c r="J71" s="164"/>
      <c r="K71" s="164"/>
      <c r="L71" s="137">
        <f t="shared" ref="L71:L73" si="92">+I29</f>
        <v>5188</v>
      </c>
      <c r="M71" s="1"/>
      <c r="N71" s="163"/>
      <c r="O71" s="164"/>
      <c r="P71" s="164"/>
      <c r="Q71" s="137">
        <f t="shared" ref="Q71:Q73" si="93">+N29</f>
        <v>2838</v>
      </c>
      <c r="R71" s="1"/>
      <c r="S71" s="163"/>
      <c r="T71" s="164"/>
      <c r="U71" s="164"/>
      <c r="V71" s="137">
        <f t="shared" ref="V71:V73" si="94">+S29</f>
        <v>2520</v>
      </c>
      <c r="W71" s="1"/>
      <c r="X71" s="163"/>
      <c r="Y71" s="164"/>
      <c r="Z71" s="164"/>
      <c r="AA71" s="137">
        <f t="shared" ref="AA71:AA73" si="95">+X29</f>
        <v>284231.17</v>
      </c>
      <c r="AB71" s="1"/>
      <c r="AC71" s="163"/>
      <c r="AD71" s="164"/>
      <c r="AE71" s="164"/>
      <c r="AF71" s="137">
        <f t="shared" ref="AF71:AF73" si="96">+AC29</f>
        <v>1284000</v>
      </c>
      <c r="AG71" s="1"/>
      <c r="AH71" s="163"/>
      <c r="AI71" s="164"/>
      <c r="AJ71" s="164"/>
      <c r="AK71" s="137">
        <f t="shared" ref="AK71:AK73" si="97">+AH29</f>
        <v>3123.3339999999998</v>
      </c>
      <c r="AL71" s="1"/>
      <c r="AM71" s="163"/>
      <c r="AN71" s="164"/>
      <c r="AO71" s="164"/>
      <c r="AP71" s="137">
        <f t="shared" ref="AP71:AP73" si="98">+AM29</f>
        <v>747.7</v>
      </c>
      <c r="AQ71" s="1"/>
      <c r="AR71" s="163"/>
      <c r="AS71" s="164"/>
      <c r="AT71" s="164"/>
      <c r="AU71" s="137">
        <f t="shared" ref="AU71:AU73" si="99">+AR29</f>
        <v>262.01</v>
      </c>
      <c r="AV71" s="1"/>
      <c r="AW71" s="163"/>
      <c r="AX71" s="164"/>
      <c r="AY71" s="164"/>
      <c r="AZ71" s="137">
        <f t="shared" ref="AZ71:AZ73" si="100">+AW29</f>
        <v>2490</v>
      </c>
      <c r="BA71" s="1"/>
      <c r="BB71" s="163"/>
      <c r="BC71" s="164"/>
      <c r="BD71" s="164"/>
      <c r="BE71" s="137">
        <f t="shared" ref="BE71:BE73" si="101">+BB29</f>
        <v>6800</v>
      </c>
      <c r="BF71" s="1"/>
      <c r="BG71" s="1"/>
      <c r="BH71" s="1"/>
      <c r="BI71" s="1"/>
      <c r="BJ71" s="1"/>
      <c r="BK71" s="1"/>
      <c r="BL71" s="1"/>
      <c r="BM71" s="1"/>
      <c r="BN71" s="1"/>
      <c r="BO71" s="1"/>
      <c r="BP71" s="1"/>
      <c r="BQ71" s="1"/>
      <c r="BR71" s="1"/>
      <c r="BS71" s="1"/>
    </row>
    <row r="72" spans="1:71" ht="15.75" customHeight="1">
      <c r="A72" s="25">
        <f t="shared" si="0"/>
        <v>72</v>
      </c>
      <c r="B72" s="1" t="str">
        <f>TEXT(Forward_Year_1,"yyyy-mm-dd")&amp;" "&amp;B30</f>
        <v>yyyy-12-31 EBITDA:</v>
      </c>
      <c r="C72" s="1"/>
      <c r="D72" s="163"/>
      <c r="E72" s="164"/>
      <c r="F72" s="164"/>
      <c r="G72" s="140">
        <f t="shared" si="91"/>
        <v>733.52640000000008</v>
      </c>
      <c r="H72" s="1"/>
      <c r="I72" s="163"/>
      <c r="J72" s="164"/>
      <c r="K72" s="164"/>
      <c r="L72" s="140">
        <f t="shared" si="92"/>
        <v>1781</v>
      </c>
      <c r="M72" s="1"/>
      <c r="N72" s="163"/>
      <c r="O72" s="164"/>
      <c r="P72" s="164"/>
      <c r="Q72" s="140">
        <f t="shared" si="93"/>
        <v>663.41</v>
      </c>
      <c r="R72" s="1"/>
      <c r="S72" s="163"/>
      <c r="T72" s="164"/>
      <c r="U72" s="164"/>
      <c r="V72" s="140">
        <f t="shared" si="94"/>
        <v>431.63</v>
      </c>
      <c r="W72" s="1"/>
      <c r="X72" s="163"/>
      <c r="Y72" s="164"/>
      <c r="Z72" s="164"/>
      <c r="AA72" s="140">
        <f t="shared" si="95"/>
        <v>44754.75</v>
      </c>
      <c r="AB72" s="1"/>
      <c r="AC72" s="163"/>
      <c r="AD72" s="164"/>
      <c r="AE72" s="164"/>
      <c r="AF72" s="140">
        <f t="shared" si="96"/>
        <v>325180</v>
      </c>
      <c r="AG72" s="1"/>
      <c r="AH72" s="163"/>
      <c r="AI72" s="164"/>
      <c r="AJ72" s="164"/>
      <c r="AK72" s="140">
        <f t="shared" si="97"/>
        <v>2465.8270000000002</v>
      </c>
      <c r="AL72" s="1"/>
      <c r="AM72" s="163"/>
      <c r="AN72" s="164"/>
      <c r="AO72" s="164"/>
      <c r="AP72" s="140">
        <f t="shared" si="98"/>
        <v>115.12</v>
      </c>
      <c r="AQ72" s="1"/>
      <c r="AR72" s="163"/>
      <c r="AS72" s="164"/>
      <c r="AT72" s="164"/>
      <c r="AU72" s="140">
        <f t="shared" si="99"/>
        <v>110.86</v>
      </c>
      <c r="AV72" s="1"/>
      <c r="AW72" s="163"/>
      <c r="AX72" s="164"/>
      <c r="AY72" s="164"/>
      <c r="AZ72" s="140">
        <f t="shared" si="100"/>
        <v>1045</v>
      </c>
      <c r="BA72" s="1"/>
      <c r="BB72" s="163"/>
      <c r="BC72" s="164"/>
      <c r="BD72" s="164"/>
      <c r="BE72" s="140">
        <f t="shared" si="101"/>
        <v>2027.7392510402217</v>
      </c>
      <c r="BF72" s="1"/>
      <c r="BG72" s="1"/>
      <c r="BH72" s="1"/>
      <c r="BI72" s="1"/>
      <c r="BJ72" s="1"/>
      <c r="BK72" s="1"/>
      <c r="BL72" s="1"/>
      <c r="BM72" s="1"/>
      <c r="BN72" s="1"/>
      <c r="BO72" s="1"/>
      <c r="BP72" s="1"/>
      <c r="BQ72" s="1"/>
      <c r="BR72" s="1"/>
      <c r="BS72" s="1"/>
    </row>
    <row r="73" spans="1:71" ht="15.75" customHeight="1">
      <c r="A73" s="25">
        <f t="shared" si="0"/>
        <v>73</v>
      </c>
      <c r="B73" s="1" t="str">
        <f>TEXT(Forward_Year_1,"yyyy-mm-dd")&amp;" "&amp;B31</f>
        <v>yyyy-12-31 Reported Net Income:</v>
      </c>
      <c r="C73" s="1"/>
      <c r="D73" s="163"/>
      <c r="E73" s="164"/>
      <c r="F73" s="164"/>
      <c r="G73" s="140">
        <f t="shared" si="91"/>
        <v>29.1248</v>
      </c>
      <c r="H73" s="1"/>
      <c r="I73" s="163"/>
      <c r="J73" s="164"/>
      <c r="K73" s="164"/>
      <c r="L73" s="140">
        <f t="shared" si="92"/>
        <v>1381.9939999999999</v>
      </c>
      <c r="M73" s="1"/>
      <c r="N73" s="163"/>
      <c r="O73" s="164"/>
      <c r="P73" s="164"/>
      <c r="Q73" s="140">
        <f t="shared" si="93"/>
        <v>542.33000000000004</v>
      </c>
      <c r="R73" s="1"/>
      <c r="S73" s="163"/>
      <c r="T73" s="164"/>
      <c r="U73" s="164"/>
      <c r="V73" s="140">
        <f t="shared" si="94"/>
        <v>274.61599999999999</v>
      </c>
      <c r="W73" s="1"/>
      <c r="X73" s="163"/>
      <c r="Y73" s="164"/>
      <c r="Z73" s="164"/>
      <c r="AA73" s="140">
        <f t="shared" si="95"/>
        <v>24819.08</v>
      </c>
      <c r="AB73" s="1"/>
      <c r="AC73" s="163"/>
      <c r="AD73" s="164"/>
      <c r="AE73" s="164"/>
      <c r="AF73" s="140">
        <f t="shared" si="96"/>
        <v>228750</v>
      </c>
      <c r="AG73" s="1"/>
      <c r="AH73" s="163"/>
      <c r="AI73" s="164"/>
      <c r="AJ73" s="164"/>
      <c r="AK73" s="140">
        <f t="shared" si="97"/>
        <v>1926.0260000000001</v>
      </c>
      <c r="AL73" s="1"/>
      <c r="AM73" s="163"/>
      <c r="AN73" s="164"/>
      <c r="AO73" s="164"/>
      <c r="AP73" s="140">
        <f t="shared" si="98"/>
        <v>66.64</v>
      </c>
      <c r="AQ73" s="1"/>
      <c r="AR73" s="163"/>
      <c r="AS73" s="164"/>
      <c r="AT73" s="164"/>
      <c r="AU73" s="140">
        <f t="shared" si="99"/>
        <v>88</v>
      </c>
      <c r="AV73" s="1"/>
      <c r="AW73" s="163"/>
      <c r="AX73" s="164"/>
      <c r="AY73" s="164"/>
      <c r="AZ73" s="140">
        <f t="shared" si="100"/>
        <v>789</v>
      </c>
      <c r="BA73" s="1"/>
      <c r="BB73" s="163"/>
      <c r="BC73" s="164"/>
      <c r="BD73" s="164"/>
      <c r="BE73" s="140">
        <f t="shared" si="101"/>
        <v>1575.0346740638004</v>
      </c>
      <c r="BF73" s="1"/>
      <c r="BG73" s="1"/>
      <c r="BH73" s="1"/>
      <c r="BI73" s="1"/>
      <c r="BJ73" s="1"/>
      <c r="BK73" s="1"/>
      <c r="BL73" s="1"/>
      <c r="BM73" s="1"/>
      <c r="BN73" s="1"/>
      <c r="BO73" s="1"/>
      <c r="BP73" s="1"/>
      <c r="BQ73" s="1"/>
      <c r="BR73" s="1"/>
      <c r="BS73" s="1"/>
    </row>
    <row r="74" spans="1:71" ht="15.75" customHeight="1">
      <c r="A74" s="25">
        <f t="shared" si="0"/>
        <v>74</v>
      </c>
      <c r="B74" s="1"/>
      <c r="C74" s="1"/>
      <c r="D74" s="163"/>
      <c r="E74" s="164"/>
      <c r="F74" s="164"/>
      <c r="G74" s="165"/>
      <c r="H74" s="1"/>
      <c r="I74" s="163"/>
      <c r="J74" s="164"/>
      <c r="K74" s="164"/>
      <c r="L74" s="165"/>
      <c r="M74" s="1"/>
      <c r="N74" s="163"/>
      <c r="O74" s="164"/>
      <c r="P74" s="164"/>
      <c r="Q74" s="165"/>
      <c r="R74" s="1"/>
      <c r="S74" s="163"/>
      <c r="T74" s="164"/>
      <c r="U74" s="164"/>
      <c r="V74" s="165"/>
      <c r="W74" s="1"/>
      <c r="X74" s="163"/>
      <c r="Y74" s="164"/>
      <c r="Z74" s="164"/>
      <c r="AA74" s="165"/>
      <c r="AB74" s="1"/>
      <c r="AC74" s="163"/>
      <c r="AD74" s="164"/>
      <c r="AE74" s="164"/>
      <c r="AF74" s="165"/>
      <c r="AG74" s="1"/>
      <c r="AH74" s="163"/>
      <c r="AI74" s="164"/>
      <c r="AJ74" s="164"/>
      <c r="AK74" s="165"/>
      <c r="AL74" s="1"/>
      <c r="AM74" s="163"/>
      <c r="AN74" s="164"/>
      <c r="AO74" s="164"/>
      <c r="AP74" s="165"/>
      <c r="AQ74" s="1"/>
      <c r="AR74" s="163"/>
      <c r="AS74" s="164"/>
      <c r="AT74" s="164"/>
      <c r="AU74" s="165"/>
      <c r="AV74" s="1"/>
      <c r="AW74" s="163"/>
      <c r="AX74" s="164"/>
      <c r="AY74" s="164"/>
      <c r="AZ74" s="165"/>
      <c r="BA74" s="1"/>
      <c r="BB74" s="163"/>
      <c r="BC74" s="164"/>
      <c r="BD74" s="164"/>
      <c r="BE74" s="165"/>
      <c r="BF74" s="1"/>
      <c r="BG74" s="1"/>
      <c r="BH74" s="1"/>
      <c r="BI74" s="1"/>
      <c r="BJ74" s="1"/>
      <c r="BK74" s="1"/>
      <c r="BL74" s="1"/>
      <c r="BM74" s="1"/>
      <c r="BN74" s="1"/>
      <c r="BO74" s="1"/>
      <c r="BP74" s="1"/>
      <c r="BQ74" s="1"/>
      <c r="BR74" s="1"/>
      <c r="BS74" s="1"/>
    </row>
    <row r="75" spans="1:71" ht="15.75" customHeight="1">
      <c r="A75" s="25">
        <f t="shared" si="0"/>
        <v>75</v>
      </c>
      <c r="B75" s="1" t="str">
        <f>TEXT(Forward_Year_2,"yyyy-mm-dd")&amp;" "&amp;B29</f>
        <v>yyyy-12-31 Revenue:</v>
      </c>
      <c r="C75" s="1"/>
      <c r="D75" s="163"/>
      <c r="E75" s="164"/>
      <c r="F75" s="164"/>
      <c r="G75" s="137">
        <f t="shared" ref="G75:G77" si="102">+E29</f>
        <v>2781.6800000000003</v>
      </c>
      <c r="H75" s="1"/>
      <c r="I75" s="163"/>
      <c r="J75" s="164"/>
      <c r="K75" s="164"/>
      <c r="L75" s="137">
        <f t="shared" ref="L75:L77" si="103">+J29</f>
        <v>5376</v>
      </c>
      <c r="M75" s="1"/>
      <c r="N75" s="163"/>
      <c r="O75" s="164"/>
      <c r="P75" s="164"/>
      <c r="Q75" s="137">
        <f t="shared" ref="Q75:Q77" si="104">+O29</f>
        <v>2689</v>
      </c>
      <c r="R75" s="1"/>
      <c r="S75" s="163"/>
      <c r="T75" s="164"/>
      <c r="U75" s="164"/>
      <c r="V75" s="137">
        <f t="shared" ref="V75:V77" si="105">+T29</f>
        <v>2670</v>
      </c>
      <c r="W75" s="1"/>
      <c r="X75" s="163"/>
      <c r="Y75" s="164"/>
      <c r="Z75" s="164"/>
      <c r="AA75" s="137">
        <f t="shared" ref="AA75:AA77" si="106">+Y29</f>
        <v>331183.07</v>
      </c>
      <c r="AB75" s="1"/>
      <c r="AC75" s="163"/>
      <c r="AD75" s="164"/>
      <c r="AE75" s="164"/>
      <c r="AF75" s="137">
        <f t="shared" ref="AF75:AF77" si="107">+AD29</f>
        <v>1370000</v>
      </c>
      <c r="AG75" s="1"/>
      <c r="AH75" s="163"/>
      <c r="AI75" s="164"/>
      <c r="AJ75" s="164"/>
      <c r="AK75" s="137">
        <f t="shared" ref="AK75:AK77" si="108">+AI29</f>
        <v>2222.3879999999999</v>
      </c>
      <c r="AL75" s="1"/>
      <c r="AM75" s="163"/>
      <c r="AN75" s="164"/>
      <c r="AO75" s="164"/>
      <c r="AP75" s="137">
        <f t="shared" ref="AP75:AP77" si="109">+AN29</f>
        <v>794.05</v>
      </c>
      <c r="AQ75" s="1"/>
      <c r="AR75" s="163"/>
      <c r="AS75" s="164"/>
      <c r="AT75" s="164"/>
      <c r="AU75" s="137">
        <f t="shared" ref="AU75:AU77" si="110">+AS29</f>
        <v>282.99</v>
      </c>
      <c r="AV75" s="1"/>
      <c r="AW75" s="163"/>
      <c r="AX75" s="164"/>
      <c r="AY75" s="164"/>
      <c r="AZ75" s="137">
        <f t="shared" ref="AZ75:AZ77" si="111">+AX29</f>
        <v>2897</v>
      </c>
      <c r="BA75" s="1"/>
      <c r="BB75" s="163"/>
      <c r="BC75" s="164"/>
      <c r="BD75" s="164"/>
      <c r="BE75" s="137">
        <f t="shared" ref="BE75:BE77" si="112">+BC29</f>
        <v>7420</v>
      </c>
      <c r="BF75" s="1"/>
      <c r="BG75" s="1"/>
      <c r="BH75" s="1"/>
      <c r="BI75" s="1"/>
      <c r="BJ75" s="1"/>
      <c r="BK75" s="1"/>
      <c r="BL75" s="1"/>
      <c r="BM75" s="1"/>
      <c r="BN75" s="1"/>
      <c r="BO75" s="1"/>
      <c r="BP75" s="1"/>
      <c r="BQ75" s="1"/>
      <c r="BR75" s="1"/>
      <c r="BS75" s="1"/>
    </row>
    <row r="76" spans="1:71" ht="15.75" customHeight="1">
      <c r="A76" s="25">
        <f t="shared" si="0"/>
        <v>76</v>
      </c>
      <c r="B76" s="1" t="str">
        <f>TEXT(Forward_Year_2,"yyyy-mm-dd")&amp;" "&amp;B30</f>
        <v>yyyy-12-31 EBITDA:</v>
      </c>
      <c r="C76" s="1"/>
      <c r="D76" s="163"/>
      <c r="E76" s="164"/>
      <c r="F76" s="164"/>
      <c r="G76" s="140">
        <f t="shared" si="102"/>
        <v>1388.66</v>
      </c>
      <c r="H76" s="1"/>
      <c r="I76" s="163"/>
      <c r="J76" s="164"/>
      <c r="K76" s="164"/>
      <c r="L76" s="140">
        <f t="shared" si="103"/>
        <v>1839</v>
      </c>
      <c r="M76" s="1"/>
      <c r="N76" s="163"/>
      <c r="O76" s="164"/>
      <c r="P76" s="164"/>
      <c r="Q76" s="140">
        <f t="shared" si="104"/>
        <v>667.67</v>
      </c>
      <c r="R76" s="1"/>
      <c r="S76" s="163"/>
      <c r="T76" s="164"/>
      <c r="U76" s="164"/>
      <c r="V76" s="140">
        <f t="shared" si="105"/>
        <v>477.13</v>
      </c>
      <c r="W76" s="1"/>
      <c r="X76" s="163"/>
      <c r="Y76" s="164"/>
      <c r="Z76" s="164"/>
      <c r="AA76" s="140">
        <f t="shared" si="106"/>
        <v>54460.89</v>
      </c>
      <c r="AB76" s="1"/>
      <c r="AC76" s="163"/>
      <c r="AD76" s="164"/>
      <c r="AE76" s="164"/>
      <c r="AF76" s="140">
        <f t="shared" si="107"/>
        <v>392070</v>
      </c>
      <c r="AG76" s="1"/>
      <c r="AH76" s="163"/>
      <c r="AI76" s="164"/>
      <c r="AJ76" s="164"/>
      <c r="AK76" s="140">
        <f t="shared" si="108"/>
        <v>1609.011</v>
      </c>
      <c r="AL76" s="1"/>
      <c r="AM76" s="163"/>
      <c r="AN76" s="164"/>
      <c r="AO76" s="164"/>
      <c r="AP76" s="140">
        <f t="shared" si="109"/>
        <v>125.6</v>
      </c>
      <c r="AQ76" s="1"/>
      <c r="AR76" s="163"/>
      <c r="AS76" s="164"/>
      <c r="AT76" s="164"/>
      <c r="AU76" s="140">
        <f t="shared" si="110"/>
        <v>123.7</v>
      </c>
      <c r="AV76" s="1"/>
      <c r="AW76" s="163"/>
      <c r="AX76" s="164"/>
      <c r="AY76" s="164"/>
      <c r="AZ76" s="140">
        <f t="shared" si="111"/>
        <v>1269</v>
      </c>
      <c r="BA76" s="1"/>
      <c r="BB76" s="163"/>
      <c r="BC76" s="164"/>
      <c r="BD76" s="164"/>
      <c r="BE76" s="140">
        <f t="shared" si="112"/>
        <v>2212.6213592233007</v>
      </c>
      <c r="BF76" s="1"/>
      <c r="BG76" s="1"/>
      <c r="BH76" s="1"/>
      <c r="BI76" s="1"/>
      <c r="BJ76" s="1"/>
      <c r="BK76" s="1"/>
      <c r="BL76" s="1"/>
      <c r="BM76" s="1"/>
      <c r="BN76" s="1"/>
      <c r="BO76" s="1"/>
      <c r="BP76" s="1"/>
      <c r="BQ76" s="1"/>
      <c r="BR76" s="1"/>
      <c r="BS76" s="1"/>
    </row>
    <row r="77" spans="1:71" ht="15.75" customHeight="1">
      <c r="A77" s="25">
        <f t="shared" si="0"/>
        <v>77</v>
      </c>
      <c r="B77" s="1" t="str">
        <f>TEXT(Forward_Year_2,"yyyy-mm-dd")&amp;" "&amp;B31</f>
        <v>yyyy-12-31 Reported Net Income:</v>
      </c>
      <c r="C77" s="1"/>
      <c r="D77" s="163"/>
      <c r="E77" s="164"/>
      <c r="F77" s="164"/>
      <c r="G77" s="140">
        <f t="shared" si="102"/>
        <v>463.05380000000002</v>
      </c>
      <c r="H77" s="1"/>
      <c r="I77" s="163"/>
      <c r="J77" s="164"/>
      <c r="K77" s="164"/>
      <c r="L77" s="140">
        <f t="shared" si="103"/>
        <v>1445.91</v>
      </c>
      <c r="M77" s="1"/>
      <c r="N77" s="163"/>
      <c r="O77" s="164"/>
      <c r="P77" s="164"/>
      <c r="Q77" s="140">
        <f t="shared" si="104"/>
        <v>515.83000000000004</v>
      </c>
      <c r="R77" s="1"/>
      <c r="S77" s="163"/>
      <c r="T77" s="164"/>
      <c r="U77" s="164"/>
      <c r="V77" s="140">
        <f t="shared" si="105"/>
        <v>306.47199999999998</v>
      </c>
      <c r="W77" s="1"/>
      <c r="X77" s="163"/>
      <c r="Y77" s="164"/>
      <c r="Z77" s="164"/>
      <c r="AA77" s="140">
        <f t="shared" si="106"/>
        <v>33394.43</v>
      </c>
      <c r="AB77" s="1"/>
      <c r="AC77" s="163"/>
      <c r="AD77" s="164"/>
      <c r="AE77" s="164"/>
      <c r="AF77" s="140">
        <f t="shared" si="107"/>
        <v>282520</v>
      </c>
      <c r="AG77" s="1"/>
      <c r="AH77" s="163"/>
      <c r="AI77" s="164"/>
      <c r="AJ77" s="164"/>
      <c r="AK77" s="140">
        <f t="shared" si="108"/>
        <v>1382.982</v>
      </c>
      <c r="AL77" s="1"/>
      <c r="AM77" s="163"/>
      <c r="AN77" s="164"/>
      <c r="AO77" s="164"/>
      <c r="AP77" s="140">
        <f t="shared" si="109"/>
        <v>74.599999999999994</v>
      </c>
      <c r="AQ77" s="1"/>
      <c r="AR77" s="163"/>
      <c r="AS77" s="164"/>
      <c r="AT77" s="164"/>
      <c r="AU77" s="140">
        <f t="shared" si="110"/>
        <v>94.5</v>
      </c>
      <c r="AV77" s="1"/>
      <c r="AW77" s="163"/>
      <c r="AX77" s="164"/>
      <c r="AY77" s="164"/>
      <c r="AZ77" s="140">
        <f t="shared" si="111"/>
        <v>972</v>
      </c>
      <c r="BA77" s="1"/>
      <c r="BB77" s="163"/>
      <c r="BC77" s="164"/>
      <c r="BD77" s="164"/>
      <c r="BE77" s="140">
        <f t="shared" si="112"/>
        <v>1718.6407766990292</v>
      </c>
      <c r="BF77" s="1"/>
      <c r="BG77" s="1"/>
      <c r="BH77" s="1"/>
      <c r="BI77" s="1"/>
      <c r="BJ77" s="1"/>
      <c r="BK77" s="1"/>
      <c r="BL77" s="1"/>
      <c r="BM77" s="1"/>
      <c r="BN77" s="1"/>
      <c r="BO77" s="1"/>
      <c r="BP77" s="1"/>
      <c r="BQ77" s="1"/>
      <c r="BR77" s="1"/>
      <c r="BS77" s="1"/>
    </row>
    <row r="78" spans="1:71" ht="15.75" customHeight="1">
      <c r="A78" s="25">
        <f t="shared" si="0"/>
        <v>78</v>
      </c>
      <c r="B78" s="1"/>
      <c r="C78" s="1"/>
      <c r="D78" s="163"/>
      <c r="E78" s="164"/>
      <c r="F78" s="164"/>
      <c r="G78" s="165"/>
      <c r="H78" s="1"/>
      <c r="I78" s="163"/>
      <c r="J78" s="164"/>
      <c r="K78" s="164"/>
      <c r="L78" s="165"/>
      <c r="M78" s="1"/>
      <c r="N78" s="163"/>
      <c r="O78" s="164"/>
      <c r="P78" s="164"/>
      <c r="Q78" s="165"/>
      <c r="R78" s="1"/>
      <c r="S78" s="163"/>
      <c r="T78" s="164"/>
      <c r="U78" s="164"/>
      <c r="V78" s="165"/>
      <c r="W78" s="1"/>
      <c r="X78" s="163"/>
      <c r="Y78" s="164"/>
      <c r="Z78" s="164"/>
      <c r="AA78" s="165"/>
      <c r="AB78" s="1"/>
      <c r="AC78" s="163"/>
      <c r="AD78" s="164"/>
      <c r="AE78" s="164"/>
      <c r="AF78" s="165"/>
      <c r="AG78" s="1"/>
      <c r="AH78" s="163"/>
      <c r="AI78" s="164"/>
      <c r="AJ78" s="164"/>
      <c r="AK78" s="165"/>
      <c r="AL78" s="1"/>
      <c r="AM78" s="163"/>
      <c r="AN78" s="164"/>
      <c r="AO78" s="164"/>
      <c r="AP78" s="165"/>
      <c r="AQ78" s="1"/>
      <c r="AR78" s="163"/>
      <c r="AS78" s="164"/>
      <c r="AT78" s="164"/>
      <c r="AU78" s="165"/>
      <c r="AV78" s="1"/>
      <c r="AW78" s="163"/>
      <c r="AX78" s="164"/>
      <c r="AY78" s="164"/>
      <c r="AZ78" s="165"/>
      <c r="BA78" s="1"/>
      <c r="BB78" s="163"/>
      <c r="BC78" s="164"/>
      <c r="BD78" s="164"/>
      <c r="BE78" s="165"/>
      <c r="BF78" s="1"/>
      <c r="BG78" s="1"/>
      <c r="BH78" s="1"/>
      <c r="BI78" s="1"/>
      <c r="BJ78" s="1"/>
      <c r="BK78" s="1"/>
      <c r="BL78" s="1"/>
      <c r="BM78" s="1"/>
      <c r="BN78" s="1"/>
      <c r="BO78" s="1"/>
      <c r="BP78" s="1"/>
      <c r="BQ78" s="1"/>
      <c r="BR78" s="1"/>
      <c r="BS78" s="1"/>
    </row>
    <row r="79" spans="1:71" ht="15.75" customHeight="1">
      <c r="A79" s="25">
        <f t="shared" si="0"/>
        <v>79</v>
      </c>
      <c r="B79" s="1" t="str">
        <f>TEXT(Forward_Year_3,"yyyy-mm-dd")&amp;" "&amp;B29</f>
        <v>yyyy-12-31 Revenue:</v>
      </c>
      <c r="C79" s="1"/>
      <c r="D79" s="163"/>
      <c r="E79" s="164"/>
      <c r="F79" s="164"/>
      <c r="G79" s="137">
        <f t="shared" ref="G79:G81" si="113">+F29</f>
        <v>2861.25</v>
      </c>
      <c r="H79" s="1"/>
      <c r="I79" s="163"/>
      <c r="J79" s="164"/>
      <c r="K79" s="164"/>
      <c r="L79" s="137">
        <f t="shared" ref="L79:L81" si="114">+K29</f>
        <v>5816</v>
      </c>
      <c r="M79" s="1"/>
      <c r="N79" s="163"/>
      <c r="O79" s="164"/>
      <c r="P79" s="164"/>
      <c r="Q79" s="137">
        <f t="shared" ref="Q79:Q81" si="115">+P29</f>
        <v>3469</v>
      </c>
      <c r="R79" s="1"/>
      <c r="S79" s="163"/>
      <c r="T79" s="164"/>
      <c r="U79" s="164"/>
      <c r="V79" s="137">
        <f t="shared" ref="V79:V81" si="116">+U29</f>
        <v>2890</v>
      </c>
      <c r="W79" s="1"/>
      <c r="X79" s="163"/>
      <c r="Y79" s="164"/>
      <c r="Z79" s="164"/>
      <c r="AA79" s="137">
        <f t="shared" ref="AA79:AA81" si="117">+Z29</f>
        <v>334287.62</v>
      </c>
      <c r="AB79" s="1"/>
      <c r="AC79" s="163"/>
      <c r="AD79" s="164"/>
      <c r="AE79" s="164"/>
      <c r="AF79" s="137">
        <f t="shared" ref="AF79:AF81" si="118">+AE29</f>
        <v>1333000</v>
      </c>
      <c r="AG79" s="1"/>
      <c r="AH79" s="163"/>
      <c r="AI79" s="164"/>
      <c r="AJ79" s="164"/>
      <c r="AK79" s="137">
        <f t="shared" ref="AK79:AK81" si="119">+AJ29</f>
        <v>1548</v>
      </c>
      <c r="AL79" s="1"/>
      <c r="AM79" s="163"/>
      <c r="AN79" s="164"/>
      <c r="AO79" s="164"/>
      <c r="AP79" s="137">
        <f t="shared" ref="AP79:AP81" si="120">+AO29</f>
        <v>821.38</v>
      </c>
      <c r="AQ79" s="1"/>
      <c r="AR79" s="163"/>
      <c r="AS79" s="164"/>
      <c r="AT79" s="164"/>
      <c r="AU79" s="137">
        <f t="shared" ref="AU79:AU81" si="121">+AT29</f>
        <v>268</v>
      </c>
      <c r="AV79" s="1"/>
      <c r="AW79" s="163"/>
      <c r="AX79" s="164"/>
      <c r="AY79" s="164"/>
      <c r="AZ79" s="137">
        <f t="shared" ref="AZ79:AZ81" si="122">+AY29</f>
        <v>3043</v>
      </c>
      <c r="BA79" s="1"/>
      <c r="BB79" s="163"/>
      <c r="BC79" s="164"/>
      <c r="BD79" s="164"/>
      <c r="BE79" s="137">
        <f t="shared" ref="BE79:BE81" si="123">+BD29</f>
        <v>8640</v>
      </c>
      <c r="BF79" s="1"/>
      <c r="BG79" s="1"/>
      <c r="BH79" s="1"/>
      <c r="BI79" s="1"/>
      <c r="BJ79" s="1"/>
      <c r="BK79" s="1"/>
      <c r="BL79" s="1"/>
      <c r="BM79" s="1"/>
      <c r="BN79" s="1"/>
      <c r="BO79" s="1"/>
      <c r="BP79" s="1"/>
      <c r="BQ79" s="1"/>
      <c r="BR79" s="1"/>
      <c r="BS79" s="1"/>
    </row>
    <row r="80" spans="1:71" ht="15.75" customHeight="1">
      <c r="A80" s="25">
        <f t="shared" si="0"/>
        <v>80</v>
      </c>
      <c r="B80" s="1" t="str">
        <f>TEXT(Forward_Year_3,"yyyy-mm-dd")&amp;" "&amp;B30</f>
        <v>yyyy-12-31 EBITDA:</v>
      </c>
      <c r="C80" s="1"/>
      <c r="D80" s="163"/>
      <c r="E80" s="164"/>
      <c r="F80" s="164"/>
      <c r="G80" s="140">
        <f t="shared" si="113"/>
        <v>1580.5000000000002</v>
      </c>
      <c r="H80" s="1"/>
      <c r="I80" s="163"/>
      <c r="J80" s="164"/>
      <c r="K80" s="164"/>
      <c r="L80" s="140">
        <f t="shared" si="114"/>
        <v>2096</v>
      </c>
      <c r="M80" s="1"/>
      <c r="N80" s="163"/>
      <c r="O80" s="164"/>
      <c r="P80" s="164"/>
      <c r="Q80" s="140">
        <f t="shared" si="115"/>
        <v>880.27</v>
      </c>
      <c r="R80" s="1"/>
      <c r="S80" s="163"/>
      <c r="T80" s="164"/>
      <c r="U80" s="164"/>
      <c r="V80" s="140">
        <f t="shared" si="116"/>
        <v>546.19000000000005</v>
      </c>
      <c r="W80" s="1"/>
      <c r="X80" s="163"/>
      <c r="Y80" s="164"/>
      <c r="Z80" s="164"/>
      <c r="AA80" s="140">
        <f t="shared" si="117"/>
        <v>56378.89</v>
      </c>
      <c r="AB80" s="1"/>
      <c r="AC80" s="163"/>
      <c r="AD80" s="164"/>
      <c r="AE80" s="164"/>
      <c r="AF80" s="140">
        <f t="shared" si="118"/>
        <v>390150</v>
      </c>
      <c r="AG80" s="1"/>
      <c r="AH80" s="163"/>
      <c r="AI80" s="164"/>
      <c r="AJ80" s="164"/>
      <c r="AK80" s="140">
        <f t="shared" si="119"/>
        <v>987</v>
      </c>
      <c r="AL80" s="1"/>
      <c r="AM80" s="163"/>
      <c r="AN80" s="164"/>
      <c r="AO80" s="164"/>
      <c r="AP80" s="140">
        <f t="shared" si="120"/>
        <v>134.03</v>
      </c>
      <c r="AQ80" s="1"/>
      <c r="AR80" s="163"/>
      <c r="AS80" s="164"/>
      <c r="AT80" s="164"/>
      <c r="AU80" s="140">
        <f t="shared" si="121"/>
        <v>124.7</v>
      </c>
      <c r="AV80" s="1"/>
      <c r="AW80" s="163"/>
      <c r="AX80" s="164"/>
      <c r="AY80" s="164"/>
      <c r="AZ80" s="140">
        <f t="shared" si="122"/>
        <v>1296</v>
      </c>
      <c r="BA80" s="1"/>
      <c r="BB80" s="163"/>
      <c r="BC80" s="164"/>
      <c r="BD80" s="164"/>
      <c r="BE80" s="140">
        <f t="shared" si="123"/>
        <v>2576.4216366158112</v>
      </c>
      <c r="BF80" s="1"/>
      <c r="BG80" s="1"/>
      <c r="BH80" s="1"/>
      <c r="BI80" s="1"/>
      <c r="BJ80" s="1"/>
      <c r="BK80" s="1"/>
      <c r="BL80" s="1"/>
      <c r="BM80" s="1"/>
      <c r="BN80" s="1"/>
      <c r="BO80" s="1"/>
      <c r="BP80" s="1"/>
      <c r="BQ80" s="1"/>
      <c r="BR80" s="1"/>
      <c r="BS80" s="1"/>
    </row>
    <row r="81" spans="1:71" ht="15.75" customHeight="1">
      <c r="A81" s="25">
        <f t="shared" si="0"/>
        <v>81</v>
      </c>
      <c r="B81" s="1" t="str">
        <f>TEXT(Forward_Year_3,"yyyy-mm-dd")&amp;" "&amp;B31</f>
        <v>yyyy-12-31 Reported Net Income:</v>
      </c>
      <c r="C81" s="1"/>
      <c r="D81" s="163"/>
      <c r="E81" s="164"/>
      <c r="F81" s="164"/>
      <c r="G81" s="140">
        <f t="shared" si="113"/>
        <v>497.9556</v>
      </c>
      <c r="H81" s="1"/>
      <c r="I81" s="163"/>
      <c r="J81" s="164"/>
      <c r="K81" s="164"/>
      <c r="L81" s="140">
        <f t="shared" si="114"/>
        <v>1641.74</v>
      </c>
      <c r="M81" s="1"/>
      <c r="N81" s="163"/>
      <c r="O81" s="164"/>
      <c r="P81" s="164"/>
      <c r="Q81" s="140">
        <f t="shared" si="115"/>
        <v>653.96</v>
      </c>
      <c r="R81" s="1"/>
      <c r="S81" s="163"/>
      <c r="T81" s="164"/>
      <c r="U81" s="164"/>
      <c r="V81" s="140">
        <f t="shared" si="116"/>
        <v>456.75</v>
      </c>
      <c r="W81" s="1"/>
      <c r="X81" s="163"/>
      <c r="Y81" s="164"/>
      <c r="Z81" s="164"/>
      <c r="AA81" s="140">
        <f t="shared" si="117"/>
        <v>35298.15</v>
      </c>
      <c r="AB81" s="1"/>
      <c r="AC81" s="163"/>
      <c r="AD81" s="164"/>
      <c r="AE81" s="164"/>
      <c r="AF81" s="140">
        <f t="shared" si="118"/>
        <v>293270</v>
      </c>
      <c r="AG81" s="1"/>
      <c r="AH81" s="163"/>
      <c r="AI81" s="164"/>
      <c r="AJ81" s="164"/>
      <c r="AK81" s="140">
        <f t="shared" si="119"/>
        <v>880.01</v>
      </c>
      <c r="AL81" s="1"/>
      <c r="AM81" s="163"/>
      <c r="AN81" s="164"/>
      <c r="AO81" s="164"/>
      <c r="AP81" s="140">
        <f t="shared" si="120"/>
        <v>79.040000000000006</v>
      </c>
      <c r="AQ81" s="1"/>
      <c r="AR81" s="163"/>
      <c r="AS81" s="164"/>
      <c r="AT81" s="164"/>
      <c r="AU81" s="140">
        <f t="shared" si="121"/>
        <v>92.72</v>
      </c>
      <c r="AV81" s="1"/>
      <c r="AW81" s="163"/>
      <c r="AX81" s="164"/>
      <c r="AY81" s="164"/>
      <c r="AZ81" s="140">
        <f t="shared" si="122"/>
        <v>929.2</v>
      </c>
      <c r="BA81" s="1"/>
      <c r="BB81" s="163"/>
      <c r="BC81" s="164"/>
      <c r="BD81" s="164"/>
      <c r="BE81" s="140">
        <f t="shared" si="123"/>
        <v>2001.2205270457698</v>
      </c>
      <c r="BF81" s="1"/>
      <c r="BG81" s="1"/>
      <c r="BH81" s="1"/>
      <c r="BI81" s="1"/>
      <c r="BJ81" s="1"/>
      <c r="BK81" s="1"/>
      <c r="BL81" s="1"/>
      <c r="BM81" s="1"/>
      <c r="BN81" s="1"/>
      <c r="BO81" s="1"/>
      <c r="BP81" s="1"/>
      <c r="BQ81" s="1"/>
      <c r="BR81" s="1"/>
      <c r="BS81" s="1"/>
    </row>
    <row r="82" spans="1:71" ht="15.75" customHeight="1">
      <c r="A82" s="25">
        <f t="shared" si="0"/>
        <v>82</v>
      </c>
      <c r="B82" s="1"/>
      <c r="C82" s="1"/>
      <c r="D82" s="163"/>
      <c r="E82" s="164"/>
      <c r="F82" s="164"/>
      <c r="G82" s="165"/>
      <c r="H82" s="1"/>
      <c r="I82" s="163"/>
      <c r="J82" s="164"/>
      <c r="K82" s="164"/>
      <c r="L82" s="165"/>
      <c r="M82" s="1"/>
      <c r="N82" s="163"/>
      <c r="O82" s="164"/>
      <c r="P82" s="164"/>
      <c r="Q82" s="165"/>
      <c r="R82" s="1"/>
      <c r="S82" s="163"/>
      <c r="T82" s="164"/>
      <c r="U82" s="164"/>
      <c r="V82" s="165"/>
      <c r="W82" s="1"/>
      <c r="X82" s="163"/>
      <c r="Y82" s="164"/>
      <c r="Z82" s="164"/>
      <c r="AA82" s="165"/>
      <c r="AB82" s="1"/>
      <c r="AC82" s="163"/>
      <c r="AD82" s="164"/>
      <c r="AE82" s="164"/>
      <c r="AF82" s="165"/>
      <c r="AG82" s="1"/>
      <c r="AH82" s="163"/>
      <c r="AI82" s="164"/>
      <c r="AJ82" s="164"/>
      <c r="AK82" s="165"/>
      <c r="AL82" s="1"/>
      <c r="AM82" s="163"/>
      <c r="AN82" s="164"/>
      <c r="AO82" s="164"/>
      <c r="AP82" s="165"/>
      <c r="AQ82" s="1"/>
      <c r="AR82" s="163"/>
      <c r="AS82" s="164"/>
      <c r="AT82" s="164"/>
      <c r="AU82" s="165"/>
      <c r="AV82" s="1"/>
      <c r="AW82" s="163"/>
      <c r="AX82" s="164"/>
      <c r="AY82" s="164"/>
      <c r="AZ82" s="165"/>
      <c r="BA82" s="1"/>
      <c r="BB82" s="163"/>
      <c r="BC82" s="164"/>
      <c r="BD82" s="164"/>
      <c r="BE82" s="165"/>
      <c r="BF82" s="1"/>
      <c r="BG82" s="1"/>
      <c r="BH82" s="1"/>
      <c r="BI82" s="1"/>
      <c r="BJ82" s="1"/>
      <c r="BK82" s="1"/>
      <c r="BL82" s="1"/>
      <c r="BM82" s="1"/>
      <c r="BN82" s="1"/>
      <c r="BO82" s="1"/>
      <c r="BP82" s="1"/>
      <c r="BQ82" s="1"/>
      <c r="BR82" s="1"/>
      <c r="BS82" s="1"/>
    </row>
    <row r="83" spans="1:71" ht="15.75" customHeight="1">
      <c r="A83" s="25">
        <f t="shared" si="0"/>
        <v>83</v>
      </c>
      <c r="B83" s="1" t="str">
        <f>TEXT(D64,"mm/dd/yyyy")&amp;" "&amp;B65</f>
        <v>LTM EV / Revenue:</v>
      </c>
      <c r="C83" s="1"/>
      <c r="D83" s="163"/>
      <c r="E83" s="164"/>
      <c r="F83" s="164"/>
      <c r="G83" s="285">
        <f t="shared" ref="G83:G85" si="124">+D65</f>
        <v>5.2058614864864863</v>
      </c>
      <c r="H83" s="1"/>
      <c r="I83" s="163"/>
      <c r="J83" s="164"/>
      <c r="K83" s="164"/>
      <c r="L83" s="285">
        <f t="shared" ref="L83:L85" si="125">+I65</f>
        <v>5.3327506060606069</v>
      </c>
      <c r="M83" s="1"/>
      <c r="N83" s="163"/>
      <c r="O83" s="164"/>
      <c r="P83" s="164"/>
      <c r="Q83" s="285">
        <f t="shared" ref="Q83:Q85" si="126">+N65</f>
        <v>3.6875435586245375</v>
      </c>
      <c r="R83" s="1"/>
      <c r="S83" s="163"/>
      <c r="T83" s="164"/>
      <c r="U83" s="164"/>
      <c r="V83" s="285">
        <f t="shared" ref="V83:V85" si="127">+S65</f>
        <v>2.8284424379232505</v>
      </c>
      <c r="W83" s="1"/>
      <c r="X83" s="163"/>
      <c r="Y83" s="164"/>
      <c r="Z83" s="164"/>
      <c r="AA83" s="285">
        <f t="shared" ref="AA83:AA85" si="128">+X65</f>
        <v>2.1985178900434161</v>
      </c>
      <c r="AB83" s="1"/>
      <c r="AC83" s="163"/>
      <c r="AD83" s="164"/>
      <c r="AE83" s="164"/>
      <c r="AF83" s="285">
        <f t="shared" ref="AF83:AF85" si="129">+AC65</f>
        <v>3.9427463028974672</v>
      </c>
      <c r="AG83" s="1"/>
      <c r="AH83" s="163"/>
      <c r="AI83" s="164"/>
      <c r="AJ83" s="164"/>
      <c r="AK83" s="285">
        <f t="shared" ref="AK83:AK85" si="130">+AH65</f>
        <v>67.507531590712105</v>
      </c>
      <c r="AL83" s="1"/>
      <c r="AM83" s="163"/>
      <c r="AN83" s="164"/>
      <c r="AO83" s="164"/>
      <c r="AP83" s="285" t="str">
        <f t="shared" ref="AP83:AP85" si="131">+AM65</f>
        <v>NM</v>
      </c>
      <c r="AQ83" s="1"/>
      <c r="AR83" s="163"/>
      <c r="AS83" s="164"/>
      <c r="AT83" s="164"/>
      <c r="AU83" s="285" t="str">
        <f t="shared" ref="AU83:AU85" si="132">+AR65</f>
        <v>NM</v>
      </c>
      <c r="AV83" s="1"/>
      <c r="AW83" s="163"/>
      <c r="AX83" s="164"/>
      <c r="AY83" s="164"/>
      <c r="AZ83" s="285">
        <f t="shared" ref="AZ83:AZ85" si="133">+AW65</f>
        <v>8.38296917816524</v>
      </c>
      <c r="BA83" s="1"/>
      <c r="BB83" s="163"/>
      <c r="BC83" s="164"/>
      <c r="BD83" s="164"/>
      <c r="BE83" s="285">
        <f t="shared" ref="BE83:BE85" si="134">+BB65</f>
        <v>6.9055324395130224</v>
      </c>
      <c r="BF83" s="1"/>
      <c r="BG83" s="1"/>
      <c r="BH83" s="1"/>
      <c r="BI83" s="1"/>
      <c r="BJ83" s="1"/>
      <c r="BK83" s="1"/>
      <c r="BL83" s="1"/>
      <c r="BM83" s="1"/>
      <c r="BN83" s="1"/>
      <c r="BO83" s="1"/>
      <c r="BP83" s="1"/>
      <c r="BQ83" s="1"/>
      <c r="BR83" s="1"/>
      <c r="BS83" s="1"/>
    </row>
    <row r="84" spans="1:71" ht="15.75" customHeight="1">
      <c r="A84" s="25">
        <f t="shared" si="0"/>
        <v>84</v>
      </c>
      <c r="B84" s="1" t="str">
        <f>TEXT(D64,"mm/dd/yyyy")&amp;" "&amp;B66</f>
        <v>LTM EV / EBITDA:</v>
      </c>
      <c r="C84" s="1"/>
      <c r="D84" s="163"/>
      <c r="E84" s="164"/>
      <c r="F84" s="164"/>
      <c r="G84" s="285">
        <f t="shared" si="124"/>
        <v>13.031162790697675</v>
      </c>
      <c r="H84" s="1"/>
      <c r="I84" s="163"/>
      <c r="J84" s="164"/>
      <c r="K84" s="164"/>
      <c r="L84" s="285">
        <f t="shared" si="125"/>
        <v>13.271551282051284</v>
      </c>
      <c r="M84" s="1"/>
      <c r="N84" s="163"/>
      <c r="O84" s="164"/>
      <c r="P84" s="164"/>
      <c r="Q84" s="285">
        <f t="shared" si="126"/>
        <v>17.973249022607515</v>
      </c>
      <c r="R84" s="1"/>
      <c r="S84" s="163"/>
      <c r="T84" s="164"/>
      <c r="U84" s="164"/>
      <c r="V84" s="285">
        <f t="shared" si="127"/>
        <v>19.302164368789956</v>
      </c>
      <c r="W84" s="1"/>
      <c r="X84" s="163"/>
      <c r="Y84" s="164"/>
      <c r="Z84" s="164"/>
      <c r="AA84" s="285">
        <f t="shared" si="128"/>
        <v>15.261011310711909</v>
      </c>
      <c r="AB84" s="1"/>
      <c r="AC84" s="163"/>
      <c r="AD84" s="164"/>
      <c r="AE84" s="164"/>
      <c r="AF84" s="285">
        <f t="shared" si="129"/>
        <v>16.519172129206229</v>
      </c>
      <c r="AG84" s="1"/>
      <c r="AH84" s="163"/>
      <c r="AI84" s="164"/>
      <c r="AJ84" s="164"/>
      <c r="AK84" s="285" t="str">
        <f t="shared" si="130"/>
        <v>NM</v>
      </c>
      <c r="AL84" s="1"/>
      <c r="AM84" s="163"/>
      <c r="AN84" s="164"/>
      <c r="AO84" s="164"/>
      <c r="AP84" s="285" t="str">
        <f t="shared" si="131"/>
        <v>NM</v>
      </c>
      <c r="AQ84" s="1"/>
      <c r="AR84" s="163"/>
      <c r="AS84" s="164"/>
      <c r="AT84" s="164"/>
      <c r="AU84" s="285">
        <f t="shared" si="132"/>
        <v>55.685790845866961</v>
      </c>
      <c r="AV84" s="1"/>
      <c r="AW84" s="163"/>
      <c r="AX84" s="164"/>
      <c r="AY84" s="164"/>
      <c r="AZ84" s="285">
        <f t="shared" si="133"/>
        <v>26.539150620336866</v>
      </c>
      <c r="BA84" s="1"/>
      <c r="BB84" s="163"/>
      <c r="BC84" s="164"/>
      <c r="BD84" s="164"/>
      <c r="BE84" s="285">
        <f t="shared" si="134"/>
        <v>23.157622739018088</v>
      </c>
      <c r="BF84" s="1"/>
      <c r="BG84" s="1"/>
      <c r="BH84" s="1"/>
      <c r="BI84" s="1"/>
      <c r="BJ84" s="1"/>
      <c r="BK84" s="1"/>
      <c r="BL84" s="1"/>
      <c r="BM84" s="1"/>
      <c r="BN84" s="1"/>
      <c r="BO84" s="1"/>
      <c r="BP84" s="1"/>
      <c r="BQ84" s="1"/>
      <c r="BR84" s="1"/>
      <c r="BS84" s="1"/>
    </row>
    <row r="85" spans="1:71" ht="15.75" customHeight="1">
      <c r="A85" s="25">
        <f t="shared" si="0"/>
        <v>85</v>
      </c>
      <c r="B85" s="1" t="str">
        <f>TEXT(D64,"mm/dd/yyyy")&amp;" "&amp;B67</f>
        <v>LTM P / E:</v>
      </c>
      <c r="C85" s="1"/>
      <c r="D85" s="163"/>
      <c r="E85" s="164"/>
      <c r="F85" s="164"/>
      <c r="G85" s="285" t="str">
        <f t="shared" si="124"/>
        <v>NM</v>
      </c>
      <c r="H85" s="1"/>
      <c r="I85" s="163"/>
      <c r="J85" s="164"/>
      <c r="K85" s="164"/>
      <c r="L85" s="285">
        <f t="shared" si="125"/>
        <v>31.170083905789994</v>
      </c>
      <c r="M85" s="1"/>
      <c r="N85" s="163"/>
      <c r="O85" s="164"/>
      <c r="P85" s="164"/>
      <c r="Q85" s="285">
        <f t="shared" si="126"/>
        <v>37.598390419161674</v>
      </c>
      <c r="R85" s="1"/>
      <c r="S85" s="163"/>
      <c r="T85" s="164"/>
      <c r="U85" s="164"/>
      <c r="V85" s="285">
        <f t="shared" si="127"/>
        <v>39.731951640759931</v>
      </c>
      <c r="W85" s="1"/>
      <c r="X85" s="163"/>
      <c r="Y85" s="164"/>
      <c r="Z85" s="164"/>
      <c r="AA85" s="285">
        <f t="shared" si="128"/>
        <v>21.584577910780151</v>
      </c>
      <c r="AB85" s="1"/>
      <c r="AC85" s="163"/>
      <c r="AD85" s="164"/>
      <c r="AE85" s="164"/>
      <c r="AF85" s="285">
        <f t="shared" si="129"/>
        <v>21.850518484166166</v>
      </c>
      <c r="AG85" s="1"/>
      <c r="AH85" s="163"/>
      <c r="AI85" s="164"/>
      <c r="AJ85" s="164"/>
      <c r="AK85" s="285" t="str">
        <f t="shared" si="130"/>
        <v>NM</v>
      </c>
      <c r="AL85" s="1"/>
      <c r="AM85" s="163"/>
      <c r="AN85" s="164"/>
      <c r="AO85" s="164"/>
      <c r="AP85" s="285" t="str">
        <f t="shared" si="131"/>
        <v>NM</v>
      </c>
      <c r="AQ85" s="1"/>
      <c r="AR85" s="163"/>
      <c r="AS85" s="164"/>
      <c r="AT85" s="164"/>
      <c r="AU85" s="285" t="str">
        <f t="shared" si="132"/>
        <v>NM</v>
      </c>
      <c r="AV85" s="1"/>
      <c r="AW85" s="163"/>
      <c r="AX85" s="164"/>
      <c r="AY85" s="164"/>
      <c r="AZ85" s="285">
        <f t="shared" si="133"/>
        <v>35.825113803713073</v>
      </c>
      <c r="BA85" s="1"/>
      <c r="BB85" s="163"/>
      <c r="BC85" s="164"/>
      <c r="BD85" s="164"/>
      <c r="BE85" s="285">
        <f t="shared" si="134"/>
        <v>31.503659347970725</v>
      </c>
      <c r="BF85" s="1"/>
      <c r="BG85" s="1"/>
      <c r="BH85" s="1"/>
      <c r="BI85" s="1"/>
      <c r="BJ85" s="1"/>
      <c r="BK85" s="1"/>
      <c r="BL85" s="1"/>
      <c r="BM85" s="1"/>
      <c r="BN85" s="1"/>
      <c r="BO85" s="1"/>
      <c r="BP85" s="1"/>
      <c r="BQ85" s="1"/>
      <c r="BR85" s="1"/>
      <c r="BS85" s="1"/>
    </row>
    <row r="86" spans="1:71" ht="15.75" customHeight="1">
      <c r="A86" s="25">
        <f t="shared" si="0"/>
        <v>86</v>
      </c>
      <c r="B86" s="1"/>
      <c r="C86" s="1"/>
      <c r="D86" s="163"/>
      <c r="E86" s="164"/>
      <c r="F86" s="164"/>
      <c r="G86" s="165"/>
      <c r="H86" s="1"/>
      <c r="I86" s="163"/>
      <c r="J86" s="164"/>
      <c r="K86" s="164"/>
      <c r="L86" s="165"/>
      <c r="M86" s="1"/>
      <c r="N86" s="163"/>
      <c r="O86" s="164"/>
      <c r="P86" s="164"/>
      <c r="Q86" s="165"/>
      <c r="R86" s="1"/>
      <c r="S86" s="163"/>
      <c r="T86" s="164"/>
      <c r="U86" s="164"/>
      <c r="V86" s="165"/>
      <c r="W86" s="1"/>
      <c r="X86" s="163"/>
      <c r="Y86" s="164"/>
      <c r="Z86" s="164"/>
      <c r="AA86" s="165"/>
      <c r="AB86" s="1"/>
      <c r="AC86" s="163"/>
      <c r="AD86" s="164"/>
      <c r="AE86" s="164"/>
      <c r="AF86" s="165"/>
      <c r="AG86" s="1"/>
      <c r="AH86" s="163"/>
      <c r="AI86" s="164"/>
      <c r="AJ86" s="164"/>
      <c r="AK86" s="165"/>
      <c r="AL86" s="1"/>
      <c r="AM86" s="163"/>
      <c r="AN86" s="164"/>
      <c r="AO86" s="164"/>
      <c r="AP86" s="165"/>
      <c r="AQ86" s="1"/>
      <c r="AR86" s="163"/>
      <c r="AS86" s="164"/>
      <c r="AT86" s="164"/>
      <c r="AU86" s="165"/>
      <c r="AV86" s="1"/>
      <c r="AW86" s="163"/>
      <c r="AX86" s="164"/>
      <c r="AY86" s="164"/>
      <c r="AZ86" s="165"/>
      <c r="BA86" s="1"/>
      <c r="BB86" s="163"/>
      <c r="BC86" s="164"/>
      <c r="BD86" s="164"/>
      <c r="BE86" s="165"/>
      <c r="BF86" s="1"/>
      <c r="BG86" s="1"/>
      <c r="BH86" s="1"/>
      <c r="BI86" s="1"/>
      <c r="BJ86" s="1"/>
      <c r="BK86" s="1"/>
      <c r="BL86" s="1"/>
      <c r="BM86" s="1"/>
      <c r="BN86" s="1"/>
      <c r="BO86" s="1"/>
      <c r="BP86" s="1"/>
      <c r="BQ86" s="1"/>
      <c r="BR86" s="1"/>
      <c r="BS86" s="1"/>
    </row>
    <row r="87" spans="1:71" ht="15.75" customHeight="1">
      <c r="A87" s="25">
        <f t="shared" si="0"/>
        <v>87</v>
      </c>
      <c r="B87" s="1" t="str">
        <f>TEXT(Forward_Year_1,"yyyy-mm-dd")&amp;" "&amp;B65</f>
        <v>yyyy-12-31 EV / Revenue:</v>
      </c>
      <c r="C87" s="1"/>
      <c r="D87" s="163"/>
      <c r="E87" s="164"/>
      <c r="F87" s="164"/>
      <c r="G87" s="285">
        <f t="shared" ref="G87:G89" si="135">+E65</f>
        <v>6.3369499657299517</v>
      </c>
      <c r="H87" s="1"/>
      <c r="I87" s="163"/>
      <c r="J87" s="164"/>
      <c r="K87" s="164"/>
      <c r="L87" s="285">
        <f t="shared" ref="L87:L89" si="136">+J65</f>
        <v>5.0881101580570558</v>
      </c>
      <c r="M87" s="1"/>
      <c r="N87" s="163"/>
      <c r="O87" s="164"/>
      <c r="P87" s="164"/>
      <c r="Q87" s="285">
        <f t="shared" ref="Q87:Q89" si="137">+O65</f>
        <v>3.7257443269908386</v>
      </c>
      <c r="R87" s="1"/>
      <c r="S87" s="163"/>
      <c r="T87" s="164"/>
      <c r="U87" s="164"/>
      <c r="V87" s="285">
        <f t="shared" ref="V87:V89" si="138">+T65</f>
        <v>2.4861111111111112</v>
      </c>
      <c r="W87" s="1"/>
      <c r="X87" s="163"/>
      <c r="Y87" s="164"/>
      <c r="Z87" s="164"/>
      <c r="AA87" s="285">
        <f t="shared" ref="AA87:AA89" si="139">+Y65</f>
        <v>2.1788852362673663</v>
      </c>
      <c r="AB87" s="1"/>
      <c r="AC87" s="163"/>
      <c r="AD87" s="164"/>
      <c r="AE87" s="164"/>
      <c r="AF87" s="285">
        <f t="shared" ref="AF87:AF89" si="140">+AD65</f>
        <v>3.7644414356308418</v>
      </c>
      <c r="AG87" s="1"/>
      <c r="AH87" s="163"/>
      <c r="AI87" s="164"/>
      <c r="AJ87" s="164"/>
      <c r="AK87" s="285">
        <f t="shared" ref="AK87:AK89" si="141">+AI65</f>
        <v>9.4759804747106795</v>
      </c>
      <c r="AL87" s="1"/>
      <c r="AM87" s="163"/>
      <c r="AN87" s="164"/>
      <c r="AO87" s="164"/>
      <c r="AP87" s="285" t="str">
        <f t="shared" ref="AP87:AP89" si="142">+AN65</f>
        <v>NM</v>
      </c>
      <c r="AQ87" s="1"/>
      <c r="AR87" s="163"/>
      <c r="AS87" s="164"/>
      <c r="AT87" s="164"/>
      <c r="AU87" s="285" t="str">
        <f t="shared" ref="AU87:AU89" si="143">+AS65</f>
        <v>NM</v>
      </c>
      <c r="AV87" s="1"/>
      <c r="AW87" s="163"/>
      <c r="AX87" s="164"/>
      <c r="AY87" s="164"/>
      <c r="AZ87" s="285" t="str">
        <f t="shared" ref="AZ87:AZ89" si="144">+AX65</f>
        <v>NM</v>
      </c>
      <c r="BA87" s="1"/>
      <c r="BB87" s="163"/>
      <c r="BC87" s="164"/>
      <c r="BD87" s="164"/>
      <c r="BE87" s="285">
        <f t="shared" ref="BE87:BE89" si="145">+BC65</f>
        <v>6.5897058823529413</v>
      </c>
      <c r="BF87" s="1"/>
      <c r="BG87" s="1"/>
      <c r="BH87" s="1"/>
      <c r="BI87" s="1"/>
      <c r="BJ87" s="1"/>
      <c r="BK87" s="1"/>
      <c r="BL87" s="1"/>
      <c r="BM87" s="1"/>
      <c r="BN87" s="1"/>
      <c r="BO87" s="1"/>
      <c r="BP87" s="1"/>
      <c r="BQ87" s="1"/>
      <c r="BR87" s="1"/>
      <c r="BS87" s="1"/>
    </row>
    <row r="88" spans="1:71" ht="15.75" customHeight="1">
      <c r="A88" s="25">
        <f t="shared" si="0"/>
        <v>88</v>
      </c>
      <c r="B88" s="1" t="str">
        <f>TEXT(Forward_Year_1,"yyyy-mm-dd")&amp;" "&amp;B66</f>
        <v>yyyy-12-31 EV / EBITDA:</v>
      </c>
      <c r="C88" s="1"/>
      <c r="D88" s="163"/>
      <c r="E88" s="164"/>
      <c r="F88" s="164"/>
      <c r="G88" s="285">
        <f t="shared" si="135"/>
        <v>13.738721469329528</v>
      </c>
      <c r="H88" s="1"/>
      <c r="I88" s="163"/>
      <c r="J88" s="164"/>
      <c r="K88" s="164"/>
      <c r="L88" s="285">
        <f t="shared" si="136"/>
        <v>14.821513475575522</v>
      </c>
      <c r="M88" s="1"/>
      <c r="N88" s="163"/>
      <c r="O88" s="164"/>
      <c r="P88" s="164"/>
      <c r="Q88" s="285">
        <f t="shared" si="137"/>
        <v>15.938352451726685</v>
      </c>
      <c r="R88" s="1"/>
      <c r="S88" s="163"/>
      <c r="T88" s="164"/>
      <c r="U88" s="164"/>
      <c r="V88" s="285">
        <f t="shared" si="138"/>
        <v>14.514746426337373</v>
      </c>
      <c r="W88" s="1"/>
      <c r="X88" s="163"/>
      <c r="Y88" s="164"/>
      <c r="Z88" s="164"/>
      <c r="AA88" s="285">
        <f t="shared" si="139"/>
        <v>13.837795988135337</v>
      </c>
      <c r="AB88" s="1"/>
      <c r="AC88" s="163"/>
      <c r="AD88" s="164"/>
      <c r="AE88" s="164"/>
      <c r="AF88" s="285">
        <f t="shared" si="140"/>
        <v>14.864206911095396</v>
      </c>
      <c r="AG88" s="1"/>
      <c r="AH88" s="163"/>
      <c r="AI88" s="164"/>
      <c r="AJ88" s="164"/>
      <c r="AK88" s="285">
        <f t="shared" si="141"/>
        <v>12.002728496362478</v>
      </c>
      <c r="AL88" s="1"/>
      <c r="AM88" s="163"/>
      <c r="AN88" s="164"/>
      <c r="AO88" s="164"/>
      <c r="AP88" s="285" t="str">
        <f t="shared" si="142"/>
        <v>NM</v>
      </c>
      <c r="AQ88" s="1"/>
      <c r="AR88" s="163"/>
      <c r="AS88" s="164"/>
      <c r="AT88" s="164"/>
      <c r="AU88" s="285" t="str">
        <f t="shared" si="143"/>
        <v>NM</v>
      </c>
      <c r="AV88" s="1"/>
      <c r="AW88" s="163"/>
      <c r="AX88" s="164"/>
      <c r="AY88" s="164"/>
      <c r="AZ88" s="285" t="str">
        <f t="shared" si="144"/>
        <v>NM</v>
      </c>
      <c r="BA88" s="1"/>
      <c r="BB88" s="163"/>
      <c r="BC88" s="164"/>
      <c r="BD88" s="164"/>
      <c r="BE88" s="285">
        <f t="shared" si="145"/>
        <v>22.098502051983587</v>
      </c>
      <c r="BF88" s="1"/>
      <c r="BG88" s="1"/>
      <c r="BH88" s="1"/>
      <c r="BI88" s="1"/>
      <c r="BJ88" s="1"/>
      <c r="BK88" s="1"/>
      <c r="BL88" s="1"/>
      <c r="BM88" s="1"/>
      <c r="BN88" s="1"/>
      <c r="BO88" s="1"/>
      <c r="BP88" s="1"/>
      <c r="BQ88" s="1"/>
      <c r="BR88" s="1"/>
      <c r="BS88" s="1"/>
    </row>
    <row r="89" spans="1:71" ht="15.75" customHeight="1">
      <c r="A89" s="25">
        <f t="shared" si="0"/>
        <v>89</v>
      </c>
      <c r="B89" s="1" t="str">
        <f>TEXT(Forward_Year_1,"yyyy-mm-dd")&amp;" "&amp;B67</f>
        <v>yyyy-12-31 P / E:</v>
      </c>
      <c r="C89" s="1"/>
      <c r="D89" s="163"/>
      <c r="E89" s="164"/>
      <c r="F89" s="164"/>
      <c r="G89" s="285" t="str">
        <f t="shared" si="135"/>
        <v>NM</v>
      </c>
      <c r="H89" s="1"/>
      <c r="I89" s="163"/>
      <c r="J89" s="164"/>
      <c r="K89" s="164"/>
      <c r="L89" s="285">
        <f t="shared" si="136"/>
        <v>22.982961937606103</v>
      </c>
      <c r="M89" s="1"/>
      <c r="N89" s="163"/>
      <c r="O89" s="164"/>
      <c r="P89" s="164"/>
      <c r="Q89" s="285">
        <f t="shared" si="137"/>
        <v>23.155389522984159</v>
      </c>
      <c r="R89" s="1"/>
      <c r="S89" s="163"/>
      <c r="T89" s="164"/>
      <c r="U89" s="164"/>
      <c r="V89" s="285">
        <f t="shared" si="138"/>
        <v>29.319777434672417</v>
      </c>
      <c r="W89" s="1"/>
      <c r="X89" s="163"/>
      <c r="Y89" s="164"/>
      <c r="Z89" s="164"/>
      <c r="AA89" s="285">
        <f t="shared" si="139"/>
        <v>24.992771690167402</v>
      </c>
      <c r="AB89" s="1"/>
      <c r="AC89" s="163"/>
      <c r="AD89" s="164"/>
      <c r="AE89" s="164"/>
      <c r="AF89" s="285">
        <f t="shared" si="140"/>
        <v>21.168877828852462</v>
      </c>
      <c r="AG89" s="1"/>
      <c r="AH89" s="163"/>
      <c r="AI89" s="164"/>
      <c r="AJ89" s="164"/>
      <c r="AK89" s="285">
        <f t="shared" si="141"/>
        <v>15.49577212353312</v>
      </c>
      <c r="AL89" s="1"/>
      <c r="AM89" s="163"/>
      <c r="AN89" s="164"/>
      <c r="AO89" s="164"/>
      <c r="AP89" s="285" t="str">
        <f t="shared" si="142"/>
        <v>NM</v>
      </c>
      <c r="AQ89" s="1"/>
      <c r="AR89" s="163"/>
      <c r="AS89" s="164"/>
      <c r="AT89" s="164"/>
      <c r="AU89" s="285" t="str">
        <f t="shared" si="143"/>
        <v>NM</v>
      </c>
      <c r="AV89" s="1"/>
      <c r="AW89" s="163"/>
      <c r="AX89" s="164"/>
      <c r="AY89" s="164"/>
      <c r="AZ89" s="285" t="str">
        <f t="shared" si="144"/>
        <v>NM</v>
      </c>
      <c r="BA89" s="1"/>
      <c r="BB89" s="163"/>
      <c r="BC89" s="164"/>
      <c r="BD89" s="164"/>
      <c r="BE89" s="285">
        <f t="shared" si="145"/>
        <v>30.06283022190912</v>
      </c>
      <c r="BF89" s="1"/>
      <c r="BG89" s="1"/>
      <c r="BH89" s="1"/>
      <c r="BI89" s="1"/>
      <c r="BJ89" s="1"/>
      <c r="BK89" s="1"/>
      <c r="BL89" s="1"/>
      <c r="BM89" s="1"/>
      <c r="BN89" s="1"/>
      <c r="BO89" s="1"/>
      <c r="BP89" s="1"/>
      <c r="BQ89" s="1"/>
      <c r="BR89" s="1"/>
      <c r="BS89" s="1"/>
    </row>
    <row r="90" spans="1:71" ht="15.75" customHeight="1">
      <c r="A90" s="25">
        <f t="shared" si="0"/>
        <v>90</v>
      </c>
      <c r="B90" s="1"/>
      <c r="C90" s="1"/>
      <c r="D90" s="163"/>
      <c r="E90" s="164"/>
      <c r="F90" s="164"/>
      <c r="G90" s="165"/>
      <c r="H90" s="1"/>
      <c r="I90" s="163"/>
      <c r="J90" s="164"/>
      <c r="K90" s="164"/>
      <c r="L90" s="165"/>
      <c r="M90" s="1"/>
      <c r="N90" s="163"/>
      <c r="O90" s="164"/>
      <c r="P90" s="164"/>
      <c r="Q90" s="165"/>
      <c r="R90" s="1"/>
      <c r="S90" s="163"/>
      <c r="T90" s="164"/>
      <c r="U90" s="164"/>
      <c r="V90" s="165"/>
      <c r="W90" s="1"/>
      <c r="X90" s="163"/>
      <c r="Y90" s="164"/>
      <c r="Z90" s="164"/>
      <c r="AA90" s="165"/>
      <c r="AB90" s="1"/>
      <c r="AC90" s="163"/>
      <c r="AD90" s="164"/>
      <c r="AE90" s="164"/>
      <c r="AF90" s="165"/>
      <c r="AG90" s="1"/>
      <c r="AH90" s="163"/>
      <c r="AI90" s="164"/>
      <c r="AJ90" s="164"/>
      <c r="AK90" s="165"/>
      <c r="AL90" s="1"/>
      <c r="AM90" s="163"/>
      <c r="AN90" s="164"/>
      <c r="AO90" s="164"/>
      <c r="AP90" s="165"/>
      <c r="AQ90" s="1"/>
      <c r="AR90" s="163"/>
      <c r="AS90" s="164"/>
      <c r="AT90" s="164"/>
      <c r="AU90" s="165"/>
      <c r="AV90" s="1"/>
      <c r="AW90" s="163"/>
      <c r="AX90" s="164"/>
      <c r="AY90" s="164"/>
      <c r="AZ90" s="165"/>
      <c r="BA90" s="1"/>
      <c r="BB90" s="163"/>
      <c r="BC90" s="164"/>
      <c r="BD90" s="164"/>
      <c r="BE90" s="165"/>
      <c r="BF90" s="1"/>
      <c r="BG90" s="1"/>
      <c r="BH90" s="1"/>
      <c r="BI90" s="1"/>
      <c r="BJ90" s="1"/>
      <c r="BK90" s="1"/>
      <c r="BL90" s="1"/>
      <c r="BM90" s="1"/>
      <c r="BN90" s="1"/>
      <c r="BO90" s="1"/>
      <c r="BP90" s="1"/>
      <c r="BQ90" s="1"/>
      <c r="BR90" s="1"/>
      <c r="BS90" s="1"/>
    </row>
    <row r="91" spans="1:71" ht="15.75" customHeight="1">
      <c r="A91" s="25">
        <f t="shared" si="0"/>
        <v>91</v>
      </c>
      <c r="B91" s="1" t="str">
        <f>TEXT(Forward_Year_2,"yyyy-mm-dd")&amp;" "&amp;B65</f>
        <v>yyyy-12-31 EV / Revenue:</v>
      </c>
      <c r="C91" s="1"/>
      <c r="D91" s="163"/>
      <c r="E91" s="164"/>
      <c r="F91" s="164"/>
      <c r="G91" s="285">
        <f t="shared" ref="G91:G93" si="146">+F65</f>
        <v>3.6228879310344828</v>
      </c>
      <c r="H91" s="1"/>
      <c r="I91" s="163"/>
      <c r="J91" s="164"/>
      <c r="K91" s="164"/>
      <c r="L91" s="285">
        <f t="shared" ref="L91:L93" si="147">+K65</f>
        <v>4.9101777343750008</v>
      </c>
      <c r="M91" s="1"/>
      <c r="N91" s="163"/>
      <c r="O91" s="164"/>
      <c r="P91" s="164"/>
      <c r="Q91" s="285">
        <f t="shared" ref="Q91:Q93" si="148">+P65</f>
        <v>3.9321912978802525</v>
      </c>
      <c r="R91" s="1"/>
      <c r="S91" s="163"/>
      <c r="T91" s="164"/>
      <c r="U91" s="164"/>
      <c r="V91" s="285">
        <f t="shared" ref="V91:V93" si="149">+U65</f>
        <v>2.3464419475655429</v>
      </c>
      <c r="W91" s="1"/>
      <c r="X91" s="163"/>
      <c r="Y91" s="164"/>
      <c r="Z91" s="164"/>
      <c r="AA91" s="285">
        <f t="shared" ref="AA91:AA93" si="150">+Z65</f>
        <v>1.8699841752176523</v>
      </c>
      <c r="AB91" s="1"/>
      <c r="AC91" s="163"/>
      <c r="AD91" s="164"/>
      <c r="AE91" s="164"/>
      <c r="AF91" s="285">
        <f t="shared" ref="AF91:AF93" si="151">+AE65</f>
        <v>3.5281334331021901</v>
      </c>
      <c r="AG91" s="1"/>
      <c r="AH91" s="163"/>
      <c r="AI91" s="164"/>
      <c r="AJ91" s="164"/>
      <c r="AK91" s="285">
        <f t="shared" ref="AK91:AK93" si="152">+AJ65</f>
        <v>13.31749991450638</v>
      </c>
      <c r="AL91" s="1"/>
      <c r="AM91" s="163"/>
      <c r="AN91" s="164"/>
      <c r="AO91" s="164"/>
      <c r="AP91" s="285" t="str">
        <f t="shared" ref="AP91:AP93" si="153">+AO65</f>
        <v>NM</v>
      </c>
      <c r="AQ91" s="1"/>
      <c r="AR91" s="163"/>
      <c r="AS91" s="164"/>
      <c r="AT91" s="164"/>
      <c r="AU91" s="285" t="str">
        <f t="shared" ref="AU91:AU93" si="154">+AT65</f>
        <v>NM</v>
      </c>
      <c r="AV91" s="1"/>
      <c r="AW91" s="163"/>
      <c r="AX91" s="164"/>
      <c r="AY91" s="164"/>
      <c r="AZ91" s="285" t="str">
        <f t="shared" ref="AZ91:AZ93" si="155">+AY65</f>
        <v>NM</v>
      </c>
      <c r="BA91" s="1"/>
      <c r="BB91" s="163"/>
      <c r="BC91" s="164"/>
      <c r="BD91" s="164"/>
      <c r="BE91" s="285">
        <f t="shared" ref="BE91:BE93" si="156">+BD65</f>
        <v>6.0390835579514821</v>
      </c>
      <c r="BF91" s="1"/>
      <c r="BG91" s="1"/>
      <c r="BH91" s="1"/>
      <c r="BI91" s="1"/>
      <c r="BJ91" s="1"/>
      <c r="BK91" s="1"/>
      <c r="BL91" s="1"/>
      <c r="BM91" s="1"/>
      <c r="BN91" s="1"/>
      <c r="BO91" s="1"/>
      <c r="BP91" s="1"/>
      <c r="BQ91" s="1"/>
      <c r="BR91" s="1"/>
      <c r="BS91" s="1"/>
    </row>
    <row r="92" spans="1:71" ht="15.75" customHeight="1">
      <c r="A92" s="25">
        <f t="shared" si="0"/>
        <v>92</v>
      </c>
      <c r="B92" s="1" t="str">
        <f>TEXT(Forward_Year_2,"yyyy-mm-dd")&amp;" "&amp;B66</f>
        <v>yyyy-12-31 EV / EBITDA:</v>
      </c>
      <c r="C92" s="1"/>
      <c r="D92" s="163"/>
      <c r="E92" s="164"/>
      <c r="F92" s="164"/>
      <c r="G92" s="285">
        <f t="shared" si="146"/>
        <v>7.2571507064364207</v>
      </c>
      <c r="H92" s="1"/>
      <c r="I92" s="163"/>
      <c r="J92" s="164"/>
      <c r="K92" s="164"/>
      <c r="L92" s="285">
        <f t="shared" si="147"/>
        <v>14.354059543230019</v>
      </c>
      <c r="M92" s="1"/>
      <c r="N92" s="163"/>
      <c r="O92" s="164"/>
      <c r="P92" s="164"/>
      <c r="Q92" s="285">
        <f t="shared" si="148"/>
        <v>15.83665942756152</v>
      </c>
      <c r="R92" s="1"/>
      <c r="S92" s="163"/>
      <c r="T92" s="164"/>
      <c r="U92" s="164"/>
      <c r="V92" s="285">
        <f t="shared" si="149"/>
        <v>13.130593339341479</v>
      </c>
      <c r="W92" s="1"/>
      <c r="X92" s="163"/>
      <c r="Y92" s="164"/>
      <c r="Z92" s="164"/>
      <c r="AA92" s="285">
        <f t="shared" si="150"/>
        <v>11.37159344990506</v>
      </c>
      <c r="AB92" s="1"/>
      <c r="AC92" s="163"/>
      <c r="AD92" s="164"/>
      <c r="AE92" s="164"/>
      <c r="AF92" s="285">
        <f t="shared" si="151"/>
        <v>12.328264859208817</v>
      </c>
      <c r="AG92" s="1"/>
      <c r="AH92" s="163"/>
      <c r="AI92" s="164"/>
      <c r="AJ92" s="164"/>
      <c r="AK92" s="285">
        <f t="shared" si="152"/>
        <v>18.394313028313668</v>
      </c>
      <c r="AL92" s="1"/>
      <c r="AM92" s="163"/>
      <c r="AN92" s="164"/>
      <c r="AO92" s="164"/>
      <c r="AP92" s="285" t="str">
        <f t="shared" si="153"/>
        <v>NM</v>
      </c>
      <c r="AQ92" s="1"/>
      <c r="AR92" s="163"/>
      <c r="AS92" s="164"/>
      <c r="AT92" s="164"/>
      <c r="AU92" s="285" t="str">
        <f t="shared" si="154"/>
        <v>NM</v>
      </c>
      <c r="AV92" s="1"/>
      <c r="AW92" s="163"/>
      <c r="AX92" s="164"/>
      <c r="AY92" s="164"/>
      <c r="AZ92" s="285" t="str">
        <f t="shared" si="155"/>
        <v>NM</v>
      </c>
      <c r="BA92" s="1"/>
      <c r="BB92" s="163"/>
      <c r="BC92" s="164"/>
      <c r="BD92" s="164"/>
      <c r="BE92" s="285">
        <f t="shared" si="156"/>
        <v>20.251996489688462</v>
      </c>
      <c r="BF92" s="1"/>
      <c r="BG92" s="1"/>
      <c r="BH92" s="1"/>
      <c r="BI92" s="1"/>
      <c r="BJ92" s="1"/>
      <c r="BK92" s="1"/>
      <c r="BL92" s="1"/>
      <c r="BM92" s="1"/>
      <c r="BN92" s="1"/>
      <c r="BO92" s="1"/>
      <c r="BP92" s="1"/>
      <c r="BQ92" s="1"/>
      <c r="BR92" s="1"/>
      <c r="BS92" s="1"/>
    </row>
    <row r="93" spans="1:71" ht="15.75" customHeight="1">
      <c r="A93" s="25">
        <f t="shared" si="0"/>
        <v>93</v>
      </c>
      <c r="B93" s="1" t="str">
        <f>TEXT(Forward_Year_2,"yyyy-mm-dd")&amp;" "&amp;B67</f>
        <v>yyyy-12-31 P / E:</v>
      </c>
      <c r="C93" s="1"/>
      <c r="D93" s="226"/>
      <c r="E93" s="227"/>
      <c r="F93" s="227"/>
      <c r="G93" s="285">
        <f t="shared" si="146"/>
        <v>20.814341659651642</v>
      </c>
      <c r="H93" s="1"/>
      <c r="I93" s="226"/>
      <c r="J93" s="227"/>
      <c r="K93" s="227"/>
      <c r="L93" s="285">
        <f t="shared" si="147"/>
        <v>21.967007282610954</v>
      </c>
      <c r="M93" s="1"/>
      <c r="N93" s="226"/>
      <c r="O93" s="227"/>
      <c r="P93" s="227"/>
      <c r="Q93" s="285">
        <f t="shared" si="148"/>
        <v>24.344963263090552</v>
      </c>
      <c r="R93" s="1"/>
      <c r="S93" s="226"/>
      <c r="T93" s="227"/>
      <c r="U93" s="227"/>
      <c r="V93" s="285">
        <f t="shared" si="149"/>
        <v>26.272155368190244</v>
      </c>
      <c r="W93" s="1"/>
      <c r="X93" s="226"/>
      <c r="Y93" s="227"/>
      <c r="Z93" s="227"/>
      <c r="AA93" s="285">
        <f t="shared" si="150"/>
        <v>18.574882098601474</v>
      </c>
      <c r="AB93" s="1"/>
      <c r="AC93" s="226"/>
      <c r="AD93" s="227"/>
      <c r="AE93" s="227"/>
      <c r="AF93" s="285">
        <f t="shared" si="151"/>
        <v>17.139957536988533</v>
      </c>
      <c r="AG93" s="1"/>
      <c r="AH93" s="226"/>
      <c r="AI93" s="227"/>
      <c r="AJ93" s="227"/>
      <c r="AK93" s="285">
        <f t="shared" si="152"/>
        <v>21.580367640359746</v>
      </c>
      <c r="AL93" s="1"/>
      <c r="AM93" s="226"/>
      <c r="AN93" s="227"/>
      <c r="AO93" s="227"/>
      <c r="AP93" s="285" t="str">
        <f t="shared" si="153"/>
        <v>NM</v>
      </c>
      <c r="AQ93" s="1"/>
      <c r="AR93" s="226"/>
      <c r="AS93" s="227"/>
      <c r="AT93" s="227"/>
      <c r="AU93" s="285" t="str">
        <f t="shared" si="154"/>
        <v>NM</v>
      </c>
      <c r="AV93" s="1"/>
      <c r="AW93" s="226"/>
      <c r="AX93" s="227"/>
      <c r="AY93" s="227"/>
      <c r="AZ93" s="285" t="str">
        <f t="shared" si="155"/>
        <v>NM</v>
      </c>
      <c r="BA93" s="1"/>
      <c r="BB93" s="226"/>
      <c r="BC93" s="227"/>
      <c r="BD93" s="227"/>
      <c r="BE93" s="285">
        <f t="shared" si="156"/>
        <v>27.550841712800814</v>
      </c>
      <c r="BF93" s="1"/>
      <c r="BG93" s="1"/>
      <c r="BH93" s="1"/>
      <c r="BI93" s="1"/>
      <c r="BJ93" s="1"/>
      <c r="BK93" s="1"/>
      <c r="BL93" s="1"/>
      <c r="BM93" s="1"/>
      <c r="BN93" s="1"/>
      <c r="BO93" s="1"/>
      <c r="BP93" s="1"/>
      <c r="BQ93" s="1"/>
      <c r="BR93" s="1"/>
      <c r="BS93" s="1"/>
    </row>
    <row r="94" spans="1:71" ht="15.75" customHeight="1">
      <c r="A94" s="25">
        <f t="shared" si="0"/>
        <v>94</v>
      </c>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row>
    <row r="95" spans="1:71" ht="15.75" customHeight="1">
      <c r="A95" s="25">
        <f t="shared" si="0"/>
        <v>95</v>
      </c>
      <c r="B95" s="1" t="s">
        <v>272</v>
      </c>
      <c r="C95" s="1"/>
      <c r="D95" s="303" t="s">
        <v>274</v>
      </c>
      <c r="E95" s="1"/>
      <c r="F95" s="1"/>
      <c r="G95" s="1"/>
      <c r="H95" s="1"/>
      <c r="I95" s="303" t="s">
        <v>275</v>
      </c>
      <c r="J95" s="1"/>
      <c r="K95" s="1"/>
      <c r="L95" s="1"/>
      <c r="M95" s="1"/>
      <c r="N95" s="303" t="s">
        <v>276</v>
      </c>
      <c r="O95" s="1"/>
      <c r="P95" s="1"/>
      <c r="Q95" s="1"/>
      <c r="R95" s="1"/>
      <c r="S95" s="303" t="s">
        <v>277</v>
      </c>
      <c r="T95" s="1"/>
      <c r="U95" s="1"/>
      <c r="V95" s="1"/>
      <c r="W95" s="1"/>
      <c r="X95" s="303" t="s">
        <v>278</v>
      </c>
      <c r="Y95" s="1"/>
      <c r="Z95" s="1"/>
      <c r="AA95" s="1"/>
      <c r="AB95" s="1"/>
      <c r="AC95" s="303" t="s">
        <v>279</v>
      </c>
      <c r="AD95" s="1"/>
      <c r="AE95" s="1"/>
      <c r="AF95" s="1"/>
      <c r="AG95" s="1"/>
      <c r="AH95" s="303" t="s">
        <v>281</v>
      </c>
      <c r="AI95" s="1"/>
      <c r="AJ95" s="1"/>
      <c r="AK95" s="1"/>
      <c r="AL95" s="1"/>
      <c r="AM95" s="303" t="s">
        <v>282</v>
      </c>
      <c r="AN95" s="1"/>
      <c r="AO95" s="1"/>
      <c r="AP95" s="1"/>
      <c r="AQ95" s="1"/>
      <c r="AR95" s="303" t="s">
        <v>283</v>
      </c>
      <c r="AS95" s="1"/>
      <c r="AT95" s="1"/>
      <c r="AU95" s="1"/>
      <c r="AV95" s="1"/>
      <c r="AW95" s="303" t="s">
        <v>284</v>
      </c>
      <c r="AX95" s="1"/>
      <c r="AY95" s="1"/>
      <c r="AZ95" s="1"/>
      <c r="BA95" s="1"/>
      <c r="BB95" s="303" t="s">
        <v>286</v>
      </c>
      <c r="BC95" s="1"/>
      <c r="BD95" s="1"/>
      <c r="BE95" s="1"/>
      <c r="BF95" s="1"/>
      <c r="BG95" s="1"/>
      <c r="BH95" s="1"/>
      <c r="BI95" s="1"/>
      <c r="BJ95" s="1"/>
      <c r="BK95" s="1"/>
      <c r="BL95" s="1"/>
      <c r="BM95" s="1"/>
      <c r="BN95" s="1"/>
      <c r="BO95" s="1"/>
      <c r="BP95" s="1"/>
      <c r="BQ95" s="1"/>
      <c r="BR95" s="1"/>
      <c r="BS95" s="1"/>
    </row>
    <row r="96" spans="1:71"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row>
    <row r="97" spans="1:71"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row>
    <row r="98" spans="1:71"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row>
    <row r="99" spans="1:71"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row>
    <row r="100" spans="1:71"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row>
    <row r="101" spans="1:7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row>
    <row r="102" spans="1:71"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row>
    <row r="103" spans="1:71"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row>
    <row r="104" spans="1:71"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row>
    <row r="105" spans="1:71"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row>
    <row r="106" spans="1:71"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row>
    <row r="107" spans="1:71"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row>
    <row r="108" spans="1:71"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row>
    <row r="109" spans="1:71"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row>
    <row r="110" spans="1:71"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row>
    <row r="111" spans="1:7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row>
    <row r="112" spans="1:71"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row>
    <row r="113" spans="1:71"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row>
    <row r="114" spans="1:71"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row>
    <row r="115" spans="1:71"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row>
    <row r="116" spans="1:71"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row>
    <row r="117" spans="1:71"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row>
    <row r="118" spans="1:71"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row>
    <row r="119" spans="1:71"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row>
    <row r="120" spans="1:71"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row>
    <row r="121" spans="1:7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row>
    <row r="122" spans="1:71"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row>
    <row r="123" spans="1:71"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row>
    <row r="124" spans="1:71"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row>
    <row r="125" spans="1:71"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row>
    <row r="126" spans="1:71"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row>
    <row r="127" spans="1:71"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row>
    <row r="128" spans="1:71"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row>
    <row r="129" spans="1:71"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row>
    <row r="130" spans="1:71"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row>
    <row r="131" spans="1:7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row>
    <row r="132" spans="1:71"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row>
    <row r="133" spans="1:71"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row>
    <row r="134" spans="1:71"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row>
    <row r="135" spans="1:71"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row>
    <row r="136" spans="1:71"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row>
    <row r="137" spans="1:71"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row>
    <row r="138" spans="1:71"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row>
    <row r="139" spans="1:71"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row>
    <row r="140" spans="1:71"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row>
    <row r="141" spans="1:7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row>
    <row r="142" spans="1:71"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row>
    <row r="143" spans="1:71"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row>
    <row r="144" spans="1:71"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row>
    <row r="145" spans="1:71"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row>
    <row r="146" spans="1:71"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row>
    <row r="147" spans="1:71"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row>
    <row r="148" spans="1:71"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row>
    <row r="149" spans="1:71"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row>
    <row r="150" spans="1:71"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row>
    <row r="151" spans="1:7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row>
    <row r="152" spans="1:71"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row>
    <row r="153" spans="1:71"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row>
    <row r="154" spans="1:71"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row>
    <row r="155" spans="1:71"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row>
    <row r="156" spans="1:71"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row>
    <row r="157" spans="1:71"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row>
    <row r="158" spans="1:71"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row>
    <row r="159" spans="1:71"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row>
    <row r="160" spans="1:71"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row>
    <row r="161" spans="1:7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row>
    <row r="162" spans="1:71"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row>
    <row r="163" spans="1:71"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row>
    <row r="164" spans="1:71"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row>
    <row r="165" spans="1:71"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row>
    <row r="166" spans="1:71"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row>
    <row r="167" spans="1:71"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row>
    <row r="168" spans="1:71"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row>
    <row r="169" spans="1:71"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row>
    <row r="170" spans="1:71"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row>
    <row r="171" spans="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row>
    <row r="172" spans="1:71"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row>
    <row r="173" spans="1:71"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row>
    <row r="174" spans="1:71"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row>
    <row r="175" spans="1:71"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row>
    <row r="176" spans="1:71"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row>
    <row r="177" spans="1:71"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row>
    <row r="178" spans="1:71"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row>
    <row r="179" spans="1:71"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row>
    <row r="180" spans="1:71"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row>
    <row r="181" spans="1:7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row>
    <row r="182" spans="1:71"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row>
    <row r="183" spans="1:71"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row>
    <row r="184" spans="1:71"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row>
    <row r="185" spans="1:71"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row>
    <row r="186" spans="1:71"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row>
    <row r="187" spans="1:71"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row>
    <row r="188" spans="1:71"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row>
    <row r="189" spans="1:71"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row>
    <row r="190" spans="1:71"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row>
    <row r="191" spans="1:7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row>
    <row r="192" spans="1:71"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row>
    <row r="193" spans="1:71"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row>
    <row r="194" spans="1:71"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row>
    <row r="195" spans="1:71"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row>
    <row r="196" spans="1:71"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row>
    <row r="197" spans="1:71"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row>
    <row r="198" spans="1:71"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row>
    <row r="199" spans="1:71"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row>
    <row r="200" spans="1:71"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row>
    <row r="201" spans="1:7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row>
    <row r="202" spans="1:71"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row>
    <row r="203" spans="1:71"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row>
    <row r="204" spans="1:71"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row>
    <row r="205" spans="1:71"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row>
    <row r="206" spans="1:71"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row>
    <row r="207" spans="1:71"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row>
    <row r="208" spans="1:71"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row>
    <row r="209" spans="1:71"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row>
    <row r="210" spans="1:71"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row>
    <row r="211" spans="1:7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row>
    <row r="212" spans="1:71"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row>
    <row r="213" spans="1:71"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row>
    <row r="214" spans="1:71"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row>
    <row r="215" spans="1:71"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row>
    <row r="216" spans="1:71"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row>
    <row r="217" spans="1:71"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row>
    <row r="218" spans="1:71"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row>
    <row r="219" spans="1:71"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row>
    <row r="220" spans="1:71"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row>
    <row r="221" spans="1:7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row>
    <row r="222" spans="1:71"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row>
    <row r="223" spans="1:71"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row>
    <row r="224" spans="1:71"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row>
    <row r="225" spans="1:71"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row>
    <row r="226" spans="1:71"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row>
    <row r="227" spans="1:71"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row>
    <row r="228" spans="1:71"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row>
    <row r="229" spans="1:71"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row>
    <row r="230" spans="1:71"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row>
    <row r="231" spans="1:7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row>
    <row r="232" spans="1:71"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row>
    <row r="233" spans="1:71"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row>
    <row r="234" spans="1:71"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row>
    <row r="235" spans="1:71"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row>
    <row r="236" spans="1:71"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row>
    <row r="237" spans="1:71"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row>
    <row r="238" spans="1:71"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row>
    <row r="239" spans="1:71"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row>
    <row r="240" spans="1:71"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row>
    <row r="241" spans="1:7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row>
    <row r="242" spans="1:71"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row>
    <row r="243" spans="1:71"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row>
    <row r="244" spans="1:71"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row>
    <row r="245" spans="1:71"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row>
    <row r="246" spans="1:71"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row>
    <row r="247" spans="1:71"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row>
    <row r="248" spans="1:71"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row>
    <row r="249" spans="1:71"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row>
    <row r="250" spans="1:71"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row>
    <row r="251" spans="1:7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row>
    <row r="252" spans="1:71"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row>
    <row r="253" spans="1:71"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row>
    <row r="254" spans="1:71"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row>
    <row r="255" spans="1:71"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row>
    <row r="256" spans="1:71"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row>
    <row r="257" spans="1:71"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row>
    <row r="258" spans="1:71"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row>
    <row r="259" spans="1:71"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row>
    <row r="260" spans="1:71"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row>
    <row r="261" spans="1:7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row>
    <row r="262" spans="1:71"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row>
    <row r="263" spans="1:71"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row>
    <row r="264" spans="1:71"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row>
    <row r="265" spans="1:71"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row>
    <row r="266" spans="1:71"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row>
    <row r="267" spans="1:71"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row>
    <row r="268" spans="1:71"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row>
    <row r="269" spans="1:71"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row>
    <row r="270" spans="1:71"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row>
    <row r="271" spans="1: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row>
    <row r="272" spans="1:71"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row>
    <row r="273" spans="1:71"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row>
    <row r="274" spans="1:71"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row>
    <row r="275" spans="1:71"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row>
    <row r="276" spans="1:71"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row>
    <row r="277" spans="1:71"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row>
    <row r="278" spans="1:71"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row>
    <row r="279" spans="1:71"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row>
    <row r="280" spans="1:71"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row>
    <row r="281" spans="1:7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row>
    <row r="282" spans="1:71"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row>
    <row r="283" spans="1:71"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row>
    <row r="284" spans="1:71"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row>
    <row r="285" spans="1:71"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row>
    <row r="286" spans="1:71"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row>
    <row r="287" spans="1:71"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row>
    <row r="288" spans="1:71"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row>
    <row r="289" spans="1:71"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row>
    <row r="290" spans="1:71"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row>
    <row r="291" spans="1:7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row>
    <row r="292" spans="1:71"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row>
    <row r="293" spans="1:71"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row>
    <row r="294" spans="1:71"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row>
    <row r="295" spans="1:71"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row>
    <row r="296" spans="1:71" ht="15.75" customHeight="1"/>
    <row r="297" spans="1:71" ht="15.75" customHeight="1"/>
    <row r="298" spans="1:71" ht="15.75" customHeight="1"/>
    <row r="299" spans="1:71" ht="15.75" customHeight="1"/>
    <row r="300" spans="1:71" ht="15.75" customHeight="1"/>
    <row r="301" spans="1:71" ht="15.75" customHeight="1"/>
    <row r="302" spans="1:71" ht="15.75" customHeight="1"/>
    <row r="303" spans="1:71" ht="15.75" customHeight="1"/>
    <row r="304" spans="1:71"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7">
    <mergeCell ref="AM33:AP33"/>
    <mergeCell ref="AR33:AU33"/>
    <mergeCell ref="AW33:AZ33"/>
    <mergeCell ref="BB33:BE33"/>
    <mergeCell ref="D33:G33"/>
    <mergeCell ref="I33:L33"/>
    <mergeCell ref="N33:Q33"/>
    <mergeCell ref="S33:V33"/>
    <mergeCell ref="X33:AA33"/>
    <mergeCell ref="AC33:AF33"/>
    <mergeCell ref="AH33:AK33"/>
    <mergeCell ref="AM57:AP57"/>
    <mergeCell ref="AR57:AU57"/>
    <mergeCell ref="AW57:AZ57"/>
    <mergeCell ref="BB57:BE57"/>
    <mergeCell ref="D57:G57"/>
    <mergeCell ref="I57:L57"/>
    <mergeCell ref="N57:Q57"/>
    <mergeCell ref="S57:V57"/>
    <mergeCell ref="X57:AA57"/>
    <mergeCell ref="AC57:AF57"/>
    <mergeCell ref="AH57:AK57"/>
    <mergeCell ref="AM63:AP63"/>
    <mergeCell ref="AR63:AU63"/>
    <mergeCell ref="AW63:AZ63"/>
    <mergeCell ref="BB63:BE63"/>
    <mergeCell ref="D63:G63"/>
    <mergeCell ref="I63:L63"/>
    <mergeCell ref="N63:Q63"/>
    <mergeCell ref="S63:V63"/>
    <mergeCell ref="X63:AA63"/>
    <mergeCell ref="AC63:AF63"/>
    <mergeCell ref="AH63:AK63"/>
    <mergeCell ref="AM3:AP3"/>
    <mergeCell ref="AR3:AU3"/>
    <mergeCell ref="AW3:AZ3"/>
    <mergeCell ref="BB3:BE3"/>
    <mergeCell ref="D3:G3"/>
    <mergeCell ref="I3:L3"/>
    <mergeCell ref="N3:Q3"/>
    <mergeCell ref="S3:V3"/>
    <mergeCell ref="X3:AA3"/>
    <mergeCell ref="AC3:AF3"/>
    <mergeCell ref="AH3:AK3"/>
    <mergeCell ref="AM16:AP16"/>
    <mergeCell ref="AR16:AU16"/>
    <mergeCell ref="AW16:AZ16"/>
    <mergeCell ref="BB16:BE16"/>
    <mergeCell ref="D16:G16"/>
    <mergeCell ref="I16:L16"/>
    <mergeCell ref="N16:Q16"/>
    <mergeCell ref="S16:V16"/>
    <mergeCell ref="X16:AA16"/>
    <mergeCell ref="AC16:AF16"/>
    <mergeCell ref="AH16:AK16"/>
    <mergeCell ref="AM27:AP27"/>
    <mergeCell ref="AR27:AU27"/>
    <mergeCell ref="AW27:AZ27"/>
    <mergeCell ref="BB27:BE27"/>
    <mergeCell ref="D27:G27"/>
    <mergeCell ref="I27:L27"/>
    <mergeCell ref="N27:Q27"/>
    <mergeCell ref="S27:V27"/>
    <mergeCell ref="X27:AA27"/>
    <mergeCell ref="AC27:AF27"/>
    <mergeCell ref="AH27:AK27"/>
    <mergeCell ref="AM69:AP69"/>
    <mergeCell ref="AR69:AU69"/>
    <mergeCell ref="AW69:AZ69"/>
    <mergeCell ref="BB69:BE69"/>
    <mergeCell ref="D69:G69"/>
    <mergeCell ref="I69:L69"/>
    <mergeCell ref="N69:Q69"/>
    <mergeCell ref="S69:V69"/>
    <mergeCell ref="X69:AA69"/>
    <mergeCell ref="AC69:AF69"/>
    <mergeCell ref="AH69:AK69"/>
  </mergeCells>
  <hyperlinks>
    <hyperlink ref="D95" r:id="rId1" xr:uid="{00000000-0004-0000-0300-000000000000}"/>
    <hyperlink ref="I95" r:id="rId2" xr:uid="{00000000-0004-0000-0300-000001000000}"/>
    <hyperlink ref="N95" r:id="rId3" xr:uid="{00000000-0004-0000-0300-000002000000}"/>
    <hyperlink ref="S95" r:id="rId4" xr:uid="{00000000-0004-0000-0300-000003000000}"/>
    <hyperlink ref="X95" r:id="rId5" xr:uid="{00000000-0004-0000-0300-000004000000}"/>
    <hyperlink ref="AC95" r:id="rId6" xr:uid="{00000000-0004-0000-0300-000005000000}"/>
    <hyperlink ref="AH95" r:id="rId7" xr:uid="{00000000-0004-0000-0300-000006000000}"/>
    <hyperlink ref="AM95" r:id="rId8" xr:uid="{00000000-0004-0000-0300-000007000000}"/>
    <hyperlink ref="AR95" r:id="rId9" xr:uid="{00000000-0004-0000-0300-000008000000}"/>
    <hyperlink ref="AW95" r:id="rId10" xr:uid="{00000000-0004-0000-0300-000009000000}"/>
    <hyperlink ref="BB95" r:id="rId11" xr:uid="{00000000-0004-0000-0300-00000A000000}"/>
  </hyperlinks>
  <pageMargins left="0.7" right="0.7" top="0.75" bottom="0.75" header="0" footer="0"/>
  <pageSetup orientation="landscape"/>
  <rowBreaks count="2" manualBreakCount="2">
    <brk id="56" man="1"/>
    <brk id="26" man="1"/>
  </rowBreaks>
  <colBreaks count="3" manualBreakCount="3">
    <brk id="32" man="1"/>
    <brk id="17" man="1"/>
    <brk id="47" man="1"/>
  </colBreaks>
  <legacy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showGridLines="0" workbookViewId="0"/>
  </sheetViews>
  <sheetFormatPr defaultColWidth="14.42578125" defaultRowHeight="15" customHeight="1"/>
  <cols>
    <col min="1" max="2" width="2.7109375" customWidth="1"/>
    <col min="3" max="13" width="12.7109375" customWidth="1"/>
    <col min="14" max="26" width="8.85546875"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1"/>
      <c r="B2" s="37" t="s">
        <v>106</v>
      </c>
      <c r="C2" s="38"/>
      <c r="D2" s="38"/>
      <c r="E2" s="38"/>
      <c r="F2" s="38"/>
      <c r="G2" s="38"/>
      <c r="H2" s="38"/>
      <c r="I2" s="38"/>
      <c r="J2" s="38"/>
      <c r="K2" s="38"/>
      <c r="L2" s="38"/>
      <c r="M2" s="38"/>
      <c r="N2" s="1"/>
      <c r="O2" s="1"/>
      <c r="P2" s="1"/>
      <c r="Q2" s="1"/>
      <c r="R2" s="1"/>
      <c r="S2" s="1"/>
      <c r="T2" s="1"/>
      <c r="U2" s="1"/>
      <c r="V2" s="1"/>
      <c r="W2" s="1"/>
      <c r="X2" s="1"/>
      <c r="Y2" s="1"/>
      <c r="Z2" s="1"/>
    </row>
    <row r="3" spans="1:26" ht="15.75" customHeight="1">
      <c r="A3" s="1"/>
      <c r="B3" s="30"/>
      <c r="C3" s="30"/>
      <c r="D3" s="30"/>
      <c r="E3" s="30"/>
      <c r="F3" s="30"/>
      <c r="G3" s="30"/>
      <c r="H3" s="30"/>
      <c r="I3" s="30"/>
      <c r="J3" s="30"/>
      <c r="K3" s="30"/>
      <c r="L3" s="30"/>
      <c r="M3" s="30"/>
      <c r="N3" s="1"/>
      <c r="O3" s="1"/>
      <c r="P3" s="1"/>
      <c r="Q3" s="1"/>
      <c r="R3" s="1"/>
      <c r="S3" s="1"/>
      <c r="T3" s="1"/>
      <c r="U3" s="1"/>
      <c r="V3" s="1"/>
      <c r="W3" s="1"/>
      <c r="X3" s="1"/>
      <c r="Y3" s="1"/>
      <c r="Z3" s="1"/>
    </row>
    <row r="4" spans="1:26" ht="15.75" customHeight="1">
      <c r="A4" s="1"/>
      <c r="B4" s="3" t="s">
        <v>108</v>
      </c>
      <c r="C4" s="1"/>
      <c r="D4" s="1"/>
      <c r="E4" s="145"/>
      <c r="F4" s="1"/>
      <c r="G4" s="1"/>
      <c r="H4" s="1"/>
      <c r="I4" s="1"/>
      <c r="J4" s="1"/>
      <c r="K4" s="1"/>
      <c r="L4" s="1"/>
      <c r="M4" s="1"/>
      <c r="N4" s="1"/>
      <c r="O4" s="1"/>
      <c r="P4" s="1"/>
      <c r="Q4" s="1"/>
      <c r="R4" s="1"/>
      <c r="S4" s="1"/>
      <c r="T4" s="1"/>
      <c r="U4" s="1"/>
      <c r="V4" s="1"/>
      <c r="W4" s="1"/>
      <c r="X4" s="1"/>
      <c r="Y4" s="1"/>
      <c r="Z4" s="1"/>
    </row>
    <row r="5" spans="1:26" ht="15.75" customHeight="1">
      <c r="A5" s="1"/>
      <c r="B5" s="1"/>
      <c r="C5" s="1"/>
      <c r="D5" s="1"/>
      <c r="E5" s="1"/>
      <c r="F5" s="1"/>
      <c r="G5" s="1"/>
      <c r="H5" s="1"/>
      <c r="I5" s="1"/>
      <c r="J5" s="1"/>
      <c r="K5" s="1"/>
      <c r="L5" s="1"/>
      <c r="M5" s="1"/>
      <c r="N5" s="1"/>
      <c r="O5" s="1"/>
      <c r="P5" s="1"/>
      <c r="Q5" s="1"/>
      <c r="R5" s="1"/>
      <c r="S5" s="1"/>
      <c r="T5" s="1"/>
      <c r="U5" s="1"/>
      <c r="V5" s="1"/>
      <c r="W5" s="1"/>
      <c r="X5" s="1"/>
      <c r="Y5" s="1"/>
      <c r="Z5" s="1"/>
    </row>
    <row r="6" spans="1:26" ht="15.75" customHeight="1">
      <c r="A6" s="1"/>
      <c r="B6" s="3" t="s">
        <v>109</v>
      </c>
      <c r="C6" s="1"/>
      <c r="D6" s="1"/>
      <c r="E6" s="145" t="s">
        <v>89</v>
      </c>
      <c r="F6" s="1"/>
      <c r="G6" s="1"/>
      <c r="H6" s="1"/>
      <c r="I6" s="1"/>
      <c r="J6" s="1"/>
      <c r="K6" s="1"/>
      <c r="L6" s="1"/>
      <c r="M6" s="1"/>
      <c r="N6" s="1"/>
      <c r="O6" s="1"/>
      <c r="P6" s="1"/>
      <c r="Q6" s="1"/>
      <c r="R6" s="1"/>
      <c r="S6" s="1"/>
      <c r="T6" s="1"/>
      <c r="U6" s="1"/>
      <c r="V6" s="1"/>
      <c r="W6" s="1"/>
      <c r="X6" s="1"/>
      <c r="Y6" s="1"/>
      <c r="Z6" s="1"/>
    </row>
    <row r="7" spans="1:26" ht="15.75" customHeight="1">
      <c r="A7" s="1"/>
      <c r="B7" s="3" t="s">
        <v>110</v>
      </c>
      <c r="C7" s="1"/>
      <c r="D7" s="1"/>
      <c r="E7" s="147">
        <f>EOMONTH(Hist_Year,12)</f>
        <v>44196</v>
      </c>
      <c r="F7" s="1"/>
      <c r="G7" s="1"/>
      <c r="H7" s="1"/>
      <c r="I7" s="1"/>
      <c r="J7" s="1"/>
      <c r="K7" s="1"/>
      <c r="L7" s="1"/>
      <c r="M7" s="1"/>
      <c r="N7" s="1"/>
      <c r="O7" s="1"/>
      <c r="P7" s="1"/>
      <c r="Q7" s="1"/>
      <c r="R7" s="1"/>
      <c r="S7" s="1"/>
      <c r="T7" s="1"/>
      <c r="U7" s="1"/>
      <c r="V7" s="1"/>
      <c r="W7" s="1"/>
      <c r="X7" s="1"/>
      <c r="Y7" s="1"/>
      <c r="Z7" s="1"/>
    </row>
    <row r="8" spans="1:26" ht="15.75" customHeight="1">
      <c r="A8" s="1"/>
      <c r="B8" s="3" t="s">
        <v>111</v>
      </c>
      <c r="C8" s="1"/>
      <c r="D8" s="1"/>
      <c r="E8" s="147">
        <f>EOMONTH(Forward_Year_1,12)</f>
        <v>44561</v>
      </c>
      <c r="F8" s="1"/>
      <c r="G8" s="1"/>
      <c r="H8" s="1"/>
      <c r="I8" s="1"/>
      <c r="J8" s="1"/>
      <c r="K8" s="1"/>
      <c r="L8" s="1"/>
      <c r="M8" s="1"/>
      <c r="N8" s="1"/>
      <c r="O8" s="1"/>
      <c r="P8" s="1"/>
      <c r="Q8" s="1"/>
      <c r="R8" s="1"/>
      <c r="S8" s="1"/>
      <c r="T8" s="1"/>
      <c r="U8" s="1"/>
      <c r="V8" s="1"/>
      <c r="W8" s="1"/>
      <c r="X8" s="1"/>
      <c r="Y8" s="1"/>
      <c r="Z8" s="1"/>
    </row>
    <row r="9" spans="1:26" ht="15.75" customHeight="1">
      <c r="A9" s="1"/>
      <c r="B9" s="3" t="s">
        <v>112</v>
      </c>
      <c r="C9" s="1"/>
      <c r="D9" s="1"/>
      <c r="E9" s="147">
        <f>EOMONTH(Forward_Year_2,12)</f>
        <v>44926</v>
      </c>
      <c r="F9" s="1"/>
      <c r="G9" s="1"/>
      <c r="H9" s="1"/>
      <c r="I9" s="1"/>
      <c r="J9" s="1"/>
      <c r="K9" s="1"/>
      <c r="L9" s="1"/>
      <c r="M9" s="1"/>
      <c r="N9" s="1"/>
      <c r="O9" s="1"/>
      <c r="P9" s="1"/>
      <c r="Q9" s="1"/>
      <c r="R9" s="1"/>
      <c r="S9" s="1"/>
      <c r="T9" s="1"/>
      <c r="U9" s="1"/>
      <c r="V9" s="1"/>
      <c r="W9" s="1"/>
      <c r="X9" s="1"/>
      <c r="Y9" s="1"/>
      <c r="Z9" s="1"/>
    </row>
    <row r="10" spans="1:26" ht="15.75" customHeight="1">
      <c r="A10" s="1"/>
      <c r="B10" s="3"/>
      <c r="C10" s="1"/>
      <c r="D10" s="1"/>
      <c r="E10" s="148"/>
      <c r="F10" s="1"/>
      <c r="G10" s="1"/>
      <c r="H10" s="1"/>
      <c r="I10" s="1"/>
      <c r="J10" s="1"/>
      <c r="K10" s="1"/>
      <c r="L10" s="145"/>
      <c r="M10" s="1"/>
      <c r="N10" s="1"/>
      <c r="O10" s="1"/>
      <c r="P10" s="1"/>
      <c r="Q10" s="1"/>
      <c r="R10" s="1"/>
      <c r="S10" s="1"/>
      <c r="T10" s="1"/>
      <c r="U10" s="1"/>
      <c r="V10" s="1"/>
      <c r="W10" s="1"/>
      <c r="X10" s="1"/>
      <c r="Y10" s="1"/>
      <c r="Z10" s="1"/>
    </row>
    <row r="11" spans="1:26" ht="15.75" customHeight="1">
      <c r="A11" s="1"/>
      <c r="B11" s="3" t="s">
        <v>113</v>
      </c>
      <c r="C11" s="1"/>
      <c r="D11" s="1"/>
      <c r="E11" s="148"/>
      <c r="F11" s="1"/>
      <c r="G11" s="1"/>
      <c r="H11" s="3"/>
      <c r="I11" s="1"/>
      <c r="J11" s="1"/>
      <c r="K11" s="1"/>
      <c r="L11" s="145"/>
      <c r="M11" s="1"/>
      <c r="N11" s="1"/>
      <c r="O11" s="1"/>
      <c r="P11" s="1"/>
      <c r="Q11" s="1"/>
      <c r="R11" s="1"/>
      <c r="S11" s="1"/>
      <c r="T11" s="1"/>
      <c r="U11" s="1"/>
      <c r="V11" s="1"/>
      <c r="W11" s="1"/>
      <c r="X11" s="1"/>
      <c r="Y11" s="1"/>
      <c r="Z11" s="1"/>
    </row>
    <row r="12" spans="1:26" ht="15.75" customHeight="1">
      <c r="A12" s="1"/>
      <c r="B12" s="3"/>
      <c r="C12" s="1"/>
      <c r="D12" s="1"/>
      <c r="E12" s="148"/>
      <c r="F12" s="1"/>
      <c r="G12" s="1"/>
      <c r="H12" s="1"/>
      <c r="I12" s="1"/>
      <c r="J12" s="1"/>
      <c r="K12" s="1"/>
      <c r="L12" s="145"/>
      <c r="M12" s="1"/>
      <c r="N12" s="1"/>
      <c r="O12" s="1"/>
      <c r="P12" s="1"/>
      <c r="Q12" s="1"/>
      <c r="R12" s="1"/>
      <c r="S12" s="1"/>
      <c r="T12" s="1"/>
      <c r="U12" s="1"/>
      <c r="V12" s="1"/>
      <c r="W12" s="1"/>
      <c r="X12" s="1"/>
      <c r="Y12" s="1"/>
      <c r="Z12" s="1"/>
    </row>
    <row r="13" spans="1:26" ht="15.75" customHeight="1">
      <c r="A13" s="1"/>
      <c r="B13" s="3" t="s">
        <v>13</v>
      </c>
      <c r="C13" s="1"/>
      <c r="D13" s="1"/>
      <c r="E13" s="1"/>
      <c r="F13" s="150">
        <v>2</v>
      </c>
      <c r="G13" s="1"/>
      <c r="H13" s="3"/>
      <c r="I13" s="1"/>
      <c r="J13" s="1"/>
      <c r="K13" s="1"/>
      <c r="L13" s="150"/>
      <c r="M13" s="1"/>
      <c r="N13" s="1"/>
      <c r="O13" s="1"/>
      <c r="P13" s="1"/>
      <c r="Q13" s="1"/>
      <c r="R13" s="1"/>
      <c r="S13" s="1"/>
      <c r="T13" s="1"/>
      <c r="U13" s="1"/>
      <c r="V13" s="1"/>
      <c r="W13" s="1"/>
      <c r="X13" s="1"/>
      <c r="Y13" s="1"/>
      <c r="Z13" s="1"/>
    </row>
    <row r="14" spans="1:26" ht="15.75" customHeight="1">
      <c r="A14" s="1"/>
      <c r="B14" s="3" t="s">
        <v>115</v>
      </c>
      <c r="C14" s="1"/>
      <c r="D14" s="1"/>
      <c r="E14" s="1"/>
      <c r="F14" s="150">
        <v>34</v>
      </c>
      <c r="G14" s="1"/>
      <c r="H14" s="3"/>
      <c r="I14" s="1"/>
      <c r="J14" s="1"/>
      <c r="K14" s="1"/>
      <c r="L14" s="150"/>
      <c r="M14" s="1"/>
      <c r="N14" s="1"/>
      <c r="O14" s="1"/>
      <c r="P14" s="1"/>
      <c r="Q14" s="1"/>
      <c r="R14" s="1"/>
      <c r="S14" s="1"/>
      <c r="T14" s="1"/>
      <c r="U14" s="1"/>
      <c r="V14" s="1"/>
      <c r="W14" s="1"/>
      <c r="X14" s="1"/>
      <c r="Y14" s="1"/>
      <c r="Z14" s="1"/>
    </row>
    <row r="15" spans="1:26" ht="15.75" customHeight="1">
      <c r="A15" s="1"/>
      <c r="B15" s="3" t="s">
        <v>116</v>
      </c>
      <c r="C15" s="1"/>
      <c r="D15" s="1"/>
      <c r="E15" s="1"/>
      <c r="F15" s="150">
        <v>59</v>
      </c>
      <c r="G15" s="1"/>
      <c r="H15" s="3"/>
      <c r="I15" s="1"/>
      <c r="J15" s="1"/>
      <c r="K15" s="1"/>
      <c r="L15" s="150"/>
      <c r="M15" s="1"/>
      <c r="N15" s="1"/>
      <c r="O15" s="1"/>
      <c r="P15" s="1"/>
      <c r="Q15" s="1"/>
      <c r="R15" s="1"/>
      <c r="S15" s="1"/>
      <c r="T15" s="1"/>
      <c r="U15" s="1"/>
      <c r="V15" s="1"/>
      <c r="W15" s="1"/>
      <c r="X15" s="1"/>
      <c r="Y15" s="1"/>
      <c r="Z15" s="1"/>
    </row>
    <row r="16" spans="1:26" ht="15.75" customHeight="1">
      <c r="A16" s="1"/>
      <c r="B16" s="3" t="s">
        <v>117</v>
      </c>
      <c r="C16" s="1"/>
      <c r="D16" s="1"/>
      <c r="E16" s="1"/>
      <c r="F16" s="150">
        <v>60</v>
      </c>
      <c r="G16" s="1"/>
      <c r="H16" s="3"/>
      <c r="I16" s="1"/>
      <c r="J16" s="1"/>
      <c r="K16" s="1"/>
      <c r="L16" s="150"/>
      <c r="M16" s="1"/>
      <c r="N16" s="1"/>
      <c r="O16" s="1"/>
      <c r="P16" s="1"/>
      <c r="Q16" s="1"/>
      <c r="R16" s="1"/>
      <c r="S16" s="1"/>
      <c r="T16" s="1"/>
      <c r="U16" s="1"/>
      <c r="V16" s="1"/>
      <c r="W16" s="1"/>
      <c r="X16" s="1"/>
      <c r="Y16" s="1"/>
      <c r="Z16" s="1"/>
    </row>
    <row r="17" spans="1:26" ht="15.75" customHeight="1">
      <c r="A17" s="1"/>
      <c r="B17" s="3" t="s">
        <v>118</v>
      </c>
      <c r="C17" s="1"/>
      <c r="D17" s="1"/>
      <c r="E17" s="1"/>
      <c r="F17" s="150">
        <v>6</v>
      </c>
      <c r="G17" s="1"/>
      <c r="H17" s="3"/>
      <c r="I17" s="1"/>
      <c r="J17" s="1"/>
      <c r="K17" s="1"/>
      <c r="L17" s="150"/>
      <c r="M17" s="1"/>
      <c r="N17" s="1"/>
      <c r="O17" s="1"/>
      <c r="P17" s="1"/>
      <c r="Q17" s="1"/>
      <c r="R17" s="1"/>
      <c r="S17" s="1"/>
      <c r="T17" s="1"/>
      <c r="U17" s="1"/>
      <c r="V17" s="1"/>
      <c r="W17" s="1"/>
      <c r="X17" s="1"/>
      <c r="Y17" s="1"/>
      <c r="Z17" s="1"/>
    </row>
    <row r="18" spans="1:26" ht="15.75" customHeight="1">
      <c r="A18" s="1"/>
      <c r="B18" s="3" t="s">
        <v>119</v>
      </c>
      <c r="C18" s="1"/>
      <c r="D18" s="1"/>
      <c r="E18" s="1"/>
      <c r="F18" s="150">
        <v>71</v>
      </c>
      <c r="G18" s="1"/>
      <c r="H18" s="3"/>
      <c r="I18" s="1"/>
      <c r="J18" s="1"/>
      <c r="K18" s="1"/>
      <c r="L18" s="150"/>
      <c r="M18" s="1"/>
      <c r="N18" s="1"/>
      <c r="O18" s="1"/>
      <c r="P18" s="1"/>
      <c r="Q18" s="1"/>
      <c r="R18" s="1"/>
      <c r="S18" s="1"/>
      <c r="T18" s="1"/>
      <c r="U18" s="1"/>
      <c r="V18" s="1"/>
      <c r="W18" s="1"/>
      <c r="X18" s="1"/>
      <c r="Y18" s="1"/>
      <c r="Z18" s="1"/>
    </row>
    <row r="19" spans="1:26" ht="15.75" customHeight="1">
      <c r="A19" s="1"/>
      <c r="B19" s="3" t="s">
        <v>120</v>
      </c>
      <c r="C19" s="1"/>
      <c r="D19" s="1"/>
      <c r="E19" s="1"/>
      <c r="F19" s="150">
        <v>75</v>
      </c>
      <c r="G19" s="1"/>
      <c r="H19" s="3"/>
      <c r="I19" s="1"/>
      <c r="J19" s="1"/>
      <c r="K19" s="1"/>
      <c r="L19" s="150"/>
      <c r="M19" s="1"/>
      <c r="N19" s="1"/>
      <c r="O19" s="1"/>
      <c r="P19" s="1"/>
      <c r="Q19" s="1"/>
      <c r="R19" s="1"/>
      <c r="S19" s="1"/>
      <c r="T19" s="1"/>
      <c r="U19" s="1"/>
      <c r="V19" s="1"/>
      <c r="W19" s="1"/>
      <c r="X19" s="1"/>
      <c r="Y19" s="1"/>
      <c r="Z19" s="1"/>
    </row>
    <row r="20" spans="1:26" ht="15.75" customHeight="1">
      <c r="A20" s="1"/>
      <c r="B20" s="3" t="s">
        <v>121</v>
      </c>
      <c r="C20" s="1"/>
      <c r="D20" s="1"/>
      <c r="E20" s="1"/>
      <c r="F20" s="150">
        <v>12</v>
      </c>
      <c r="G20" s="1"/>
      <c r="H20" s="3"/>
      <c r="I20" s="1"/>
      <c r="J20" s="1"/>
      <c r="K20" s="1"/>
      <c r="L20" s="150"/>
      <c r="M20" s="1"/>
      <c r="N20" s="1"/>
      <c r="O20" s="1"/>
      <c r="P20" s="1"/>
      <c r="Q20" s="1"/>
      <c r="R20" s="1"/>
      <c r="S20" s="1"/>
      <c r="T20" s="1"/>
      <c r="U20" s="1"/>
      <c r="V20" s="1"/>
      <c r="W20" s="1"/>
      <c r="X20" s="1"/>
      <c r="Y20" s="1"/>
      <c r="Z20" s="1"/>
    </row>
    <row r="21" spans="1:26" ht="15.75" customHeight="1">
      <c r="A21" s="1"/>
      <c r="B21" s="3" t="s">
        <v>122</v>
      </c>
      <c r="C21" s="1"/>
      <c r="D21" s="1"/>
      <c r="E21" s="1"/>
      <c r="F21" s="150">
        <v>72</v>
      </c>
      <c r="G21" s="1"/>
      <c r="H21" s="3"/>
      <c r="I21" s="1"/>
      <c r="J21" s="1"/>
      <c r="K21" s="1"/>
      <c r="L21" s="150"/>
      <c r="M21" s="1"/>
      <c r="N21" s="1"/>
      <c r="O21" s="1"/>
      <c r="P21" s="1"/>
      <c r="Q21" s="1"/>
      <c r="R21" s="1"/>
      <c r="S21" s="1"/>
      <c r="T21" s="1"/>
      <c r="U21" s="1"/>
      <c r="V21" s="1"/>
      <c r="W21" s="1"/>
      <c r="X21" s="1"/>
      <c r="Y21" s="1"/>
      <c r="Z21" s="1"/>
    </row>
    <row r="22" spans="1:26" ht="15.75" customHeight="1">
      <c r="A22" s="1"/>
      <c r="B22" s="3" t="s">
        <v>123</v>
      </c>
      <c r="C22" s="1"/>
      <c r="D22" s="1"/>
      <c r="E22" s="1"/>
      <c r="F22" s="150">
        <v>76</v>
      </c>
      <c r="G22" s="1"/>
      <c r="H22" s="3"/>
      <c r="I22" s="1"/>
      <c r="J22" s="1"/>
      <c r="K22" s="1"/>
      <c r="L22" s="150"/>
      <c r="M22" s="1"/>
      <c r="N22" s="1"/>
      <c r="O22" s="1"/>
      <c r="P22" s="1"/>
      <c r="Q22" s="1"/>
      <c r="R22" s="1"/>
      <c r="S22" s="1"/>
      <c r="T22" s="1"/>
      <c r="U22" s="1"/>
      <c r="V22" s="1"/>
      <c r="W22" s="1"/>
      <c r="X22" s="1"/>
      <c r="Y22" s="1"/>
      <c r="Z22" s="1"/>
    </row>
    <row r="23" spans="1:26" ht="15.75" customHeight="1">
      <c r="A23" s="1"/>
      <c r="B23" s="3" t="s">
        <v>124</v>
      </c>
      <c r="C23" s="1"/>
      <c r="D23" s="1"/>
      <c r="E23" s="1"/>
      <c r="F23" s="150">
        <v>7</v>
      </c>
      <c r="G23" s="1"/>
      <c r="H23" s="3"/>
      <c r="I23" s="1"/>
      <c r="J23" s="1"/>
      <c r="K23" s="1"/>
      <c r="L23" s="150"/>
      <c r="M23" s="1"/>
      <c r="N23" s="1"/>
      <c r="O23" s="1"/>
      <c r="P23" s="1"/>
      <c r="Q23" s="1"/>
      <c r="R23" s="1"/>
      <c r="S23" s="1"/>
      <c r="T23" s="1"/>
      <c r="U23" s="1"/>
      <c r="V23" s="1"/>
      <c r="W23" s="1"/>
      <c r="X23" s="1"/>
      <c r="Y23" s="1"/>
      <c r="Z23" s="1"/>
    </row>
    <row r="24" spans="1:26" ht="15.75" customHeight="1">
      <c r="A24" s="1"/>
      <c r="B24" s="3" t="s">
        <v>125</v>
      </c>
      <c r="C24" s="1"/>
      <c r="D24" s="1"/>
      <c r="E24" s="1"/>
      <c r="F24" s="150">
        <v>73</v>
      </c>
      <c r="G24" s="1"/>
      <c r="H24" s="3"/>
      <c r="I24" s="1"/>
      <c r="J24" s="1"/>
      <c r="K24" s="1"/>
      <c r="L24" s="150"/>
      <c r="M24" s="1"/>
      <c r="N24" s="1"/>
      <c r="O24" s="1"/>
      <c r="P24" s="1"/>
      <c r="Q24" s="1"/>
      <c r="R24" s="1"/>
      <c r="S24" s="1"/>
      <c r="T24" s="1"/>
      <c r="U24" s="1"/>
      <c r="V24" s="1"/>
      <c r="W24" s="1"/>
      <c r="X24" s="1"/>
      <c r="Y24" s="1"/>
      <c r="Z24" s="1"/>
    </row>
    <row r="25" spans="1:26" ht="15.75" customHeight="1">
      <c r="A25" s="1"/>
      <c r="B25" s="3" t="s">
        <v>126</v>
      </c>
      <c r="C25" s="1"/>
      <c r="D25" s="1"/>
      <c r="E25" s="1"/>
      <c r="F25" s="150">
        <v>77</v>
      </c>
      <c r="G25" s="1"/>
      <c r="H25" s="3"/>
      <c r="I25" s="1"/>
      <c r="J25" s="1"/>
      <c r="K25" s="1"/>
      <c r="L25" s="150"/>
      <c r="M25" s="1"/>
      <c r="N25" s="1"/>
      <c r="O25" s="1"/>
      <c r="P25" s="1"/>
      <c r="Q25" s="1"/>
      <c r="R25" s="1"/>
      <c r="S25" s="1"/>
      <c r="T25" s="1"/>
      <c r="U25" s="1"/>
      <c r="V25" s="1"/>
      <c r="W25" s="1"/>
      <c r="X25" s="1"/>
      <c r="Y25" s="1"/>
      <c r="Z25" s="1"/>
    </row>
    <row r="26" spans="1:26" ht="15.75" customHeight="1">
      <c r="A26" s="1"/>
      <c r="B26" s="3" t="s">
        <v>127</v>
      </c>
      <c r="C26" s="1"/>
      <c r="D26" s="1"/>
      <c r="E26" s="1"/>
      <c r="F26" s="1">
        <v>83</v>
      </c>
      <c r="G26" s="1"/>
      <c r="H26" s="3"/>
      <c r="I26" s="1"/>
      <c r="J26" s="1"/>
      <c r="K26" s="1"/>
      <c r="L26" s="150"/>
      <c r="M26" s="1"/>
      <c r="N26" s="1"/>
      <c r="O26" s="1"/>
      <c r="P26" s="1"/>
      <c r="Q26" s="1"/>
      <c r="R26" s="1"/>
      <c r="S26" s="1"/>
      <c r="T26" s="1"/>
      <c r="U26" s="1"/>
      <c r="V26" s="1"/>
      <c r="W26" s="1"/>
      <c r="X26" s="1"/>
      <c r="Y26" s="1"/>
      <c r="Z26" s="1"/>
    </row>
    <row r="27" spans="1:26" ht="15.75" customHeight="1">
      <c r="A27" s="1"/>
      <c r="B27" s="3" t="s">
        <v>128</v>
      </c>
      <c r="C27" s="1"/>
      <c r="D27" s="1"/>
      <c r="E27" s="1"/>
      <c r="F27" s="150">
        <v>87</v>
      </c>
      <c r="G27" s="1"/>
      <c r="H27" s="1"/>
      <c r="I27" s="1"/>
      <c r="J27" s="1"/>
      <c r="K27" s="1"/>
      <c r="L27" s="150"/>
      <c r="M27" s="1"/>
      <c r="N27" s="1"/>
      <c r="O27" s="1"/>
      <c r="P27" s="1"/>
      <c r="Q27" s="1"/>
      <c r="R27" s="1"/>
      <c r="S27" s="1"/>
      <c r="T27" s="1"/>
      <c r="U27" s="1"/>
      <c r="V27" s="1"/>
      <c r="W27" s="1"/>
      <c r="X27" s="1"/>
      <c r="Y27" s="1"/>
      <c r="Z27" s="1"/>
    </row>
    <row r="28" spans="1:26" ht="15.75" customHeight="1">
      <c r="A28" s="1"/>
      <c r="B28" s="3" t="s">
        <v>129</v>
      </c>
      <c r="C28" s="1"/>
      <c r="D28" s="1"/>
      <c r="E28" s="1"/>
      <c r="F28" s="150">
        <v>91</v>
      </c>
      <c r="G28" s="1"/>
      <c r="H28" s="1"/>
      <c r="I28" s="1"/>
      <c r="J28" s="1"/>
      <c r="K28" s="1"/>
      <c r="L28" s="150"/>
      <c r="M28" s="1"/>
      <c r="N28" s="1"/>
      <c r="O28" s="1"/>
      <c r="P28" s="1"/>
      <c r="Q28" s="1"/>
      <c r="R28" s="1"/>
      <c r="S28" s="1"/>
      <c r="T28" s="1"/>
      <c r="U28" s="1"/>
      <c r="V28" s="1"/>
      <c r="W28" s="1"/>
      <c r="X28" s="1"/>
      <c r="Y28" s="1"/>
      <c r="Z28" s="1"/>
    </row>
    <row r="29" spans="1:26" ht="15.75" customHeight="1">
      <c r="A29" s="1"/>
      <c r="B29" s="3" t="s">
        <v>130</v>
      </c>
      <c r="C29" s="1"/>
      <c r="D29" s="1"/>
      <c r="E29" s="1"/>
      <c r="F29" s="150">
        <v>84</v>
      </c>
      <c r="G29" s="1"/>
      <c r="H29" s="1"/>
      <c r="I29" s="1"/>
      <c r="J29" s="1"/>
      <c r="K29" s="1"/>
      <c r="L29" s="150"/>
      <c r="M29" s="1"/>
      <c r="N29" s="1"/>
      <c r="O29" s="1"/>
      <c r="P29" s="1"/>
      <c r="Q29" s="1"/>
      <c r="R29" s="1"/>
      <c r="S29" s="1"/>
      <c r="T29" s="1"/>
      <c r="U29" s="1"/>
      <c r="V29" s="1"/>
      <c r="W29" s="1"/>
      <c r="X29" s="1"/>
      <c r="Y29" s="1"/>
      <c r="Z29" s="1"/>
    </row>
    <row r="30" spans="1:26" ht="15.75" customHeight="1">
      <c r="A30" s="1"/>
      <c r="B30" s="3" t="s">
        <v>131</v>
      </c>
      <c r="C30" s="1"/>
      <c r="D30" s="1"/>
      <c r="E30" s="1"/>
      <c r="F30" s="150">
        <v>88</v>
      </c>
      <c r="G30" s="1"/>
      <c r="H30" s="1"/>
      <c r="I30" s="1"/>
      <c r="J30" s="1"/>
      <c r="K30" s="1"/>
      <c r="L30" s="150"/>
      <c r="M30" s="1"/>
      <c r="N30" s="1"/>
      <c r="O30" s="1"/>
      <c r="P30" s="1"/>
      <c r="Q30" s="1"/>
      <c r="R30" s="1"/>
      <c r="S30" s="1"/>
      <c r="T30" s="1"/>
      <c r="U30" s="1"/>
      <c r="V30" s="1"/>
      <c r="W30" s="1"/>
      <c r="X30" s="1"/>
      <c r="Y30" s="1"/>
      <c r="Z30" s="1"/>
    </row>
    <row r="31" spans="1:26" ht="15.75" customHeight="1">
      <c r="A31" s="1"/>
      <c r="B31" s="3" t="s">
        <v>132</v>
      </c>
      <c r="C31" s="1"/>
      <c r="D31" s="1"/>
      <c r="E31" s="1"/>
      <c r="F31" s="150">
        <v>92</v>
      </c>
      <c r="G31" s="1"/>
      <c r="H31" s="1"/>
      <c r="I31" s="1"/>
      <c r="J31" s="1"/>
      <c r="K31" s="1"/>
      <c r="L31" s="150"/>
      <c r="M31" s="1"/>
      <c r="N31" s="1"/>
      <c r="O31" s="1"/>
      <c r="P31" s="1"/>
      <c r="Q31" s="1"/>
      <c r="R31" s="1"/>
      <c r="S31" s="1"/>
      <c r="T31" s="1"/>
      <c r="U31" s="1"/>
      <c r="V31" s="1"/>
      <c r="W31" s="1"/>
      <c r="X31" s="1"/>
      <c r="Y31" s="1"/>
      <c r="Z31" s="1"/>
    </row>
    <row r="32" spans="1:26" ht="15.75" customHeight="1">
      <c r="A32" s="1"/>
      <c r="B32" s="3" t="s">
        <v>133</v>
      </c>
      <c r="C32" s="1"/>
      <c r="D32" s="1"/>
      <c r="E32" s="1"/>
      <c r="F32" s="150">
        <v>85</v>
      </c>
      <c r="G32" s="1"/>
      <c r="H32" s="1"/>
      <c r="I32" s="1"/>
      <c r="J32" s="1"/>
      <c r="K32" s="1"/>
      <c r="L32" s="150"/>
      <c r="M32" s="1"/>
      <c r="N32" s="1"/>
      <c r="O32" s="1"/>
      <c r="P32" s="1"/>
      <c r="Q32" s="1"/>
      <c r="R32" s="1"/>
      <c r="S32" s="1"/>
      <c r="T32" s="1"/>
      <c r="U32" s="1"/>
      <c r="V32" s="1"/>
      <c r="W32" s="1"/>
      <c r="X32" s="1"/>
      <c r="Y32" s="1"/>
      <c r="Z32" s="1"/>
    </row>
    <row r="33" spans="1:26" ht="15.75" customHeight="1">
      <c r="A33" s="1"/>
      <c r="B33" s="3" t="s">
        <v>134</v>
      </c>
      <c r="C33" s="1"/>
      <c r="D33" s="1"/>
      <c r="E33" s="1"/>
      <c r="F33" s="1">
        <v>89</v>
      </c>
      <c r="G33" s="1"/>
      <c r="H33" s="1"/>
      <c r="I33" s="1"/>
      <c r="J33" s="1"/>
      <c r="K33" s="1"/>
      <c r="L33" s="1"/>
      <c r="M33" s="1"/>
      <c r="N33" s="1"/>
      <c r="O33" s="1"/>
      <c r="P33" s="1"/>
      <c r="Q33" s="1"/>
      <c r="R33" s="1"/>
      <c r="S33" s="1"/>
      <c r="T33" s="1"/>
      <c r="U33" s="1"/>
      <c r="V33" s="1"/>
      <c r="W33" s="1"/>
      <c r="X33" s="1"/>
      <c r="Y33" s="1"/>
      <c r="Z33" s="1"/>
    </row>
    <row r="34" spans="1:26" ht="15.75" customHeight="1">
      <c r="A34" s="1"/>
      <c r="B34" s="3" t="s">
        <v>135</v>
      </c>
      <c r="C34" s="1"/>
      <c r="D34" s="1"/>
      <c r="E34" s="1"/>
      <c r="F34" s="1">
        <v>93</v>
      </c>
      <c r="G34" s="1"/>
      <c r="H34" s="1"/>
      <c r="I34" s="1"/>
      <c r="J34" s="1"/>
      <c r="K34" s="1"/>
      <c r="L34" s="1"/>
      <c r="M34" s="1"/>
      <c r="N34" s="1"/>
      <c r="O34" s="1"/>
      <c r="P34" s="1"/>
      <c r="Q34" s="1"/>
      <c r="R34" s="1"/>
      <c r="S34" s="1"/>
      <c r="T34" s="1"/>
      <c r="U34" s="1"/>
      <c r="V34" s="1"/>
      <c r="W34" s="1"/>
      <c r="X34" s="1"/>
      <c r="Y34" s="1"/>
      <c r="Z34" s="1"/>
    </row>
    <row r="35" spans="1:26" ht="15.75" customHeight="1">
      <c r="A35" s="1"/>
      <c r="B35" s="3" t="s">
        <v>136</v>
      </c>
      <c r="C35" s="1"/>
      <c r="D35" s="1"/>
      <c r="E35" s="1"/>
      <c r="F35" s="1">
        <v>61</v>
      </c>
      <c r="G35" s="1"/>
      <c r="H35" s="1"/>
      <c r="I35" s="1"/>
      <c r="J35" s="1"/>
      <c r="K35" s="1"/>
      <c r="L35" s="1"/>
      <c r="M35" s="1"/>
      <c r="N35" s="1"/>
      <c r="O35" s="1"/>
      <c r="P35" s="1"/>
      <c r="Q35" s="1"/>
      <c r="R35" s="1"/>
      <c r="S35" s="1"/>
      <c r="T35" s="1"/>
      <c r="U35" s="1"/>
      <c r="V35" s="1"/>
      <c r="W35" s="1"/>
      <c r="X35" s="1"/>
      <c r="Y35" s="1"/>
      <c r="Z35" s="1"/>
    </row>
    <row r="36" spans="1:26" ht="15.75" customHeight="1">
      <c r="A36" s="1"/>
      <c r="B36" s="3" t="s">
        <v>137</v>
      </c>
      <c r="C36" s="1"/>
      <c r="D36" s="1"/>
      <c r="E36" s="1"/>
      <c r="F36" s="1">
        <v>21</v>
      </c>
      <c r="G36" s="1"/>
      <c r="H36" s="1"/>
      <c r="I36" s="1"/>
      <c r="J36" s="1"/>
      <c r="K36" s="1"/>
      <c r="L36" s="1"/>
      <c r="M36" s="1"/>
      <c r="N36" s="1"/>
      <c r="O36" s="1"/>
      <c r="P36" s="1"/>
      <c r="Q36" s="1"/>
      <c r="R36" s="1"/>
      <c r="S36" s="1"/>
      <c r="T36" s="1"/>
      <c r="U36" s="1"/>
      <c r="V36" s="1"/>
      <c r="W36" s="1"/>
      <c r="X36" s="1"/>
      <c r="Y36" s="1"/>
      <c r="Z36" s="1"/>
    </row>
    <row r="37" spans="1:26" ht="15.75" customHeight="1">
      <c r="A37" s="1"/>
      <c r="B37" s="3" t="s">
        <v>138</v>
      </c>
      <c r="C37" s="1"/>
      <c r="D37" s="1"/>
      <c r="E37" s="1"/>
      <c r="F37" s="1">
        <v>22</v>
      </c>
      <c r="G37" s="1"/>
      <c r="H37" s="1"/>
      <c r="I37" s="1"/>
      <c r="J37" s="1"/>
      <c r="K37" s="1"/>
      <c r="L37" s="1"/>
      <c r="M37" s="1"/>
      <c r="N37" s="1"/>
      <c r="O37" s="1"/>
      <c r="P37" s="1"/>
      <c r="Q37" s="1"/>
      <c r="R37" s="1"/>
      <c r="S37" s="1"/>
      <c r="T37" s="1"/>
      <c r="U37" s="1"/>
      <c r="V37" s="1"/>
      <c r="W37" s="1"/>
      <c r="X37" s="1"/>
      <c r="Y37" s="1"/>
      <c r="Z37" s="1"/>
    </row>
    <row r="38" spans="1:26" ht="15.75" customHeight="1">
      <c r="A38" s="1"/>
      <c r="B38" s="3" t="s">
        <v>139</v>
      </c>
      <c r="C38" s="1"/>
      <c r="D38" s="1"/>
      <c r="E38" s="1"/>
      <c r="F38" s="1">
        <v>14</v>
      </c>
      <c r="G38" s="1"/>
      <c r="H38" s="1"/>
      <c r="I38" s="1"/>
      <c r="J38" s="1"/>
      <c r="K38" s="1"/>
      <c r="L38" s="1"/>
      <c r="M38" s="1"/>
      <c r="N38" s="1"/>
      <c r="O38" s="1"/>
      <c r="P38" s="1"/>
      <c r="Q38" s="1"/>
      <c r="R38" s="1"/>
      <c r="S38" s="1"/>
      <c r="T38" s="1"/>
      <c r="U38" s="1"/>
      <c r="V38" s="1"/>
      <c r="W38" s="1"/>
      <c r="X38" s="1"/>
      <c r="Y38" s="1"/>
      <c r="Z38" s="1"/>
    </row>
    <row r="39" spans="1:26" ht="15.75" customHeight="1">
      <c r="A39" s="1"/>
      <c r="B39" s="3"/>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scale="82"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98"/>
  <sheetViews>
    <sheetView showGridLines="0" tabSelected="1" topLeftCell="A116" workbookViewId="0">
      <selection activeCell="J136" sqref="J136"/>
    </sheetView>
  </sheetViews>
  <sheetFormatPr defaultColWidth="14.42578125" defaultRowHeight="15" customHeight="1" outlineLevelRow="2" outlineLevelCol="1"/>
  <cols>
    <col min="1" max="2" width="2.7109375" customWidth="1"/>
    <col min="3" max="3" width="47.7109375" customWidth="1"/>
    <col min="4" max="4" width="12.7109375" customWidth="1"/>
    <col min="5" max="8" width="12.7109375" customWidth="1" outlineLevel="1"/>
    <col min="9" max="9" width="11.5703125" customWidth="1"/>
    <col min="10" max="19" width="12.7109375" customWidth="1"/>
    <col min="20" max="20" width="2.7109375" customWidth="1"/>
    <col min="21" max="26" width="8.85546875" customWidth="1"/>
  </cols>
  <sheetData>
    <row r="1" spans="1:26" ht="15.75" customHeight="1">
      <c r="A1" s="1"/>
      <c r="B1" s="1"/>
      <c r="C1" s="1"/>
      <c r="D1" s="72"/>
      <c r="E1" s="72"/>
      <c r="F1" s="72"/>
      <c r="G1" s="1"/>
      <c r="H1" s="1"/>
      <c r="I1" s="1"/>
      <c r="J1" s="1"/>
      <c r="K1" s="1"/>
      <c r="L1" s="1"/>
      <c r="M1" s="1"/>
      <c r="N1" s="1"/>
      <c r="O1" s="1"/>
      <c r="P1" s="1"/>
      <c r="Q1" s="1"/>
      <c r="R1" s="1"/>
      <c r="S1" s="1"/>
      <c r="T1" s="1"/>
      <c r="U1" s="1"/>
      <c r="V1" s="1"/>
      <c r="W1" s="1"/>
      <c r="X1" s="1"/>
      <c r="Y1" s="1"/>
      <c r="Z1" s="1"/>
    </row>
    <row r="2" spans="1:26" ht="15.75" customHeight="1">
      <c r="A2" s="1"/>
      <c r="B2" s="2" t="str">
        <f>Company_Name&amp;" - Operating Model and DCF Analysis - "&amp;Scenario&amp;" Case"</f>
        <v>Activision Blizzard - Operating Model and DCF Analysis - Base Case</v>
      </c>
      <c r="C2" s="1"/>
      <c r="D2" s="72"/>
      <c r="E2" s="72"/>
      <c r="F2" s="72"/>
      <c r="G2" s="1"/>
      <c r="H2" s="1"/>
      <c r="I2" s="1"/>
      <c r="J2" s="1"/>
      <c r="K2" s="1"/>
      <c r="L2" s="1"/>
      <c r="M2" s="1"/>
      <c r="N2" s="1"/>
      <c r="O2" s="1"/>
      <c r="P2" s="1"/>
      <c r="Q2" s="1"/>
      <c r="R2" s="1"/>
      <c r="S2" s="1"/>
      <c r="T2" s="1"/>
      <c r="U2" s="1"/>
      <c r="V2" s="1"/>
      <c r="W2" s="1"/>
      <c r="X2" s="1"/>
      <c r="Y2" s="1"/>
      <c r="Z2" s="1"/>
    </row>
    <row r="3" spans="1:26" ht="15.75" customHeight="1">
      <c r="A3" s="1"/>
      <c r="B3" s="1" t="s">
        <v>147</v>
      </c>
      <c r="C3" s="1"/>
      <c r="D3" s="72"/>
      <c r="E3" s="72"/>
      <c r="F3" s="72"/>
      <c r="G3" s="1"/>
      <c r="H3" s="1"/>
      <c r="I3" s="1"/>
      <c r="J3" s="1"/>
      <c r="K3" s="1"/>
      <c r="L3" s="1"/>
      <c r="M3" s="1"/>
      <c r="N3" s="1"/>
      <c r="O3" s="1"/>
      <c r="P3" s="1"/>
      <c r="Q3" s="1"/>
      <c r="R3" s="1"/>
      <c r="S3" s="1"/>
      <c r="T3" s="1"/>
      <c r="U3" s="1"/>
      <c r="V3" s="1"/>
      <c r="W3" s="1"/>
      <c r="X3" s="1"/>
      <c r="Y3" s="1"/>
      <c r="Z3" s="1"/>
    </row>
    <row r="4" spans="1:26" ht="15.75" customHeight="1">
      <c r="A4" s="1"/>
      <c r="B4" s="1"/>
      <c r="C4" s="1"/>
      <c r="D4" s="72"/>
      <c r="E4" s="72"/>
      <c r="F4" s="72"/>
      <c r="G4" s="1"/>
      <c r="H4" s="1"/>
      <c r="I4" s="1"/>
      <c r="J4" s="1"/>
      <c r="K4" s="1"/>
      <c r="L4" s="1"/>
      <c r="M4" s="1"/>
      <c r="N4" s="1"/>
      <c r="O4" s="1"/>
      <c r="P4" s="1"/>
      <c r="Q4" s="1"/>
      <c r="R4" s="1"/>
      <c r="S4" s="1"/>
      <c r="T4" s="1"/>
      <c r="U4" s="1"/>
      <c r="V4" s="1"/>
      <c r="W4" s="1"/>
      <c r="X4" s="1"/>
      <c r="Y4" s="1"/>
      <c r="Z4" s="1"/>
    </row>
    <row r="5" spans="1:26" ht="15.75" customHeight="1">
      <c r="A5" s="1"/>
      <c r="B5" s="172" t="s">
        <v>148</v>
      </c>
      <c r="C5" s="173"/>
      <c r="D5" s="173"/>
      <c r="E5" s="173"/>
      <c r="F5" s="173"/>
      <c r="G5" s="173"/>
      <c r="H5" s="173"/>
      <c r="I5" s="173"/>
      <c r="J5" s="173"/>
      <c r="K5" s="173"/>
      <c r="L5" s="173"/>
      <c r="M5" s="173"/>
      <c r="N5" s="173"/>
      <c r="O5" s="173"/>
      <c r="P5" s="173"/>
      <c r="Q5" s="173"/>
      <c r="R5" s="173"/>
      <c r="S5" s="1"/>
      <c r="T5" s="1"/>
      <c r="U5" s="1"/>
      <c r="V5" s="1"/>
      <c r="W5" s="1"/>
      <c r="X5" s="1"/>
      <c r="Y5" s="1"/>
      <c r="Z5" s="1"/>
    </row>
    <row r="6" spans="1:26" ht="15.75" customHeight="1" outlineLevel="1">
      <c r="A6" s="1"/>
      <c r="B6" s="3"/>
      <c r="C6" s="1"/>
      <c r="D6" s="72"/>
      <c r="E6" s="72"/>
      <c r="F6" s="72"/>
      <c r="G6" s="1"/>
      <c r="H6" s="1"/>
      <c r="I6" s="72"/>
      <c r="J6" s="1"/>
      <c r="K6" s="1"/>
      <c r="L6" s="1"/>
      <c r="M6" s="1"/>
      <c r="N6" s="1"/>
      <c r="O6" s="1"/>
      <c r="P6" s="1"/>
      <c r="Q6" s="1"/>
      <c r="R6" s="1"/>
      <c r="S6" s="1"/>
      <c r="T6" s="1"/>
      <c r="U6" s="1"/>
      <c r="V6" s="1"/>
      <c r="W6" s="1"/>
      <c r="X6" s="1"/>
      <c r="Y6" s="1"/>
      <c r="Z6" s="1"/>
    </row>
    <row r="7" spans="1:26" ht="15.75" customHeight="1" outlineLevel="1">
      <c r="A7" s="1"/>
      <c r="B7" s="1"/>
      <c r="C7" s="1" t="s">
        <v>149</v>
      </c>
      <c r="D7" s="174" t="s">
        <v>150</v>
      </c>
      <c r="E7" s="174"/>
      <c r="F7" s="72"/>
      <c r="G7" s="1" t="s">
        <v>151</v>
      </c>
      <c r="H7" s="1"/>
      <c r="I7" s="23"/>
      <c r="J7" s="175">
        <v>43830</v>
      </c>
      <c r="K7" s="1"/>
      <c r="L7" s="1"/>
      <c r="M7" s="176"/>
      <c r="N7" s="1"/>
      <c r="O7" s="1"/>
      <c r="P7" s="1"/>
      <c r="Q7" s="1"/>
      <c r="R7" s="1"/>
      <c r="S7" s="1"/>
      <c r="T7" s="1"/>
      <c r="U7" s="1"/>
      <c r="V7" s="1"/>
      <c r="W7" s="1"/>
      <c r="X7" s="1"/>
      <c r="Y7" s="1"/>
      <c r="Z7" s="1"/>
    </row>
    <row r="8" spans="1:26" ht="15.75" customHeight="1" outlineLevel="1">
      <c r="A8" s="1"/>
      <c r="B8" s="1"/>
      <c r="C8" s="1" t="s">
        <v>152</v>
      </c>
      <c r="D8" s="177" t="s">
        <v>153</v>
      </c>
      <c r="E8" s="72"/>
      <c r="F8" s="72"/>
      <c r="G8" s="1" t="s">
        <v>154</v>
      </c>
      <c r="H8" s="1"/>
      <c r="I8" s="80"/>
      <c r="J8" s="178">
        <f>EOMONTH(Hist_Year,12)</f>
        <v>44196</v>
      </c>
      <c r="K8" s="1"/>
      <c r="L8" s="1"/>
      <c r="M8" s="23"/>
      <c r="N8" s="1"/>
      <c r="O8" s="1"/>
      <c r="P8" s="1"/>
      <c r="Q8" s="1"/>
      <c r="R8" s="1"/>
      <c r="S8" s="1"/>
      <c r="T8" s="1"/>
      <c r="U8" s="1"/>
      <c r="V8" s="1"/>
      <c r="W8" s="1"/>
      <c r="X8" s="1"/>
      <c r="Y8" s="1"/>
      <c r="Z8" s="1"/>
    </row>
    <row r="9" spans="1:26" ht="15.75" customHeight="1" outlineLevel="1">
      <c r="A9" s="1"/>
      <c r="B9" s="1"/>
      <c r="C9" s="1" t="s">
        <v>155</v>
      </c>
      <c r="D9" s="179">
        <v>1000000</v>
      </c>
      <c r="E9" s="72"/>
      <c r="F9" s="1"/>
      <c r="G9" s="1" t="s">
        <v>156</v>
      </c>
      <c r="H9" s="1"/>
      <c r="I9" s="80"/>
      <c r="J9" s="175">
        <v>43830</v>
      </c>
      <c r="K9" s="1"/>
      <c r="L9" s="1"/>
      <c r="M9" s="176"/>
      <c r="N9" s="1"/>
      <c r="O9" s="1"/>
      <c r="P9" s="1"/>
      <c r="Q9" s="1"/>
      <c r="R9" s="1"/>
      <c r="S9" s="1"/>
      <c r="T9" s="1"/>
      <c r="U9" s="1"/>
      <c r="V9" s="1"/>
      <c r="W9" s="1"/>
      <c r="X9" s="1"/>
      <c r="Y9" s="1"/>
      <c r="Z9" s="1"/>
    </row>
    <row r="10" spans="1:26" ht="15.75" customHeight="1" outlineLevel="1">
      <c r="A10" s="1"/>
      <c r="B10" s="1"/>
      <c r="C10" s="1"/>
      <c r="D10" s="72"/>
      <c r="E10" s="72"/>
      <c r="F10" s="1"/>
      <c r="G10" s="1" t="s">
        <v>157</v>
      </c>
      <c r="H10" s="1"/>
      <c r="I10" s="180"/>
      <c r="J10" s="175">
        <v>43872</v>
      </c>
      <c r="K10" s="1"/>
      <c r="L10" s="1"/>
      <c r="M10" s="121"/>
      <c r="N10" s="1"/>
      <c r="O10" s="1"/>
      <c r="P10" s="1"/>
      <c r="Q10" s="1"/>
      <c r="R10" s="1"/>
      <c r="S10" s="1"/>
      <c r="T10" s="1"/>
      <c r="U10" s="1"/>
      <c r="V10" s="1"/>
      <c r="W10" s="1"/>
      <c r="X10" s="1"/>
      <c r="Y10" s="1"/>
      <c r="Z10" s="1"/>
    </row>
    <row r="11" spans="1:26" ht="15.75" customHeight="1" outlineLevel="1">
      <c r="A11" s="1"/>
      <c r="B11" s="1"/>
      <c r="C11" s="1" t="s">
        <v>158</v>
      </c>
      <c r="D11" s="181">
        <v>61.19</v>
      </c>
      <c r="E11" s="72"/>
      <c r="F11" s="1"/>
      <c r="G11" s="1"/>
      <c r="H11" s="1"/>
      <c r="I11" s="1"/>
      <c r="J11" s="1"/>
      <c r="K11" s="1"/>
      <c r="L11" s="1"/>
      <c r="M11" s="121"/>
      <c r="N11" s="1"/>
      <c r="O11" s="1"/>
      <c r="P11" s="1"/>
      <c r="Q11" s="1"/>
      <c r="R11" s="1"/>
      <c r="S11" s="1"/>
      <c r="T11" s="1"/>
      <c r="U11" s="1"/>
      <c r="V11" s="1"/>
      <c r="W11" s="1"/>
      <c r="X11" s="1"/>
      <c r="Y11" s="1"/>
      <c r="Z11" s="1"/>
    </row>
    <row r="12" spans="1:26" ht="15.75" customHeight="1" outlineLevel="1">
      <c r="A12" s="1"/>
      <c r="B12" s="1"/>
      <c r="C12" s="1" t="s">
        <v>96</v>
      </c>
      <c r="D12" s="182">
        <v>0.19189999999999999</v>
      </c>
      <c r="E12" s="1"/>
      <c r="F12" s="72"/>
      <c r="G12" s="1"/>
      <c r="H12" s="1"/>
      <c r="I12" s="1"/>
      <c r="J12" s="1"/>
      <c r="K12" s="1"/>
      <c r="L12" s="1"/>
      <c r="M12" s="1"/>
      <c r="N12" s="1"/>
      <c r="O12" s="1"/>
      <c r="P12" s="1"/>
      <c r="Q12" s="1"/>
      <c r="R12" s="1"/>
      <c r="S12" s="1"/>
      <c r="T12" s="1"/>
      <c r="U12" s="1"/>
      <c r="V12" s="1"/>
      <c r="W12" s="1"/>
      <c r="X12" s="1"/>
      <c r="Y12" s="1"/>
      <c r="Z12" s="1"/>
    </row>
    <row r="13" spans="1:26" ht="15.75" customHeight="1" outlineLevel="1">
      <c r="A13" s="1"/>
      <c r="B13" s="1"/>
      <c r="C13" s="1"/>
      <c r="D13" s="183"/>
      <c r="E13" s="66"/>
      <c r="F13" s="72"/>
      <c r="G13" s="1"/>
      <c r="H13" s="1"/>
      <c r="I13" s="1"/>
      <c r="J13" s="1"/>
      <c r="K13" s="1"/>
      <c r="L13" s="1"/>
      <c r="M13" s="1"/>
      <c r="N13" s="1"/>
      <c r="O13" s="1"/>
      <c r="P13" s="1"/>
      <c r="Q13" s="1"/>
      <c r="R13" s="1"/>
      <c r="S13" s="1"/>
      <c r="T13" s="1"/>
      <c r="U13" s="1"/>
      <c r="V13" s="1"/>
      <c r="W13" s="1"/>
      <c r="X13" s="1"/>
      <c r="Y13" s="1"/>
      <c r="Z13" s="1"/>
    </row>
    <row r="14" spans="1:26" ht="15.75" customHeight="1" outlineLevel="1">
      <c r="A14" s="1"/>
      <c r="B14" s="1"/>
      <c r="C14" s="1" t="s">
        <v>159</v>
      </c>
      <c r="D14" s="184" t="s">
        <v>160</v>
      </c>
      <c r="E14" s="66"/>
      <c r="F14" s="72"/>
      <c r="G14" s="1"/>
      <c r="H14" s="1"/>
      <c r="I14" s="1"/>
      <c r="J14" s="1"/>
      <c r="K14" s="1"/>
      <c r="L14" s="1"/>
      <c r="M14" s="1"/>
      <c r="N14" s="1"/>
      <c r="O14" s="1"/>
      <c r="P14" s="1"/>
      <c r="Q14" s="1"/>
      <c r="R14" s="1"/>
      <c r="S14" s="1"/>
      <c r="T14" s="1"/>
      <c r="U14" s="1"/>
      <c r="V14" s="1"/>
      <c r="W14" s="1"/>
      <c r="X14" s="1"/>
      <c r="Y14" s="1"/>
      <c r="Z14" s="1"/>
    </row>
    <row r="15" spans="1:26" ht="15.75" customHeight="1" outlineLevel="1">
      <c r="A15" s="1"/>
      <c r="B15" s="1"/>
      <c r="C15" s="1"/>
      <c r="D15" s="183"/>
      <c r="E15" s="66"/>
      <c r="F15" s="72"/>
      <c r="G15" s="1"/>
      <c r="H15" s="1"/>
      <c r="I15" s="1"/>
      <c r="J15" s="1"/>
      <c r="K15" s="1"/>
      <c r="L15" s="1"/>
      <c r="M15" s="1"/>
      <c r="N15" s="1"/>
      <c r="O15" s="1"/>
      <c r="P15" s="1"/>
      <c r="Q15" s="1"/>
      <c r="R15" s="1"/>
      <c r="S15" s="1"/>
      <c r="T15" s="1"/>
      <c r="U15" s="1"/>
      <c r="V15" s="1"/>
      <c r="W15" s="1"/>
      <c r="X15" s="1"/>
      <c r="Y15" s="1"/>
      <c r="Z15" s="1"/>
    </row>
    <row r="16" spans="1:26" ht="15.75" customHeight="1" outlineLevel="1">
      <c r="A16" s="1"/>
      <c r="B16" s="1"/>
      <c r="C16" s="1" t="s">
        <v>161</v>
      </c>
      <c r="D16" s="185">
        <v>0.9</v>
      </c>
      <c r="E16" s="72"/>
      <c r="F16" s="72"/>
      <c r="G16" s="1"/>
      <c r="H16" s="1"/>
      <c r="I16" s="1"/>
      <c r="J16" s="1"/>
      <c r="K16" s="1"/>
      <c r="L16" s="1"/>
      <c r="M16" s="1"/>
      <c r="N16" s="1"/>
      <c r="O16" s="1"/>
      <c r="P16" s="1"/>
      <c r="Q16" s="1"/>
      <c r="R16" s="1"/>
      <c r="S16" s="1"/>
      <c r="T16" s="1"/>
      <c r="U16" s="1"/>
      <c r="V16" s="1"/>
      <c r="W16" s="1"/>
      <c r="X16" s="1"/>
      <c r="Y16" s="1"/>
      <c r="Z16" s="1"/>
    </row>
    <row r="17" spans="1:26" ht="15.75" customHeight="1" outlineLevel="1">
      <c r="A17" s="1"/>
      <c r="B17" s="1"/>
      <c r="C17" s="1" t="s">
        <v>162</v>
      </c>
      <c r="D17" s="185">
        <v>0.6</v>
      </c>
      <c r="E17" s="1"/>
      <c r="F17" s="72"/>
      <c r="G17" s="1"/>
      <c r="H17" s="1"/>
      <c r="I17" s="1"/>
      <c r="J17" s="1"/>
      <c r="K17" s="1"/>
      <c r="L17" s="1"/>
      <c r="M17" s="1"/>
      <c r="N17" s="1"/>
      <c r="O17" s="1"/>
      <c r="P17" s="1"/>
      <c r="Q17" s="1"/>
      <c r="R17" s="1"/>
      <c r="S17" s="1"/>
      <c r="T17" s="1"/>
      <c r="U17" s="1"/>
      <c r="V17" s="1"/>
      <c r="W17" s="1"/>
      <c r="X17" s="1"/>
      <c r="Y17" s="1"/>
      <c r="Z17" s="1"/>
    </row>
    <row r="18" spans="1:26" ht="15.75" customHeight="1">
      <c r="A18" s="1"/>
      <c r="B18" s="1"/>
      <c r="C18" s="1"/>
      <c r="D18" s="72"/>
      <c r="E18" s="72"/>
      <c r="F18" s="72"/>
      <c r="G18" s="1"/>
      <c r="H18" s="1"/>
      <c r="I18" s="1"/>
      <c r="J18" s="1"/>
      <c r="K18" s="1"/>
      <c r="L18" s="1"/>
      <c r="M18" s="1"/>
      <c r="N18" s="1"/>
      <c r="O18" s="1"/>
      <c r="P18" s="1"/>
      <c r="Q18" s="1"/>
      <c r="R18" s="1"/>
      <c r="S18" s="1"/>
      <c r="T18" s="1"/>
      <c r="U18" s="1"/>
      <c r="V18" s="1"/>
      <c r="W18" s="1"/>
      <c r="X18" s="1"/>
      <c r="Y18" s="1"/>
      <c r="Z18" s="1"/>
    </row>
    <row r="19" spans="1:26" ht="15.75" customHeight="1">
      <c r="A19" s="1"/>
      <c r="B19" s="186"/>
      <c r="C19" s="186"/>
      <c r="D19" s="187"/>
      <c r="E19" s="384" t="str">
        <f ca="1">$E$19</f>
        <v>Historical</v>
      </c>
      <c r="F19" s="384"/>
      <c r="G19" s="384"/>
      <c r="H19" s="384"/>
      <c r="I19" s="382" t="str">
        <f ca="1">$I$19</f>
        <v>Projected</v>
      </c>
      <c r="J19" s="383"/>
      <c r="K19" s="383"/>
      <c r="L19" s="383"/>
      <c r="M19" s="383"/>
      <c r="N19" s="383"/>
      <c r="O19" s="383"/>
      <c r="P19" s="383"/>
      <c r="Q19" s="383"/>
      <c r="R19" s="385"/>
      <c r="S19" s="385"/>
      <c r="T19" s="1"/>
      <c r="U19" s="1"/>
      <c r="V19" s="1"/>
      <c r="W19" s="1"/>
      <c r="X19" s="1"/>
      <c r="Y19" s="1"/>
      <c r="Z19" s="1"/>
    </row>
    <row r="20" spans="1:26" ht="15.75" customHeight="1">
      <c r="A20" s="188"/>
      <c r="B20" s="189" t="s">
        <v>163</v>
      </c>
      <c r="C20" s="189"/>
      <c r="D20" s="190" t="s">
        <v>164</v>
      </c>
      <c r="E20" s="191">
        <f t="shared" ref="E20:G20" si="0">EOMONTH(F20,-12)</f>
        <v>42735</v>
      </c>
      <c r="F20" s="191">
        <f t="shared" si="0"/>
        <v>43100</v>
      </c>
      <c r="G20" s="191">
        <f t="shared" si="0"/>
        <v>43465</v>
      </c>
      <c r="H20" s="192">
        <f>Hist_Year</f>
        <v>43830</v>
      </c>
      <c r="I20" s="191">
        <f t="shared" ref="I20:R20" si="1">EOMONTH(H20,12)</f>
        <v>44196</v>
      </c>
      <c r="J20" s="191">
        <f t="shared" si="1"/>
        <v>44561</v>
      </c>
      <c r="K20" s="191">
        <f t="shared" si="1"/>
        <v>44926</v>
      </c>
      <c r="L20" s="191">
        <f t="shared" si="1"/>
        <v>45291</v>
      </c>
      <c r="M20" s="191">
        <f t="shared" si="1"/>
        <v>45657</v>
      </c>
      <c r="N20" s="191">
        <f t="shared" si="1"/>
        <v>46022</v>
      </c>
      <c r="O20" s="191">
        <f t="shared" si="1"/>
        <v>46387</v>
      </c>
      <c r="P20" s="191">
        <f t="shared" si="1"/>
        <v>46752</v>
      </c>
      <c r="Q20" s="191">
        <f t="shared" si="1"/>
        <v>47118</v>
      </c>
      <c r="R20" s="191">
        <f t="shared" si="1"/>
        <v>47483</v>
      </c>
      <c r="S20" s="191"/>
      <c r="T20" s="1"/>
      <c r="U20" s="1"/>
      <c r="V20" s="1"/>
      <c r="W20" s="1"/>
      <c r="X20" s="1"/>
      <c r="Y20" s="1"/>
      <c r="Z20" s="1"/>
    </row>
    <row r="21" spans="1:26" ht="15.75" customHeight="1" outlineLevel="1">
      <c r="A21" s="188"/>
      <c r="B21" s="1"/>
      <c r="C21" s="1"/>
      <c r="D21" s="72"/>
      <c r="E21" s="193"/>
      <c r="F21" s="193"/>
      <c r="G21" s="193"/>
      <c r="H21" s="193"/>
      <c r="I21" s="193"/>
      <c r="J21" s="193"/>
      <c r="K21" s="193"/>
      <c r="L21" s="193"/>
      <c r="M21" s="194"/>
      <c r="N21" s="1"/>
      <c r="O21" s="1"/>
      <c r="P21" s="1"/>
      <c r="Q21" s="1"/>
      <c r="R21" s="1"/>
      <c r="S21" s="1"/>
      <c r="T21" s="1"/>
      <c r="U21" s="1"/>
      <c r="V21" s="1"/>
      <c r="W21" s="1"/>
      <c r="X21" s="1"/>
      <c r="Y21" s="1"/>
      <c r="Z21" s="1"/>
    </row>
    <row r="22" spans="1:26" ht="15.75" customHeight="1" outlineLevel="1">
      <c r="A22" s="188"/>
      <c r="B22" s="1"/>
      <c r="C22" s="37" t="s">
        <v>165</v>
      </c>
      <c r="D22" s="195"/>
      <c r="E22" s="196">
        <f>$E$20</f>
        <v>42735</v>
      </c>
      <c r="F22" s="196">
        <f>$F$20</f>
        <v>43100</v>
      </c>
      <c r="G22" s="196">
        <f>$G$20</f>
        <v>43465</v>
      </c>
      <c r="H22" s="197">
        <f>$H$20</f>
        <v>43830</v>
      </c>
      <c r="I22" s="196">
        <f>$I$20</f>
        <v>44196</v>
      </c>
      <c r="J22" s="196">
        <f>$J$20</f>
        <v>44561</v>
      </c>
      <c r="K22" s="196">
        <f>$K$20</f>
        <v>44926</v>
      </c>
      <c r="L22" s="196">
        <f>$L$20</f>
        <v>45291</v>
      </c>
      <c r="M22" s="196">
        <f>$M$20</f>
        <v>45657</v>
      </c>
      <c r="N22" s="196">
        <f>$N$20</f>
        <v>46022</v>
      </c>
      <c r="O22" s="196">
        <f>$O$20</f>
        <v>46387</v>
      </c>
      <c r="P22" s="196">
        <f>$P$20</f>
        <v>46752</v>
      </c>
      <c r="Q22" s="196">
        <f>$Q$20</f>
        <v>47118</v>
      </c>
      <c r="R22" s="196">
        <f>$R$20</f>
        <v>47483</v>
      </c>
      <c r="S22" s="196"/>
      <c r="T22" s="1"/>
      <c r="U22" s="1"/>
      <c r="V22" s="1"/>
      <c r="W22" s="1"/>
      <c r="X22" s="1"/>
      <c r="Y22" s="1"/>
      <c r="Z22" s="1"/>
    </row>
    <row r="23" spans="1:26" ht="15.75" customHeight="1" outlineLevel="1">
      <c r="A23" s="188"/>
      <c r="B23" s="1"/>
      <c r="C23" s="3"/>
      <c r="D23" s="72"/>
      <c r="E23" s="193"/>
      <c r="F23" s="193"/>
      <c r="G23" s="193"/>
      <c r="H23" s="193"/>
      <c r="I23" s="193"/>
      <c r="J23" s="193"/>
      <c r="K23" s="193"/>
      <c r="L23" s="193"/>
      <c r="M23" s="193"/>
      <c r="N23" s="1"/>
      <c r="O23" s="1"/>
      <c r="P23" s="1"/>
      <c r="Q23" s="1"/>
      <c r="R23" s="1"/>
      <c r="S23" s="1"/>
      <c r="T23" s="1"/>
      <c r="U23" s="1"/>
      <c r="V23" s="1"/>
      <c r="W23" s="1"/>
      <c r="X23" s="1"/>
      <c r="Y23" s="1"/>
      <c r="Z23" s="1"/>
    </row>
    <row r="24" spans="1:26" ht="15.75" customHeight="1" outlineLevel="1">
      <c r="A24" s="1"/>
      <c r="B24" s="1"/>
      <c r="C24" s="198"/>
      <c r="D24" s="1"/>
      <c r="E24" s="199"/>
      <c r="F24" s="199"/>
      <c r="G24" s="199"/>
      <c r="H24" s="199"/>
      <c r="I24" s="199"/>
      <c r="J24" s="199"/>
      <c r="K24" s="199"/>
      <c r="L24" s="199"/>
      <c r="M24" s="199"/>
      <c r="N24" s="199"/>
      <c r="O24" s="199"/>
      <c r="P24" s="199"/>
      <c r="Q24" s="199"/>
      <c r="R24" s="200"/>
      <c r="S24" s="1"/>
      <c r="T24" s="1"/>
      <c r="U24" s="1"/>
      <c r="V24" s="1"/>
      <c r="W24" s="1"/>
      <c r="X24" s="1"/>
      <c r="Y24" s="1"/>
      <c r="Z24" s="1"/>
    </row>
    <row r="25" spans="1:26" ht="15.75" customHeight="1" outlineLevel="1">
      <c r="A25" s="1"/>
      <c r="B25" s="1"/>
      <c r="C25" s="198" t="s">
        <v>166</v>
      </c>
      <c r="D25" s="201" t="s">
        <v>167</v>
      </c>
      <c r="E25" s="202">
        <v>25.652999999999999</v>
      </c>
      <c r="F25" s="202">
        <v>25.398</v>
      </c>
      <c r="G25" s="202">
        <v>24.888000000000002</v>
      </c>
      <c r="H25" s="202">
        <v>30.855</v>
      </c>
      <c r="I25" s="203">
        <f t="array" ref="I25">INDEX(I26:I28,MATCH(Scenario,$C26:$C28,0))</f>
        <v>19.89</v>
      </c>
      <c r="J25" s="203">
        <f t="array" ref="J25">INDEX(J26:J28,MATCH(Scenario,$C26:$C28,0))</f>
        <v>19.89</v>
      </c>
      <c r="K25" s="203">
        <f t="array" ref="K25">INDEX(K26:K28,MATCH(Scenario,$C26:$C28,0))</f>
        <v>19.89</v>
      </c>
      <c r="L25" s="203">
        <f t="array" ref="L25">INDEX(L26:L28,MATCH(Scenario,$C26:$C28,0))</f>
        <v>19</v>
      </c>
      <c r="M25" s="203">
        <f t="array" ref="M25">INDEX(M26:M28,MATCH(Scenario,$C26:$C28,0))</f>
        <v>19</v>
      </c>
      <c r="N25" s="203">
        <f t="array" ref="N25">INDEX(N26:N28,MATCH(Scenario,$C26:$C28,0))</f>
        <v>18</v>
      </c>
      <c r="O25" s="203">
        <f t="array" ref="O25">INDEX(O26:O28,MATCH(Scenario,$C26:$C28,0))</f>
        <v>18</v>
      </c>
      <c r="P25" s="203">
        <f t="array" ref="P25">INDEX(P26:P28,MATCH(Scenario,$C26:$C28,0))</f>
        <v>17</v>
      </c>
      <c r="Q25" s="203">
        <f t="array" ref="Q25">INDEX(Q26:Q28,MATCH(Scenario,$C26:$C28,0))</f>
        <v>17</v>
      </c>
      <c r="R25" s="203">
        <f t="array" ref="R25">INDEX(R26:R28,MATCH(Scenario,$C26:$C28,0))</f>
        <v>16</v>
      </c>
      <c r="S25" s="1"/>
      <c r="T25" s="1"/>
      <c r="U25" s="1"/>
      <c r="V25" s="1"/>
      <c r="W25" s="1"/>
      <c r="X25" s="1"/>
      <c r="Y25" s="1"/>
      <c r="Z25" s="1"/>
    </row>
    <row r="26" spans="1:26" ht="15.75" customHeight="1" outlineLevel="1">
      <c r="A26" s="1"/>
      <c r="B26" s="1"/>
      <c r="C26" s="198" t="s">
        <v>160</v>
      </c>
      <c r="D26" s="201" t="s">
        <v>167</v>
      </c>
      <c r="E26" s="204"/>
      <c r="F26" s="204"/>
      <c r="G26" s="204"/>
      <c r="H26" s="204"/>
      <c r="I26" s="205">
        <v>19.89</v>
      </c>
      <c r="J26" s="205">
        <v>19.89</v>
      </c>
      <c r="K26" s="205">
        <v>19.89</v>
      </c>
      <c r="L26" s="205">
        <v>19</v>
      </c>
      <c r="M26" s="205">
        <v>19</v>
      </c>
      <c r="N26" s="205">
        <v>18</v>
      </c>
      <c r="O26" s="205">
        <v>18</v>
      </c>
      <c r="P26" s="205">
        <v>17</v>
      </c>
      <c r="Q26" s="205">
        <v>17</v>
      </c>
      <c r="R26" s="205">
        <v>16</v>
      </c>
      <c r="U26" s="1"/>
      <c r="V26" s="1"/>
      <c r="W26" s="1"/>
      <c r="X26" s="1"/>
      <c r="Y26" s="1"/>
      <c r="Z26" s="1"/>
    </row>
    <row r="27" spans="1:26" ht="15.75" customHeight="1" outlineLevel="1">
      <c r="A27" s="1"/>
      <c r="B27" s="1"/>
      <c r="C27" s="198" t="s">
        <v>168</v>
      </c>
      <c r="D27" s="201" t="s">
        <v>167</v>
      </c>
      <c r="E27" s="204"/>
      <c r="F27" s="204"/>
      <c r="G27" s="204"/>
      <c r="H27" s="204"/>
      <c r="I27" s="205">
        <v>19.89</v>
      </c>
      <c r="J27" s="205">
        <v>20.88</v>
      </c>
      <c r="K27" s="205">
        <v>22.92</v>
      </c>
      <c r="L27" s="205">
        <v>23</v>
      </c>
      <c r="M27" s="205">
        <v>23</v>
      </c>
      <c r="N27" s="205">
        <v>23</v>
      </c>
      <c r="O27" s="205">
        <v>18</v>
      </c>
      <c r="P27" s="205">
        <v>17</v>
      </c>
      <c r="Q27" s="205">
        <v>17</v>
      </c>
      <c r="R27" s="205">
        <v>17</v>
      </c>
      <c r="U27" s="1"/>
      <c r="V27" s="1"/>
      <c r="W27" s="1"/>
      <c r="X27" s="1"/>
      <c r="Y27" s="1"/>
      <c r="Z27" s="1"/>
    </row>
    <row r="28" spans="1:26" ht="15.75" customHeight="1" outlineLevel="1">
      <c r="A28" s="1"/>
      <c r="B28" s="1"/>
      <c r="C28" s="198" t="s">
        <v>169</v>
      </c>
      <c r="D28" s="201" t="s">
        <v>167</v>
      </c>
      <c r="E28" s="204"/>
      <c r="F28" s="204"/>
      <c r="G28" s="204"/>
      <c r="H28" s="204"/>
      <c r="I28" s="205">
        <v>19.293299999999999</v>
      </c>
      <c r="J28" s="205">
        <v>19</v>
      </c>
      <c r="K28" s="205">
        <v>18</v>
      </c>
      <c r="L28" s="205">
        <v>17</v>
      </c>
      <c r="M28" s="205">
        <v>16</v>
      </c>
      <c r="N28" s="205">
        <v>16</v>
      </c>
      <c r="O28" s="205">
        <v>15</v>
      </c>
      <c r="P28" s="205">
        <v>14</v>
      </c>
      <c r="Q28" s="205">
        <v>13</v>
      </c>
      <c r="R28" s="205">
        <v>13</v>
      </c>
      <c r="U28" s="1"/>
      <c r="V28" s="1"/>
      <c r="W28" s="1"/>
      <c r="X28" s="1"/>
      <c r="Y28" s="1"/>
      <c r="Z28" s="1"/>
    </row>
    <row r="29" spans="1:26" ht="15.75" customHeight="1" outlineLevel="1">
      <c r="A29" s="1"/>
      <c r="B29" s="1"/>
      <c r="C29" s="198"/>
      <c r="D29" s="72"/>
      <c r="E29" s="204"/>
      <c r="F29" s="204"/>
      <c r="G29" s="204"/>
      <c r="H29" s="204"/>
      <c r="I29" s="206"/>
      <c r="J29" s="206"/>
      <c r="K29" s="206"/>
      <c r="L29" s="206"/>
      <c r="M29" s="206"/>
      <c r="N29" s="206"/>
      <c r="O29" s="206"/>
      <c r="P29" s="206"/>
      <c r="Q29" s="206"/>
      <c r="R29" s="206"/>
      <c r="U29" s="1"/>
      <c r="V29" s="1"/>
      <c r="W29" s="1"/>
      <c r="X29" s="1"/>
      <c r="Y29" s="1"/>
      <c r="Z29" s="1"/>
    </row>
    <row r="30" spans="1:26" ht="15.75" customHeight="1" outlineLevel="1">
      <c r="A30" s="188"/>
      <c r="B30" s="1"/>
      <c r="C30" s="198" t="s">
        <v>170</v>
      </c>
      <c r="D30" s="201" t="s">
        <v>167</v>
      </c>
      <c r="E30" s="203">
        <v>51.27</v>
      </c>
      <c r="F30" s="203">
        <v>61.3</v>
      </c>
      <c r="G30" s="203">
        <v>65.17</v>
      </c>
      <c r="H30" s="203">
        <v>66.09</v>
      </c>
      <c r="I30" s="203">
        <f t="array" ref="I30">INDEX(I31:I33,MATCH(Scenario,$C31:$C33,0))</f>
        <v>67.58</v>
      </c>
      <c r="J30" s="203">
        <f t="array" ref="J30">INDEX(J31:J33,MATCH(Scenario,$C31:$C33,0))</f>
        <v>69.099999999999994</v>
      </c>
      <c r="K30" s="203">
        <f t="array" ref="K30">INDEX(K31:K33,MATCH(Scenario,$C31:$C33,0))</f>
        <v>70.650000000000006</v>
      </c>
      <c r="L30" s="203">
        <f t="array" ref="L30">INDEX(L31:L33,MATCH(Scenario,$C31:$C33,0))</f>
        <v>72.239999999999995</v>
      </c>
      <c r="M30" s="203">
        <f t="array" ref="M30">INDEX(M31:M33,MATCH(Scenario,$C31:$C33,0))</f>
        <v>73.87</v>
      </c>
      <c r="N30" s="203">
        <f t="array" ref="N30">INDEX(N31:N33,MATCH(Scenario,$C31:$C33,0))</f>
        <v>75.53</v>
      </c>
      <c r="O30" s="203">
        <f t="array" ref="O30">INDEX(O31:O33,MATCH(Scenario,$C31:$C33,0))</f>
        <v>77.23</v>
      </c>
      <c r="P30" s="203">
        <f t="array" ref="P30">INDEX(P31:P33,MATCH(Scenario,$C31:$C33,0))</f>
        <v>78.97</v>
      </c>
      <c r="Q30" s="203">
        <f t="array" ref="Q30">INDEX(Q31:Q33,MATCH(Scenario,$C31:$C33,0))</f>
        <v>80.739999999999995</v>
      </c>
      <c r="R30" s="203">
        <f t="array" ref="R30">INDEX(R31:R33,MATCH(Scenario,$C31:$C33,0))</f>
        <v>82.56</v>
      </c>
      <c r="U30" s="1"/>
      <c r="V30" s="1"/>
      <c r="W30" s="1"/>
      <c r="X30" s="1"/>
      <c r="Y30" s="1"/>
      <c r="Z30" s="1"/>
    </row>
    <row r="31" spans="1:26" ht="15.75" customHeight="1" outlineLevel="1">
      <c r="A31" s="1"/>
      <c r="B31" s="1"/>
      <c r="C31" s="198" t="str">
        <f>+$C$26</f>
        <v>Base</v>
      </c>
      <c r="D31" s="201" t="s">
        <v>167</v>
      </c>
      <c r="E31" s="210"/>
      <c r="F31" s="211"/>
      <c r="G31" s="212"/>
      <c r="H31" s="212"/>
      <c r="I31" s="205">
        <v>67.58</v>
      </c>
      <c r="J31" s="205">
        <v>69.099999999999994</v>
      </c>
      <c r="K31" s="205">
        <v>70.650000000000006</v>
      </c>
      <c r="L31" s="205">
        <v>72.239999999999995</v>
      </c>
      <c r="M31" s="205">
        <v>73.87</v>
      </c>
      <c r="N31" s="205">
        <v>75.53</v>
      </c>
      <c r="O31" s="205">
        <v>77.23</v>
      </c>
      <c r="P31" s="205">
        <v>78.97</v>
      </c>
      <c r="Q31" s="205">
        <v>80.739999999999995</v>
      </c>
      <c r="R31" s="205">
        <v>82.56</v>
      </c>
      <c r="U31" s="1"/>
      <c r="V31" s="1"/>
      <c r="W31" s="1"/>
      <c r="X31" s="1"/>
      <c r="Y31" s="1"/>
      <c r="Z31" s="1"/>
    </row>
    <row r="32" spans="1:26" ht="15.75" customHeight="1" outlineLevel="1">
      <c r="A32" s="1"/>
      <c r="B32" s="1"/>
      <c r="C32" s="198" t="str">
        <f>+$C$27</f>
        <v>Upside</v>
      </c>
      <c r="D32" s="201" t="s">
        <v>167</v>
      </c>
      <c r="E32" s="212"/>
      <c r="F32" s="211"/>
      <c r="G32" s="212"/>
      <c r="H32" s="212"/>
      <c r="I32" s="205">
        <v>67.58</v>
      </c>
      <c r="J32" s="205">
        <v>69.099999999999994</v>
      </c>
      <c r="K32" s="205">
        <v>70.650000000000006</v>
      </c>
      <c r="L32" s="205">
        <v>72.239999999999995</v>
      </c>
      <c r="M32" s="205">
        <v>73.87</v>
      </c>
      <c r="N32" s="205">
        <v>75.53</v>
      </c>
      <c r="O32" s="205">
        <v>77.23</v>
      </c>
      <c r="P32" s="205">
        <v>78.97</v>
      </c>
      <c r="Q32" s="205">
        <v>80.739999999999995</v>
      </c>
      <c r="R32" s="205">
        <v>82.56</v>
      </c>
      <c r="U32" s="1"/>
      <c r="V32" s="1"/>
      <c r="W32" s="1"/>
      <c r="X32" s="1"/>
      <c r="Y32" s="1"/>
      <c r="Z32" s="1"/>
    </row>
    <row r="33" spans="1:26" ht="15.75" customHeight="1" outlineLevel="1">
      <c r="A33" s="1"/>
      <c r="B33" s="1"/>
      <c r="C33" s="198" t="str">
        <f>+$C$28</f>
        <v>Downside</v>
      </c>
      <c r="D33" s="201" t="s">
        <v>167</v>
      </c>
      <c r="E33" s="212"/>
      <c r="F33" s="211"/>
      <c r="G33" s="212"/>
      <c r="H33" s="212"/>
      <c r="I33" s="205">
        <v>67.58</v>
      </c>
      <c r="J33" s="205">
        <v>69.099999999999994</v>
      </c>
      <c r="K33" s="205">
        <v>70.650000000000006</v>
      </c>
      <c r="L33" s="205">
        <v>72.239999999999995</v>
      </c>
      <c r="M33" s="205">
        <v>73.87</v>
      </c>
      <c r="N33" s="205">
        <v>75.53</v>
      </c>
      <c r="O33" s="205">
        <v>77.23</v>
      </c>
      <c r="P33" s="205">
        <v>78.97</v>
      </c>
      <c r="Q33" s="205">
        <v>80.739999999999995</v>
      </c>
      <c r="R33" s="205">
        <v>82.56</v>
      </c>
      <c r="U33" s="1"/>
      <c r="V33" s="1"/>
      <c r="W33" s="1"/>
      <c r="X33" s="1"/>
      <c r="Y33" s="1"/>
      <c r="Z33" s="1"/>
    </row>
    <row r="34" spans="1:26" ht="15.75" customHeight="1" outlineLevel="1">
      <c r="A34" s="1"/>
      <c r="B34" s="1"/>
      <c r="C34" s="198"/>
      <c r="D34" s="201"/>
      <c r="E34" s="212"/>
      <c r="F34" s="212"/>
      <c r="G34" s="212"/>
      <c r="H34" s="212"/>
      <c r="I34" s="212"/>
      <c r="J34" s="212"/>
      <c r="K34" s="212"/>
      <c r="L34" s="212"/>
      <c r="M34" s="212"/>
      <c r="N34" s="212"/>
      <c r="O34" s="212"/>
      <c r="P34" s="212"/>
      <c r="Q34" s="212"/>
      <c r="R34" s="212"/>
      <c r="U34" s="1"/>
      <c r="V34" s="1"/>
      <c r="W34" s="1"/>
      <c r="X34" s="1"/>
      <c r="Y34" s="1"/>
      <c r="Z34" s="1"/>
    </row>
    <row r="35" spans="1:26" ht="15.75" customHeight="1" outlineLevel="1">
      <c r="A35" s="1"/>
      <c r="B35" s="1"/>
      <c r="C35" s="198"/>
      <c r="D35" s="1"/>
      <c r="E35" s="199"/>
      <c r="F35" s="199"/>
      <c r="G35" s="199"/>
      <c r="H35" s="199"/>
      <c r="I35" s="199"/>
      <c r="J35" s="199"/>
      <c r="K35" s="199"/>
      <c r="L35" s="199"/>
      <c r="M35" s="199"/>
      <c r="N35" s="199"/>
      <c r="O35" s="199"/>
      <c r="P35" s="199"/>
      <c r="Q35" s="199"/>
      <c r="R35" s="199"/>
      <c r="S35" s="1"/>
      <c r="T35" s="1"/>
      <c r="U35" s="1"/>
      <c r="V35" s="1"/>
      <c r="W35" s="1"/>
      <c r="X35" s="1"/>
      <c r="Y35" s="1"/>
      <c r="Z35" s="1"/>
    </row>
    <row r="36" spans="1:26" ht="15.75" customHeight="1" outlineLevel="1">
      <c r="A36" s="1"/>
      <c r="B36" s="1"/>
      <c r="C36" s="198" t="s">
        <v>174</v>
      </c>
      <c r="D36" s="201" t="s">
        <v>175</v>
      </c>
      <c r="E36" s="17">
        <f t="shared" ref="E36:R36" si="2">E25*E30</f>
        <v>1315.2293099999999</v>
      </c>
      <c r="F36" s="17">
        <f t="shared" si="2"/>
        <v>1556.8973999999998</v>
      </c>
      <c r="G36" s="17">
        <f t="shared" si="2"/>
        <v>1621.9509600000001</v>
      </c>
      <c r="H36" s="17">
        <f t="shared" si="2"/>
        <v>2039.2069500000002</v>
      </c>
      <c r="I36" s="17">
        <f t="shared" si="2"/>
        <v>1344.1662000000001</v>
      </c>
      <c r="J36" s="17">
        <f t="shared" si="2"/>
        <v>1374.3989999999999</v>
      </c>
      <c r="K36" s="17">
        <f t="shared" si="2"/>
        <v>1405.2285000000002</v>
      </c>
      <c r="L36" s="17">
        <f t="shared" si="2"/>
        <v>1372.56</v>
      </c>
      <c r="M36" s="17">
        <f t="shared" si="2"/>
        <v>1403.5300000000002</v>
      </c>
      <c r="N36" s="17">
        <f t="shared" si="2"/>
        <v>1359.54</v>
      </c>
      <c r="O36" s="17">
        <f t="shared" si="2"/>
        <v>1390.14</v>
      </c>
      <c r="P36" s="17">
        <f t="shared" si="2"/>
        <v>1342.49</v>
      </c>
      <c r="Q36" s="17">
        <f t="shared" si="2"/>
        <v>1372.58</v>
      </c>
      <c r="R36" s="17">
        <f t="shared" si="2"/>
        <v>1320.96</v>
      </c>
      <c r="S36" s="1"/>
      <c r="T36" s="1"/>
      <c r="U36" s="1"/>
      <c r="V36" s="1"/>
      <c r="W36" s="1"/>
      <c r="X36" s="1"/>
      <c r="Y36" s="1"/>
      <c r="Z36" s="1"/>
    </row>
    <row r="37" spans="1:26" ht="15.75" customHeight="1" outlineLevel="1">
      <c r="A37" s="1"/>
      <c r="B37" s="1"/>
      <c r="C37" s="215" t="s">
        <v>176</v>
      </c>
      <c r="D37" s="201" t="s">
        <v>177</v>
      </c>
      <c r="E37" s="216">
        <f>+E36/378.663-1</f>
        <v>2.4733504725838014</v>
      </c>
      <c r="F37" s="216">
        <f t="shared" ref="F37:R37" si="3">+F36/E36-1</f>
        <v>0.18374597354433941</v>
      </c>
      <c r="G37" s="216">
        <f t="shared" si="3"/>
        <v>4.1784102150854929E-2</v>
      </c>
      <c r="H37" s="216">
        <f t="shared" si="3"/>
        <v>0.25725561394285323</v>
      </c>
      <c r="I37" s="216">
        <f t="shared" si="3"/>
        <v>-0.34083875106447636</v>
      </c>
      <c r="J37" s="216">
        <f t="shared" si="3"/>
        <v>2.2491861497484278E-2</v>
      </c>
      <c r="K37" s="216">
        <f t="shared" si="3"/>
        <v>2.2431259044862761E-2</v>
      </c>
      <c r="L37" s="216">
        <f t="shared" si="3"/>
        <v>-2.3247820550181153E-2</v>
      </c>
      <c r="M37" s="216">
        <f t="shared" si="3"/>
        <v>2.2563676633444274E-2</v>
      </c>
      <c r="N37" s="216">
        <f t="shared" si="3"/>
        <v>-3.13424009461859E-2</v>
      </c>
      <c r="O37" s="216">
        <f t="shared" si="3"/>
        <v>2.2507612869058669E-2</v>
      </c>
      <c r="P37" s="216">
        <f t="shared" si="3"/>
        <v>-3.4277123167450796E-2</v>
      </c>
      <c r="Q37" s="216">
        <f t="shared" si="3"/>
        <v>2.2413574775230982E-2</v>
      </c>
      <c r="R37" s="216">
        <f t="shared" si="3"/>
        <v>-3.7608008276384552E-2</v>
      </c>
      <c r="S37" s="1"/>
      <c r="T37" s="1"/>
      <c r="U37" s="1"/>
      <c r="V37" s="1"/>
      <c r="W37" s="1"/>
      <c r="X37" s="1"/>
      <c r="Y37" s="1"/>
      <c r="Z37" s="1"/>
    </row>
    <row r="38" spans="1:26" ht="15.75" customHeight="1" outlineLevel="1">
      <c r="A38" s="188"/>
      <c r="B38" s="1"/>
      <c r="C38" s="1"/>
      <c r="D38" s="72"/>
      <c r="E38" s="193"/>
      <c r="F38" s="217"/>
      <c r="G38" s="217"/>
      <c r="H38" s="217"/>
      <c r="I38" s="218"/>
      <c r="J38" s="218"/>
      <c r="K38" s="218"/>
      <c r="L38" s="218"/>
      <c r="M38" s="218"/>
      <c r="N38" s="218"/>
      <c r="O38" s="218"/>
      <c r="P38" s="218"/>
      <c r="Q38" s="218"/>
      <c r="R38" s="218"/>
      <c r="S38" s="1"/>
      <c r="T38" s="1"/>
      <c r="U38" s="1"/>
      <c r="V38" s="1"/>
      <c r="W38" s="1"/>
      <c r="X38" s="1"/>
      <c r="Y38" s="1"/>
      <c r="Z38" s="1"/>
    </row>
    <row r="39" spans="1:26" ht="15.75" customHeight="1" outlineLevel="1">
      <c r="A39" s="188"/>
      <c r="B39" s="1"/>
      <c r="C39" s="37" t="s">
        <v>178</v>
      </c>
      <c r="D39" s="195"/>
      <c r="E39" s="196">
        <f>$E$20</f>
        <v>42735</v>
      </c>
      <c r="F39" s="196">
        <f>$F$20</f>
        <v>43100</v>
      </c>
      <c r="G39" s="196">
        <f>$G$20</f>
        <v>43465</v>
      </c>
      <c r="H39" s="197">
        <f>$H$20</f>
        <v>43830</v>
      </c>
      <c r="I39" s="196">
        <f>$I$20</f>
        <v>44196</v>
      </c>
      <c r="J39" s="196">
        <f>$J$20</f>
        <v>44561</v>
      </c>
      <c r="K39" s="196">
        <f>$K$20</f>
        <v>44926</v>
      </c>
      <c r="L39" s="196">
        <f>$L$20</f>
        <v>45291</v>
      </c>
      <c r="M39" s="196">
        <f>$M$20</f>
        <v>45657</v>
      </c>
      <c r="N39" s="196">
        <f>$N$20</f>
        <v>46022</v>
      </c>
      <c r="O39" s="196">
        <f>$O$20</f>
        <v>46387</v>
      </c>
      <c r="P39" s="196">
        <f>$P$20</f>
        <v>46752</v>
      </c>
      <c r="Q39" s="196">
        <f>$Q$20</f>
        <v>47118</v>
      </c>
      <c r="R39" s="196">
        <f>$R$20</f>
        <v>47483</v>
      </c>
      <c r="S39" s="1"/>
      <c r="T39" s="1"/>
      <c r="U39" s="1"/>
      <c r="V39" s="1"/>
      <c r="W39" s="1"/>
      <c r="X39" s="1"/>
      <c r="Y39" s="1"/>
      <c r="Z39" s="1"/>
    </row>
    <row r="40" spans="1:26" ht="15.75" customHeight="1" outlineLevel="1">
      <c r="A40" s="188"/>
      <c r="B40" s="1"/>
      <c r="C40" s="1"/>
      <c r="D40" s="72"/>
      <c r="E40" s="193"/>
      <c r="F40" s="217"/>
      <c r="G40" s="217"/>
      <c r="H40" s="217"/>
      <c r="I40" s="218"/>
      <c r="J40" s="218"/>
      <c r="K40" s="218"/>
      <c r="L40" s="218"/>
      <c r="M40" s="218"/>
      <c r="N40" s="218"/>
      <c r="O40" s="218"/>
      <c r="P40" s="218"/>
      <c r="Q40" s="218"/>
      <c r="R40" s="218"/>
      <c r="S40" s="1"/>
      <c r="T40" s="1"/>
      <c r="U40" s="1"/>
      <c r="V40" s="1"/>
      <c r="W40" s="1"/>
      <c r="X40" s="1"/>
      <c r="Y40" s="1"/>
      <c r="Z40" s="1"/>
    </row>
    <row r="41" spans="1:26" ht="15.75" customHeight="1" outlineLevel="1">
      <c r="A41" s="188"/>
      <c r="B41" s="1"/>
      <c r="C41" s="198" t="s">
        <v>166</v>
      </c>
      <c r="D41" s="201" t="s">
        <v>167</v>
      </c>
      <c r="E41" s="203">
        <v>5.53</v>
      </c>
      <c r="F41" s="203">
        <v>5.48</v>
      </c>
      <c r="G41" s="203">
        <v>5.37</v>
      </c>
      <c r="H41" s="203">
        <v>6.66</v>
      </c>
      <c r="I41" s="203">
        <f t="array" ref="I41">INDEX(I42:I44,MATCH(Scenario,$C42:$C44,0))</f>
        <v>4.29</v>
      </c>
      <c r="J41" s="203">
        <f t="array" ref="J41">INDEX(J42:J44,MATCH(Scenario,$C42:$C44,0))</f>
        <v>4.29</v>
      </c>
      <c r="K41" s="203">
        <f t="array" ref="K41">INDEX(K42:K44,MATCH(Scenario,$C42:$C44,0))</f>
        <v>4.29</v>
      </c>
      <c r="L41" s="203">
        <f t="array" ref="L41">INDEX(L42:L44,MATCH(Scenario,$C42:$C44,0))</f>
        <v>4.29</v>
      </c>
      <c r="M41" s="203">
        <f t="array" ref="M41">INDEX(M42:M44,MATCH(Scenario,$C42:$C44,0))</f>
        <v>4.2</v>
      </c>
      <c r="N41" s="203">
        <f t="array" ref="N41">INDEX(N42:N44,MATCH(Scenario,$C42:$C44,0))</f>
        <v>4.12</v>
      </c>
      <c r="O41" s="203">
        <f t="array" ref="O41">INDEX(O42:O44,MATCH(Scenario,$C42:$C44,0))</f>
        <v>4.04</v>
      </c>
      <c r="P41" s="203">
        <f t="array" ref="P41">INDEX(P42:P44,MATCH(Scenario,$C42:$C44,0))</f>
        <v>3.96</v>
      </c>
      <c r="Q41" s="203">
        <f t="array" ref="Q41">INDEX(Q42:Q44,MATCH(Scenario,$C42:$C44,0))</f>
        <v>3.8</v>
      </c>
      <c r="R41" s="203">
        <f t="array" ref="R41">INDEX(R42:R44,MATCH(Scenario,$C42:$C44,0))</f>
        <v>3.65</v>
      </c>
      <c r="S41" s="1"/>
      <c r="T41" s="1"/>
      <c r="U41" s="1"/>
      <c r="V41" s="1"/>
      <c r="W41" s="1"/>
      <c r="X41" s="1"/>
      <c r="Y41" s="1"/>
      <c r="Z41" s="1"/>
    </row>
    <row r="42" spans="1:26" ht="15.75" customHeight="1" outlineLevel="1">
      <c r="A42" s="188"/>
      <c r="B42" s="1"/>
      <c r="C42" s="198" t="s">
        <v>160</v>
      </c>
      <c r="D42" s="201" t="s">
        <v>167</v>
      </c>
      <c r="E42" s="203"/>
      <c r="F42" s="203"/>
      <c r="G42" s="203"/>
      <c r="H42" s="203"/>
      <c r="I42" s="205">
        <v>4.29</v>
      </c>
      <c r="J42" s="205">
        <v>4.29</v>
      </c>
      <c r="K42" s="205">
        <v>4.29</v>
      </c>
      <c r="L42" s="205">
        <v>4.29</v>
      </c>
      <c r="M42" s="205">
        <v>4.2</v>
      </c>
      <c r="N42" s="205">
        <v>4.12</v>
      </c>
      <c r="O42" s="205">
        <v>4.04</v>
      </c>
      <c r="P42" s="205">
        <v>3.96</v>
      </c>
      <c r="Q42" s="205">
        <v>3.8</v>
      </c>
      <c r="R42" s="205">
        <v>3.65</v>
      </c>
      <c r="S42" s="1"/>
      <c r="T42" s="1"/>
      <c r="U42" s="1"/>
      <c r="V42" s="1"/>
      <c r="W42" s="1"/>
      <c r="X42" s="1"/>
      <c r="Y42" s="1"/>
      <c r="Z42" s="1"/>
    </row>
    <row r="43" spans="1:26" ht="15.75" customHeight="1" outlineLevel="1">
      <c r="A43" s="188"/>
      <c r="B43" s="1"/>
      <c r="C43" s="198" t="s">
        <v>168</v>
      </c>
      <c r="D43" s="201" t="s">
        <v>167</v>
      </c>
      <c r="E43" s="203"/>
      <c r="F43" s="203"/>
      <c r="G43" s="203"/>
      <c r="H43" s="203"/>
      <c r="I43" s="205">
        <v>4.5</v>
      </c>
      <c r="J43" s="205">
        <v>4.8600000000000003</v>
      </c>
      <c r="K43" s="205">
        <v>5.21</v>
      </c>
      <c r="L43" s="205">
        <v>5.36</v>
      </c>
      <c r="M43" s="205">
        <v>5.31</v>
      </c>
      <c r="N43" s="205">
        <v>5.2</v>
      </c>
      <c r="O43" s="205">
        <v>4.42</v>
      </c>
      <c r="P43" s="205">
        <v>4.24</v>
      </c>
      <c r="Q43" s="205">
        <v>4.07</v>
      </c>
      <c r="R43" s="205">
        <v>3.91</v>
      </c>
      <c r="S43" s="1"/>
      <c r="T43" s="1"/>
      <c r="U43" s="1"/>
      <c r="V43" s="1"/>
      <c r="W43" s="1"/>
      <c r="X43" s="1"/>
      <c r="Y43" s="1"/>
      <c r="Z43" s="1"/>
    </row>
    <row r="44" spans="1:26" ht="15.75" customHeight="1" outlineLevel="1">
      <c r="A44" s="188"/>
      <c r="B44" s="1"/>
      <c r="C44" s="198" t="s">
        <v>169</v>
      </c>
      <c r="D44" s="201" t="s">
        <v>167</v>
      </c>
      <c r="E44" s="203"/>
      <c r="F44" s="203"/>
      <c r="G44" s="203"/>
      <c r="H44" s="203"/>
      <c r="I44" s="205">
        <v>4.12</v>
      </c>
      <c r="J44" s="205">
        <v>3.95</v>
      </c>
      <c r="K44" s="205">
        <v>3.8</v>
      </c>
      <c r="L44" s="205">
        <v>3.64</v>
      </c>
      <c r="M44" s="205">
        <v>3.39</v>
      </c>
      <c r="N44" s="205">
        <v>3.15</v>
      </c>
      <c r="O44" s="205">
        <v>2.93</v>
      </c>
      <c r="P44" s="205">
        <v>2.73</v>
      </c>
      <c r="Q44" s="205">
        <v>2.5099999999999998</v>
      </c>
      <c r="R44" s="205">
        <v>2.31</v>
      </c>
      <c r="S44" s="1"/>
      <c r="T44" s="1"/>
      <c r="U44" s="1"/>
      <c r="V44" s="1"/>
      <c r="W44" s="1"/>
      <c r="X44" s="1"/>
      <c r="Y44" s="1"/>
      <c r="Z44" s="1"/>
    </row>
    <row r="45" spans="1:26" ht="15.75" customHeight="1" outlineLevel="1">
      <c r="A45" s="188"/>
      <c r="B45" s="1"/>
      <c r="C45" s="198"/>
      <c r="D45" s="72"/>
      <c r="E45" s="203"/>
      <c r="F45" s="203"/>
      <c r="G45" s="203"/>
      <c r="H45" s="203"/>
      <c r="I45" s="206"/>
      <c r="J45" s="206"/>
      <c r="K45" s="206"/>
      <c r="L45" s="206"/>
      <c r="M45" s="206"/>
      <c r="N45" s="206"/>
      <c r="O45" s="206"/>
      <c r="P45" s="206"/>
      <c r="Q45" s="206"/>
      <c r="R45" s="206"/>
      <c r="S45" s="1"/>
      <c r="T45" s="1"/>
      <c r="U45" s="1"/>
      <c r="V45" s="1"/>
      <c r="W45" s="1"/>
      <c r="X45" s="1"/>
      <c r="Y45" s="1"/>
      <c r="Z45" s="1"/>
    </row>
    <row r="46" spans="1:26" ht="15.75" customHeight="1" outlineLevel="1">
      <c r="A46" s="188"/>
      <c r="B46" s="1"/>
      <c r="C46" s="198" t="s">
        <v>170</v>
      </c>
      <c r="D46" s="201" t="s">
        <v>167</v>
      </c>
      <c r="E46" s="203">
        <v>32.090000000000003</v>
      </c>
      <c r="F46" s="203">
        <v>38.369999999999997</v>
      </c>
      <c r="G46" s="203">
        <v>40.799999999999997</v>
      </c>
      <c r="H46" s="203">
        <v>41.37</v>
      </c>
      <c r="I46" s="203">
        <f t="array" ref="I46">INDEX(I47:I49,MATCH(Scenario,$C47:$C49,0))</f>
        <v>42.74</v>
      </c>
      <c r="J46" s="203">
        <f t="array" ref="J46">INDEX(J47:J49,MATCH(Scenario,$C47:$C49,0))</f>
        <v>44.15</v>
      </c>
      <c r="K46" s="203">
        <f t="array" ref="K46">INDEX(K47:K49,MATCH(Scenario,$C47:$C49,0))</f>
        <v>45.6</v>
      </c>
      <c r="L46" s="203">
        <f t="array" ref="L46">INDEX(L47:L49,MATCH(Scenario,$C47:$C49,0))</f>
        <v>47.11</v>
      </c>
      <c r="M46" s="203">
        <f t="array" ref="M46">INDEX(M47:M49,MATCH(Scenario,$C47:$C49,0))</f>
        <v>48.66</v>
      </c>
      <c r="N46" s="203">
        <f t="array" ref="N46">INDEX(N47:N49,MATCH(Scenario,$C47:$C49,0))</f>
        <v>50.27</v>
      </c>
      <c r="O46" s="203">
        <f t="array" ref="O46">INDEX(O47:O49,MATCH(Scenario,$C47:$C49,0))</f>
        <v>51.68</v>
      </c>
      <c r="P46" s="203">
        <f t="array" ref="P46">INDEX(P47:P49,MATCH(Scenario,$C47:$C49,0))</f>
        <v>53.12</v>
      </c>
      <c r="Q46" s="203">
        <f t="array" ref="Q46">INDEX(Q47:Q49,MATCH(Scenario,$C47:$C49,0))</f>
        <v>54.5</v>
      </c>
      <c r="R46" s="203">
        <f t="array" ref="R46">INDEX(R47:R49,MATCH(Scenario,$C47:$C49,0))</f>
        <v>55.92</v>
      </c>
      <c r="S46" s="1"/>
      <c r="T46" s="1"/>
      <c r="U46" s="1"/>
      <c r="V46" s="1"/>
      <c r="W46" s="1"/>
      <c r="X46" s="1"/>
      <c r="Y46" s="1"/>
      <c r="Z46" s="1"/>
    </row>
    <row r="47" spans="1:26" ht="15.75" customHeight="1" outlineLevel="1">
      <c r="A47" s="188"/>
      <c r="B47" s="1"/>
      <c r="C47" s="198" t="str">
        <f>+$C$26</f>
        <v>Base</v>
      </c>
      <c r="D47" s="201" t="s">
        <v>167</v>
      </c>
      <c r="E47" s="210"/>
      <c r="F47" s="211"/>
      <c r="G47" s="212"/>
      <c r="H47" s="212"/>
      <c r="I47" s="205">
        <v>42.74</v>
      </c>
      <c r="J47" s="205">
        <v>44.15</v>
      </c>
      <c r="K47" s="205">
        <v>45.6</v>
      </c>
      <c r="L47" s="205">
        <v>47.11</v>
      </c>
      <c r="M47" s="205">
        <v>48.66</v>
      </c>
      <c r="N47" s="205">
        <v>50.27</v>
      </c>
      <c r="O47" s="205">
        <v>51.68</v>
      </c>
      <c r="P47" s="205">
        <v>53.12</v>
      </c>
      <c r="Q47" s="205">
        <v>54.5</v>
      </c>
      <c r="R47" s="205">
        <v>55.92</v>
      </c>
      <c r="S47" s="1"/>
      <c r="T47" s="1"/>
      <c r="U47" s="1"/>
      <c r="V47" s="1"/>
      <c r="W47" s="1"/>
      <c r="X47" s="1"/>
      <c r="Y47" s="1"/>
      <c r="Z47" s="1"/>
    </row>
    <row r="48" spans="1:26" ht="15.75" customHeight="1" outlineLevel="1">
      <c r="A48" s="188"/>
      <c r="B48" s="1"/>
      <c r="C48" s="198" t="str">
        <f>+$C$27</f>
        <v>Upside</v>
      </c>
      <c r="D48" s="201" t="s">
        <v>167</v>
      </c>
      <c r="E48" s="212"/>
      <c r="F48" s="211"/>
      <c r="G48" s="212"/>
      <c r="H48" s="212"/>
      <c r="I48" s="205">
        <v>42.74</v>
      </c>
      <c r="J48" s="205">
        <v>44.15</v>
      </c>
      <c r="K48" s="205">
        <v>45.6</v>
      </c>
      <c r="L48" s="205">
        <v>47.11</v>
      </c>
      <c r="M48" s="205">
        <v>48.66</v>
      </c>
      <c r="N48" s="205">
        <v>50.27</v>
      </c>
      <c r="O48" s="205">
        <v>51.68</v>
      </c>
      <c r="P48" s="205">
        <v>53.12</v>
      </c>
      <c r="Q48" s="205">
        <v>54.5</v>
      </c>
      <c r="R48" s="205">
        <v>55.92</v>
      </c>
      <c r="S48" s="1"/>
      <c r="T48" s="1"/>
      <c r="U48" s="1"/>
      <c r="V48" s="1"/>
      <c r="W48" s="1"/>
      <c r="X48" s="1"/>
      <c r="Y48" s="1"/>
      <c r="Z48" s="1"/>
    </row>
    <row r="49" spans="1:26" ht="15.75" customHeight="1" outlineLevel="1">
      <c r="A49" s="188"/>
      <c r="B49" s="1"/>
      <c r="C49" s="198" t="str">
        <f>+$C$28</f>
        <v>Downside</v>
      </c>
      <c r="D49" s="201" t="s">
        <v>167</v>
      </c>
      <c r="E49" s="212"/>
      <c r="F49" s="211"/>
      <c r="G49" s="212"/>
      <c r="H49" s="212"/>
      <c r="I49" s="205">
        <v>42.74</v>
      </c>
      <c r="J49" s="205">
        <v>44.15</v>
      </c>
      <c r="K49" s="205">
        <v>45.6</v>
      </c>
      <c r="L49" s="205">
        <v>47.11</v>
      </c>
      <c r="M49" s="205">
        <v>48.66</v>
      </c>
      <c r="N49" s="205">
        <v>50.27</v>
      </c>
      <c r="O49" s="205">
        <v>51.68</v>
      </c>
      <c r="P49" s="205">
        <v>53.12</v>
      </c>
      <c r="Q49" s="205">
        <v>54.5</v>
      </c>
      <c r="R49" s="205">
        <v>55.92</v>
      </c>
      <c r="S49" s="1"/>
      <c r="T49" s="1"/>
      <c r="U49" s="1"/>
      <c r="V49" s="1"/>
      <c r="W49" s="1"/>
      <c r="X49" s="1"/>
      <c r="Y49" s="1"/>
      <c r="Z49" s="1"/>
    </row>
    <row r="50" spans="1:26" ht="15.75" customHeight="1" outlineLevel="1">
      <c r="A50" s="188"/>
      <c r="B50" s="1"/>
      <c r="C50" s="198"/>
      <c r="D50" s="201"/>
      <c r="E50" s="212"/>
      <c r="F50" s="212"/>
      <c r="G50" s="212"/>
      <c r="H50" s="212"/>
      <c r="I50" s="212"/>
      <c r="J50" s="212"/>
      <c r="K50" s="212"/>
      <c r="L50" s="212"/>
      <c r="M50" s="212"/>
      <c r="N50" s="212"/>
      <c r="O50" s="212"/>
      <c r="P50" s="212"/>
      <c r="Q50" s="212"/>
      <c r="R50" s="212"/>
      <c r="S50" s="1"/>
      <c r="T50" s="1"/>
      <c r="U50" s="1"/>
      <c r="V50" s="1"/>
      <c r="W50" s="1"/>
      <c r="X50" s="1"/>
      <c r="Y50" s="1"/>
      <c r="Z50" s="1"/>
    </row>
    <row r="51" spans="1:26" ht="15.75" customHeight="1" outlineLevel="1">
      <c r="A51" s="188"/>
      <c r="B51" s="1"/>
      <c r="C51" s="198"/>
      <c r="D51" s="1"/>
      <c r="E51" s="199"/>
      <c r="F51" s="199"/>
      <c r="G51" s="199"/>
      <c r="H51" s="199"/>
      <c r="I51" s="199"/>
      <c r="J51" s="199"/>
      <c r="K51" s="199"/>
      <c r="L51" s="199"/>
      <c r="M51" s="199"/>
      <c r="N51" s="199"/>
      <c r="O51" s="199"/>
      <c r="P51" s="199"/>
      <c r="Q51" s="199"/>
      <c r="R51" s="199"/>
      <c r="S51" s="1"/>
      <c r="T51" s="1"/>
      <c r="U51" s="1"/>
      <c r="V51" s="1"/>
      <c r="W51" s="1"/>
      <c r="X51" s="1"/>
      <c r="Y51" s="1"/>
      <c r="Z51" s="1"/>
    </row>
    <row r="52" spans="1:26" ht="15.75" customHeight="1" outlineLevel="1">
      <c r="A52" s="188"/>
      <c r="B52" s="1"/>
      <c r="C52" s="198" t="s">
        <v>181</v>
      </c>
      <c r="D52" s="201" t="s">
        <v>175</v>
      </c>
      <c r="E52" s="17">
        <f t="shared" ref="E52:R52" si="4">E41*E46</f>
        <v>177.45770000000002</v>
      </c>
      <c r="F52" s="17">
        <f t="shared" si="4"/>
        <v>210.26760000000002</v>
      </c>
      <c r="G52" s="17">
        <f t="shared" si="4"/>
        <v>219.09599999999998</v>
      </c>
      <c r="H52" s="17">
        <f t="shared" si="4"/>
        <v>275.52420000000001</v>
      </c>
      <c r="I52" s="17">
        <f t="shared" si="4"/>
        <v>183.3546</v>
      </c>
      <c r="J52" s="17">
        <f t="shared" si="4"/>
        <v>189.40350000000001</v>
      </c>
      <c r="K52" s="17">
        <f t="shared" si="4"/>
        <v>195.624</v>
      </c>
      <c r="L52" s="17">
        <f t="shared" si="4"/>
        <v>202.1019</v>
      </c>
      <c r="M52" s="17">
        <f t="shared" si="4"/>
        <v>204.37199999999999</v>
      </c>
      <c r="N52" s="17">
        <f t="shared" si="4"/>
        <v>207.11240000000001</v>
      </c>
      <c r="O52" s="17">
        <f t="shared" si="4"/>
        <v>208.78720000000001</v>
      </c>
      <c r="P52" s="17">
        <f t="shared" si="4"/>
        <v>210.3552</v>
      </c>
      <c r="Q52" s="17">
        <f t="shared" si="4"/>
        <v>207.1</v>
      </c>
      <c r="R52" s="17">
        <f t="shared" si="4"/>
        <v>204.108</v>
      </c>
      <c r="S52" s="1"/>
      <c r="T52" s="1"/>
      <c r="U52" s="1"/>
      <c r="V52" s="1"/>
      <c r="W52" s="1"/>
      <c r="X52" s="1"/>
      <c r="Y52" s="1"/>
      <c r="Z52" s="1"/>
    </row>
    <row r="53" spans="1:26" ht="15.75" customHeight="1" outlineLevel="1">
      <c r="A53" s="188"/>
      <c r="B53" s="1"/>
      <c r="C53" s="215" t="s">
        <v>176</v>
      </c>
      <c r="D53" s="201" t="s">
        <v>177</v>
      </c>
      <c r="E53" s="216">
        <f>+E52/378.663-1</f>
        <v>-0.53135716983175008</v>
      </c>
      <c r="F53" s="216">
        <f t="shared" ref="F53:R53" si="5">+F52/E52-1</f>
        <v>0.18488856781080787</v>
      </c>
      <c r="G53" s="216">
        <f t="shared" si="5"/>
        <v>4.1986497206416784E-2</v>
      </c>
      <c r="H53" s="216">
        <f t="shared" si="5"/>
        <v>0.25755011501807434</v>
      </c>
      <c r="I53" s="216">
        <f t="shared" si="5"/>
        <v>-0.33452451726563404</v>
      </c>
      <c r="J53" s="216">
        <f t="shared" si="5"/>
        <v>3.2990173139915813E-2</v>
      </c>
      <c r="K53" s="216">
        <f t="shared" si="5"/>
        <v>3.2842582106455298E-2</v>
      </c>
      <c r="L53" s="216">
        <f t="shared" si="5"/>
        <v>3.3114035087719262E-2</v>
      </c>
      <c r="M53" s="216">
        <f t="shared" si="5"/>
        <v>1.1232452540030469E-2</v>
      </c>
      <c r="N53" s="216">
        <f t="shared" si="5"/>
        <v>1.3408881842914111E-2</v>
      </c>
      <c r="O53" s="216">
        <f t="shared" si="5"/>
        <v>8.0864303634162749E-3</v>
      </c>
      <c r="P53" s="216">
        <f t="shared" si="5"/>
        <v>7.5100389295894576E-3</v>
      </c>
      <c r="Q53" s="216">
        <f t="shared" si="5"/>
        <v>-1.547477789947671E-2</v>
      </c>
      <c r="R53" s="216">
        <f t="shared" si="5"/>
        <v>-1.4447126991791404E-2</v>
      </c>
      <c r="S53" s="1"/>
      <c r="T53" s="1"/>
      <c r="U53" s="1"/>
      <c r="V53" s="1"/>
      <c r="W53" s="1"/>
      <c r="X53" s="1"/>
      <c r="Y53" s="1"/>
      <c r="Z53" s="1"/>
    </row>
    <row r="54" spans="1:26" ht="15.75" customHeight="1" outlineLevel="1">
      <c r="A54" s="188"/>
      <c r="B54" s="1"/>
      <c r="C54" s="19"/>
      <c r="D54" s="1"/>
      <c r="E54" s="199"/>
      <c r="F54" s="199"/>
      <c r="G54" s="199"/>
      <c r="H54" s="199"/>
      <c r="I54" s="199"/>
      <c r="J54" s="199"/>
      <c r="K54" s="199"/>
      <c r="L54" s="199"/>
      <c r="M54" s="199"/>
      <c r="N54" s="199"/>
      <c r="O54" s="199"/>
      <c r="P54" s="199"/>
      <c r="Q54" s="199"/>
      <c r="R54" s="199"/>
      <c r="S54" s="1"/>
      <c r="T54" s="1"/>
      <c r="U54" s="1"/>
      <c r="V54" s="1"/>
      <c r="W54" s="1"/>
      <c r="X54" s="1"/>
      <c r="Y54" s="1"/>
      <c r="Z54" s="1"/>
    </row>
    <row r="55" spans="1:26" ht="15.75" customHeight="1" outlineLevel="1">
      <c r="A55" s="188"/>
      <c r="B55" s="1"/>
      <c r="C55" s="37" t="s">
        <v>182</v>
      </c>
      <c r="D55" s="195"/>
      <c r="E55" s="196">
        <f>$E$20</f>
        <v>42735</v>
      </c>
      <c r="F55" s="196">
        <f>$F$20</f>
        <v>43100</v>
      </c>
      <c r="G55" s="196">
        <f>$G$20</f>
        <v>43465</v>
      </c>
      <c r="H55" s="197">
        <f>$H$20</f>
        <v>43830</v>
      </c>
      <c r="I55" s="196">
        <f>$I$20</f>
        <v>44196</v>
      </c>
      <c r="J55" s="196">
        <f>$J$20</f>
        <v>44561</v>
      </c>
      <c r="K55" s="196">
        <f>$K$20</f>
        <v>44926</v>
      </c>
      <c r="L55" s="196">
        <f>$L$20</f>
        <v>45291</v>
      </c>
      <c r="M55" s="196">
        <f>$M$20</f>
        <v>45657</v>
      </c>
      <c r="N55" s="196">
        <f>$N$20</f>
        <v>46022</v>
      </c>
      <c r="O55" s="196">
        <f>$O$20</f>
        <v>46387</v>
      </c>
      <c r="P55" s="196">
        <f>$P$20</f>
        <v>46752</v>
      </c>
      <c r="Q55" s="196">
        <f>$Q$20</f>
        <v>47118</v>
      </c>
      <c r="R55" s="196">
        <f>$R$20</f>
        <v>47483</v>
      </c>
      <c r="S55" s="1"/>
      <c r="T55" s="1"/>
      <c r="U55" s="1"/>
      <c r="V55" s="1"/>
      <c r="W55" s="1"/>
      <c r="X55" s="1"/>
      <c r="Y55" s="1"/>
      <c r="Z55" s="1"/>
    </row>
    <row r="56" spans="1:26" ht="15.75" customHeight="1" outlineLevel="1">
      <c r="A56" s="188"/>
      <c r="B56" s="1"/>
      <c r="C56" s="19"/>
      <c r="D56" s="1"/>
      <c r="E56" s="199"/>
      <c r="F56" s="199"/>
      <c r="G56" s="199"/>
      <c r="H56" s="199"/>
      <c r="I56" s="199"/>
      <c r="J56" s="199"/>
      <c r="K56" s="199"/>
      <c r="L56" s="199"/>
      <c r="M56" s="199"/>
      <c r="N56" s="199"/>
      <c r="O56" s="199"/>
      <c r="P56" s="199"/>
      <c r="Q56" s="199"/>
      <c r="R56" s="199"/>
      <c r="S56" s="1"/>
      <c r="T56" s="1"/>
      <c r="U56" s="1"/>
      <c r="V56" s="1"/>
      <c r="W56" s="1"/>
      <c r="X56" s="1"/>
      <c r="Y56" s="1"/>
      <c r="Z56" s="1"/>
    </row>
    <row r="57" spans="1:26" ht="15.75" customHeight="1" outlineLevel="1">
      <c r="A57" s="188"/>
      <c r="B57" s="1"/>
      <c r="C57" s="198" t="s">
        <v>166</v>
      </c>
      <c r="D57" s="201" t="s">
        <v>167</v>
      </c>
      <c r="E57" s="203">
        <v>19.114000000000001</v>
      </c>
      <c r="F57" s="203">
        <v>18.923999999999999</v>
      </c>
      <c r="G57" s="203">
        <v>18.544</v>
      </c>
      <c r="H57" s="203">
        <v>22.99</v>
      </c>
      <c r="I57" s="203">
        <f t="array" ref="I57">INDEX(I58:I60,MATCH(Scenario,$C58:$C60,0))</f>
        <v>14.82</v>
      </c>
      <c r="J57" s="203">
        <f t="array" ref="J57">INDEX(J58:J60,MATCH(Scenario,$C58:$C60,0))</f>
        <v>14.82</v>
      </c>
      <c r="K57" s="203">
        <f t="array" ref="K57">INDEX(K58:K60,MATCH(Scenario,$C58:$C60,0))</f>
        <v>14.82</v>
      </c>
      <c r="L57" s="203">
        <f t="array" ref="L57">INDEX(L58:L60,MATCH(Scenario,$C58:$C60,0))</f>
        <v>14</v>
      </c>
      <c r="M57" s="203">
        <f t="array" ref="M57">INDEX(M58:M60,MATCH(Scenario,$C58:$C60,0))</f>
        <v>14</v>
      </c>
      <c r="N57" s="203">
        <f t="array" ref="N57">INDEX(N58:N60,MATCH(Scenario,$C58:$C60,0))</f>
        <v>14</v>
      </c>
      <c r="O57" s="203">
        <f t="array" ref="O57">INDEX(O58:O60,MATCH(Scenario,$C58:$C60,0))</f>
        <v>13</v>
      </c>
      <c r="P57" s="203">
        <f t="array" ref="P57">INDEX(P58:P60,MATCH(Scenario,$C58:$C60,0))</f>
        <v>13</v>
      </c>
      <c r="Q57" s="203">
        <f t="array" ref="Q57">INDEX(Q58:Q60,MATCH(Scenario,$C58:$C60,0))</f>
        <v>12</v>
      </c>
      <c r="R57" s="203">
        <f t="array" ref="R57">INDEX(R58:R60,MATCH(Scenario,$C58:$C60,0))</f>
        <v>12</v>
      </c>
      <c r="S57" s="1"/>
      <c r="T57" s="1"/>
      <c r="U57" s="1"/>
      <c r="V57" s="1"/>
      <c r="W57" s="1"/>
      <c r="X57" s="1"/>
      <c r="Y57" s="1"/>
      <c r="Z57" s="1"/>
    </row>
    <row r="58" spans="1:26" ht="15.75" customHeight="1" outlineLevel="1">
      <c r="A58" s="188"/>
      <c r="B58" s="1"/>
      <c r="C58" s="198" t="s">
        <v>160</v>
      </c>
      <c r="D58" s="201" t="s">
        <v>167</v>
      </c>
      <c r="E58" s="203"/>
      <c r="F58" s="203"/>
      <c r="G58" s="203"/>
      <c r="H58" s="203"/>
      <c r="I58" s="205">
        <v>14.82</v>
      </c>
      <c r="J58" s="205">
        <v>14.82</v>
      </c>
      <c r="K58" s="205">
        <v>14.82</v>
      </c>
      <c r="L58" s="205">
        <v>14</v>
      </c>
      <c r="M58" s="205">
        <v>14</v>
      </c>
      <c r="N58" s="205">
        <v>14</v>
      </c>
      <c r="O58" s="205">
        <v>13</v>
      </c>
      <c r="P58" s="205">
        <v>13</v>
      </c>
      <c r="Q58" s="205">
        <v>12</v>
      </c>
      <c r="R58" s="205">
        <v>12</v>
      </c>
      <c r="S58" s="1"/>
      <c r="T58" s="1"/>
      <c r="U58" s="1"/>
      <c r="V58" s="1"/>
      <c r="W58" s="1"/>
      <c r="X58" s="1"/>
      <c r="Y58" s="1"/>
      <c r="Z58" s="1"/>
    </row>
    <row r="59" spans="1:26" ht="15.75" customHeight="1" outlineLevel="1">
      <c r="A59" s="188"/>
      <c r="B59" s="1"/>
      <c r="C59" s="198" t="s">
        <v>168</v>
      </c>
      <c r="D59" s="201" t="s">
        <v>167</v>
      </c>
      <c r="E59" s="203"/>
      <c r="F59" s="203"/>
      <c r="G59" s="203"/>
      <c r="H59" s="203"/>
      <c r="I59" s="205">
        <v>14.82</v>
      </c>
      <c r="J59" s="205">
        <v>15.56</v>
      </c>
      <c r="K59" s="205">
        <v>17.079999999999998</v>
      </c>
      <c r="L59" s="205">
        <v>17</v>
      </c>
      <c r="M59" s="205">
        <v>17</v>
      </c>
      <c r="N59" s="205">
        <v>17</v>
      </c>
      <c r="O59" s="205">
        <v>13</v>
      </c>
      <c r="P59" s="205">
        <v>13</v>
      </c>
      <c r="Q59" s="205">
        <v>13</v>
      </c>
      <c r="R59" s="205">
        <v>12</v>
      </c>
      <c r="S59" s="1"/>
      <c r="T59" s="1"/>
      <c r="U59" s="1"/>
      <c r="V59" s="1"/>
      <c r="W59" s="1"/>
      <c r="X59" s="1"/>
      <c r="Y59" s="1"/>
      <c r="Z59" s="1"/>
    </row>
    <row r="60" spans="1:26" ht="15.75" customHeight="1" outlineLevel="1">
      <c r="A60" s="188"/>
      <c r="B60" s="1"/>
      <c r="C60" s="198" t="s">
        <v>169</v>
      </c>
      <c r="D60" s="201" t="s">
        <v>167</v>
      </c>
      <c r="E60" s="203"/>
      <c r="F60" s="203"/>
      <c r="G60" s="203"/>
      <c r="H60" s="203"/>
      <c r="I60" s="205">
        <v>14.375400000000001</v>
      </c>
      <c r="J60" s="205">
        <v>14</v>
      </c>
      <c r="K60" s="205">
        <v>14</v>
      </c>
      <c r="L60" s="205">
        <v>13</v>
      </c>
      <c r="M60" s="205">
        <v>12</v>
      </c>
      <c r="N60" s="205">
        <v>12</v>
      </c>
      <c r="O60" s="205">
        <v>11</v>
      </c>
      <c r="P60" s="205">
        <v>10</v>
      </c>
      <c r="Q60" s="205">
        <v>10</v>
      </c>
      <c r="R60" s="205">
        <v>9</v>
      </c>
      <c r="S60" s="1"/>
      <c r="T60" s="1"/>
      <c r="U60" s="1"/>
      <c r="V60" s="1"/>
      <c r="W60" s="1"/>
      <c r="X60" s="1"/>
      <c r="Y60" s="1"/>
      <c r="Z60" s="1"/>
    </row>
    <row r="61" spans="1:26" ht="15.75" customHeight="1" outlineLevel="1">
      <c r="A61" s="188"/>
      <c r="B61" s="1"/>
      <c r="C61" s="198"/>
      <c r="D61" s="72"/>
      <c r="E61" s="203"/>
      <c r="F61" s="203"/>
      <c r="G61" s="203"/>
      <c r="H61" s="203"/>
      <c r="I61" s="206"/>
      <c r="J61" s="206"/>
      <c r="K61" s="206"/>
      <c r="L61" s="206"/>
      <c r="M61" s="206"/>
      <c r="N61" s="206"/>
      <c r="O61" s="206"/>
      <c r="P61" s="206"/>
      <c r="Q61" s="206"/>
      <c r="R61" s="206"/>
      <c r="S61" s="1"/>
      <c r="T61" s="1"/>
      <c r="U61" s="1"/>
      <c r="V61" s="1"/>
      <c r="W61" s="1"/>
      <c r="X61" s="1"/>
      <c r="Y61" s="1"/>
      <c r="Z61" s="1"/>
    </row>
    <row r="62" spans="1:26" ht="15.75" customHeight="1" outlineLevel="1">
      <c r="A62" s="188"/>
      <c r="B62" s="1"/>
      <c r="C62" s="198" t="s">
        <v>170</v>
      </c>
      <c r="D62" s="201" t="s">
        <v>167</v>
      </c>
      <c r="E62" s="203">
        <v>38.049999999999997</v>
      </c>
      <c r="F62" s="203">
        <v>45.5</v>
      </c>
      <c r="G62" s="203">
        <v>48.37</v>
      </c>
      <c r="H62" s="203">
        <v>49.05</v>
      </c>
      <c r="I62" s="203">
        <f t="array" ref="I62">INDEX(I63:I65,MATCH(Scenario,$C63:$C65,0))</f>
        <v>49.89</v>
      </c>
      <c r="J62" s="203">
        <f t="array" ref="J62">INDEX(J63:J65,MATCH(Scenario,$C63:$C65,0))</f>
        <v>50.74</v>
      </c>
      <c r="K62" s="203">
        <f t="array" ref="K62">INDEX(K63:K65,MATCH(Scenario,$C63:$C65,0))</f>
        <v>51.6</v>
      </c>
      <c r="L62" s="203">
        <f t="array" ref="L62">INDEX(L63:L65,MATCH(Scenario,$C63:$C65,0))</f>
        <v>52.47</v>
      </c>
      <c r="M62" s="203">
        <f t="array" ref="M62">INDEX(M63:M65,MATCH(Scenario,$C63:$C65,0))</f>
        <v>53.37</v>
      </c>
      <c r="N62" s="203">
        <f t="array" ref="N62">INDEX(N63:N65,MATCH(Scenario,$C63:$C65,0))</f>
        <v>54.27</v>
      </c>
      <c r="O62" s="203">
        <f t="array" ref="O62">INDEX(O63:O65,MATCH(Scenario,$C63:$C65,0))</f>
        <v>55.2</v>
      </c>
      <c r="P62" s="203">
        <f t="array" ref="P62">INDEX(P63:P65,MATCH(Scenario,$C63:$C65,0))</f>
        <v>56.14</v>
      </c>
      <c r="Q62" s="203">
        <f t="array" ref="Q62">INDEX(Q63:Q65,MATCH(Scenario,$C63:$C65,0))</f>
        <v>57.09</v>
      </c>
      <c r="R62" s="203">
        <f t="array" ref="R62">INDEX(R63:R65,MATCH(Scenario,$C63:$C65,0))</f>
        <v>58.06</v>
      </c>
      <c r="S62" s="1"/>
      <c r="T62" s="1"/>
      <c r="U62" s="1"/>
      <c r="V62" s="1"/>
      <c r="W62" s="1"/>
      <c r="X62" s="1"/>
      <c r="Y62" s="1"/>
      <c r="Z62" s="1"/>
    </row>
    <row r="63" spans="1:26" ht="15.75" customHeight="1" outlineLevel="1">
      <c r="A63" s="188"/>
      <c r="B63" s="1"/>
      <c r="C63" s="198" t="str">
        <f>+$C$26</f>
        <v>Base</v>
      </c>
      <c r="D63" s="201" t="s">
        <v>167</v>
      </c>
      <c r="E63" s="210"/>
      <c r="F63" s="211"/>
      <c r="G63" s="212"/>
      <c r="H63" s="212"/>
      <c r="I63" s="205">
        <v>49.89</v>
      </c>
      <c r="J63" s="205">
        <v>50.74</v>
      </c>
      <c r="K63" s="205">
        <v>51.6</v>
      </c>
      <c r="L63" s="205">
        <v>52.47</v>
      </c>
      <c r="M63" s="205">
        <v>53.37</v>
      </c>
      <c r="N63" s="205">
        <v>54.27</v>
      </c>
      <c r="O63" s="205">
        <v>55.2</v>
      </c>
      <c r="P63" s="205">
        <v>56.14</v>
      </c>
      <c r="Q63" s="205">
        <v>57.09</v>
      </c>
      <c r="R63" s="205">
        <v>58.06</v>
      </c>
      <c r="S63" s="1"/>
      <c r="T63" s="1"/>
      <c r="U63" s="1"/>
      <c r="V63" s="1"/>
      <c r="W63" s="1"/>
      <c r="X63" s="1"/>
      <c r="Y63" s="1"/>
      <c r="Z63" s="1"/>
    </row>
    <row r="64" spans="1:26" ht="15.75" customHeight="1" outlineLevel="1">
      <c r="A64" s="188"/>
      <c r="B64" s="1"/>
      <c r="C64" s="198" t="str">
        <f>+$C$27</f>
        <v>Upside</v>
      </c>
      <c r="D64" s="201" t="s">
        <v>167</v>
      </c>
      <c r="E64" s="212"/>
      <c r="F64" s="211"/>
      <c r="G64" s="212"/>
      <c r="H64" s="212"/>
      <c r="I64" s="205">
        <v>49.89</v>
      </c>
      <c r="J64" s="205">
        <v>50.74</v>
      </c>
      <c r="K64" s="205">
        <v>51.6</v>
      </c>
      <c r="L64" s="205">
        <v>52.47</v>
      </c>
      <c r="M64" s="205">
        <v>53.37</v>
      </c>
      <c r="N64" s="205">
        <v>54.27</v>
      </c>
      <c r="O64" s="205">
        <v>55.2</v>
      </c>
      <c r="P64" s="205">
        <v>56.14</v>
      </c>
      <c r="Q64" s="205">
        <v>57.09</v>
      </c>
      <c r="R64" s="205">
        <v>58.06</v>
      </c>
      <c r="S64" s="1"/>
      <c r="T64" s="1"/>
      <c r="U64" s="1"/>
      <c r="V64" s="1"/>
      <c r="W64" s="1"/>
      <c r="X64" s="1"/>
      <c r="Y64" s="1"/>
      <c r="Z64" s="1"/>
    </row>
    <row r="65" spans="1:26" ht="15.75" customHeight="1" outlineLevel="1">
      <c r="A65" s="188"/>
      <c r="B65" s="1"/>
      <c r="C65" s="198" t="str">
        <f>+$C$28</f>
        <v>Downside</v>
      </c>
      <c r="D65" s="201" t="s">
        <v>167</v>
      </c>
      <c r="E65" s="212"/>
      <c r="F65" s="211"/>
      <c r="G65" s="212"/>
      <c r="H65" s="212"/>
      <c r="I65" s="205">
        <v>49.89</v>
      </c>
      <c r="J65" s="205">
        <v>50.74</v>
      </c>
      <c r="K65" s="205">
        <v>51.6</v>
      </c>
      <c r="L65" s="205">
        <v>52.47</v>
      </c>
      <c r="M65" s="205">
        <v>53.37</v>
      </c>
      <c r="N65" s="205">
        <v>54.27</v>
      </c>
      <c r="O65" s="205">
        <v>55.2</v>
      </c>
      <c r="P65" s="205">
        <v>56.14</v>
      </c>
      <c r="Q65" s="205">
        <v>57.09</v>
      </c>
      <c r="R65" s="205">
        <v>58.06</v>
      </c>
      <c r="S65" s="1"/>
      <c r="T65" s="1"/>
      <c r="U65" s="1"/>
      <c r="V65" s="1"/>
      <c r="W65" s="1"/>
      <c r="X65" s="1"/>
      <c r="Y65" s="1"/>
      <c r="Z65" s="1"/>
    </row>
    <row r="66" spans="1:26" ht="15.75" customHeight="1" outlineLevel="1">
      <c r="A66" s="188"/>
      <c r="B66" s="1"/>
      <c r="C66" s="198"/>
      <c r="D66" s="201"/>
      <c r="E66" s="212"/>
      <c r="F66" s="212"/>
      <c r="G66" s="212"/>
      <c r="H66" s="212"/>
      <c r="I66" s="212"/>
      <c r="J66" s="212"/>
      <c r="K66" s="212"/>
      <c r="L66" s="212"/>
      <c r="M66" s="212"/>
      <c r="N66" s="212"/>
      <c r="O66" s="212"/>
      <c r="P66" s="212"/>
      <c r="Q66" s="212"/>
      <c r="R66" s="212"/>
      <c r="S66" s="1"/>
      <c r="T66" s="1"/>
      <c r="U66" s="1"/>
      <c r="V66" s="1"/>
      <c r="W66" s="1"/>
      <c r="X66" s="1"/>
      <c r="Y66" s="1"/>
      <c r="Z66" s="1"/>
    </row>
    <row r="67" spans="1:26" ht="15.75" customHeight="1" outlineLevel="1">
      <c r="A67" s="188"/>
      <c r="B67" s="1"/>
      <c r="C67" s="198"/>
      <c r="D67" s="1"/>
      <c r="E67" s="199"/>
      <c r="F67" s="199"/>
      <c r="G67" s="199"/>
      <c r="H67" s="199"/>
      <c r="I67" s="199"/>
      <c r="J67" s="199"/>
      <c r="K67" s="199"/>
      <c r="L67" s="199"/>
      <c r="M67" s="199"/>
      <c r="N67" s="199"/>
      <c r="O67" s="199"/>
      <c r="P67" s="199"/>
      <c r="Q67" s="199"/>
      <c r="R67" s="199"/>
      <c r="S67" s="1"/>
      <c r="T67" s="1"/>
      <c r="U67" s="1"/>
      <c r="V67" s="1"/>
      <c r="W67" s="1"/>
      <c r="X67" s="1"/>
      <c r="Y67" s="1"/>
      <c r="Z67" s="1"/>
    </row>
    <row r="68" spans="1:26" ht="15.75" customHeight="1" outlineLevel="1">
      <c r="A68" s="188"/>
      <c r="B68" s="1"/>
      <c r="C68" s="198" t="s">
        <v>185</v>
      </c>
      <c r="D68" s="201" t="s">
        <v>175</v>
      </c>
      <c r="E68" s="17">
        <f t="shared" ref="E68:R68" si="6">E57*E62</f>
        <v>727.28769999999997</v>
      </c>
      <c r="F68" s="17">
        <f t="shared" si="6"/>
        <v>861.04200000000003</v>
      </c>
      <c r="G68" s="17">
        <f t="shared" si="6"/>
        <v>896.97327999999993</v>
      </c>
      <c r="H68" s="17">
        <f t="shared" si="6"/>
        <v>1127.6594999999998</v>
      </c>
      <c r="I68" s="17">
        <f t="shared" si="6"/>
        <v>739.36980000000005</v>
      </c>
      <c r="J68" s="17">
        <f t="shared" si="6"/>
        <v>751.96680000000003</v>
      </c>
      <c r="K68" s="17">
        <f t="shared" si="6"/>
        <v>764.71199999999999</v>
      </c>
      <c r="L68" s="17">
        <f t="shared" si="6"/>
        <v>734.57999999999993</v>
      </c>
      <c r="M68" s="17">
        <f t="shared" si="6"/>
        <v>747.18</v>
      </c>
      <c r="N68" s="17">
        <f t="shared" si="6"/>
        <v>759.78000000000009</v>
      </c>
      <c r="O68" s="17">
        <f t="shared" si="6"/>
        <v>717.6</v>
      </c>
      <c r="P68" s="17">
        <f t="shared" si="6"/>
        <v>729.82</v>
      </c>
      <c r="Q68" s="17">
        <f t="shared" si="6"/>
        <v>685.08</v>
      </c>
      <c r="R68" s="17">
        <f t="shared" si="6"/>
        <v>696.72</v>
      </c>
      <c r="S68" s="1"/>
      <c r="T68" s="1"/>
      <c r="U68" s="1"/>
      <c r="V68" s="1"/>
      <c r="W68" s="1"/>
      <c r="X68" s="1"/>
      <c r="Y68" s="1"/>
      <c r="Z68" s="1"/>
    </row>
    <row r="69" spans="1:26" ht="15.75" customHeight="1" outlineLevel="1">
      <c r="A69" s="188"/>
      <c r="B69" s="1"/>
      <c r="C69" s="215" t="s">
        <v>176</v>
      </c>
      <c r="D69" s="201" t="s">
        <v>177</v>
      </c>
      <c r="E69" s="216">
        <f>+E68/378.663-1</f>
        <v>0.92067273538740246</v>
      </c>
      <c r="F69" s="216">
        <f t="shared" ref="F69:R69" si="7">+F68/E68-1</f>
        <v>0.18390837628630319</v>
      </c>
      <c r="G69" s="216">
        <f t="shared" si="7"/>
        <v>4.1729996910719658E-2</v>
      </c>
      <c r="H69" s="216">
        <f t="shared" si="7"/>
        <v>0.25718293414492766</v>
      </c>
      <c r="I69" s="216">
        <f t="shared" si="7"/>
        <v>-0.34433239821062989</v>
      </c>
      <c r="J69" s="216">
        <f t="shared" si="7"/>
        <v>1.703748246141501E-2</v>
      </c>
      <c r="K69" s="216">
        <f t="shared" si="7"/>
        <v>1.6949152542372836E-2</v>
      </c>
      <c r="L69" s="216">
        <f t="shared" si="7"/>
        <v>-3.9403069390829604E-2</v>
      </c>
      <c r="M69" s="216">
        <f t="shared" si="7"/>
        <v>1.7152658662092701E-2</v>
      </c>
      <c r="N69" s="216">
        <f t="shared" si="7"/>
        <v>1.6863406408094583E-2</v>
      </c>
      <c r="O69" s="216">
        <f t="shared" si="7"/>
        <v>-5.5516070441443688E-2</v>
      </c>
      <c r="P69" s="216">
        <f t="shared" si="7"/>
        <v>1.7028985507246519E-2</v>
      </c>
      <c r="Q69" s="216">
        <f t="shared" si="7"/>
        <v>-6.13027869885725E-2</v>
      </c>
      <c r="R69" s="216">
        <f t="shared" si="7"/>
        <v>1.6990716412681683E-2</v>
      </c>
      <c r="S69" s="1"/>
      <c r="T69" s="1"/>
      <c r="U69" s="1"/>
      <c r="V69" s="1"/>
      <c r="W69" s="1"/>
      <c r="X69" s="1"/>
      <c r="Y69" s="1"/>
      <c r="Z69" s="1"/>
    </row>
    <row r="70" spans="1:26" ht="15.75" customHeight="1" outlineLevel="1">
      <c r="A70" s="188"/>
      <c r="B70" s="1"/>
      <c r="C70" s="19"/>
      <c r="D70" s="1"/>
      <c r="E70" s="199"/>
      <c r="F70" s="199"/>
      <c r="G70" s="199"/>
      <c r="H70" s="199"/>
      <c r="I70" s="199"/>
      <c r="J70" s="199"/>
      <c r="K70" s="199"/>
      <c r="L70" s="199"/>
      <c r="M70" s="199"/>
      <c r="N70" s="199"/>
      <c r="O70" s="199"/>
      <c r="P70" s="199"/>
      <c r="Q70" s="199"/>
      <c r="R70" s="199"/>
      <c r="S70" s="1"/>
      <c r="T70" s="1"/>
      <c r="U70" s="1"/>
      <c r="V70" s="1"/>
      <c r="W70" s="1"/>
      <c r="X70" s="1"/>
      <c r="Y70" s="1"/>
      <c r="Z70" s="1"/>
    </row>
    <row r="71" spans="1:26" ht="15.75" customHeight="1" outlineLevel="1">
      <c r="A71" s="188"/>
      <c r="B71" s="1"/>
      <c r="C71" s="37" t="s">
        <v>186</v>
      </c>
      <c r="D71" s="195"/>
      <c r="E71" s="196">
        <f>$E$20</f>
        <v>42735</v>
      </c>
      <c r="F71" s="196">
        <f>$F$20</f>
        <v>43100</v>
      </c>
      <c r="G71" s="196">
        <f>$G$20</f>
        <v>43465</v>
      </c>
      <c r="H71" s="197">
        <f>$H$20</f>
        <v>43830</v>
      </c>
      <c r="I71" s="196">
        <f>$I$20</f>
        <v>44196</v>
      </c>
      <c r="J71" s="196">
        <f>$J$20</f>
        <v>44561</v>
      </c>
      <c r="K71" s="196">
        <f>$K$20</f>
        <v>44926</v>
      </c>
      <c r="L71" s="196">
        <f>$L$20</f>
        <v>45291</v>
      </c>
      <c r="M71" s="196">
        <f>$M$20</f>
        <v>45657</v>
      </c>
      <c r="N71" s="196">
        <f>$N$20</f>
        <v>46022</v>
      </c>
      <c r="O71" s="196">
        <f>$O$20</f>
        <v>46387</v>
      </c>
      <c r="P71" s="196">
        <f>$P$20</f>
        <v>46752</v>
      </c>
      <c r="Q71" s="196">
        <f>$Q$20</f>
        <v>47118</v>
      </c>
      <c r="R71" s="196">
        <f>$R$20</f>
        <v>47483</v>
      </c>
      <c r="S71" s="1"/>
      <c r="T71" s="1"/>
      <c r="U71" s="1"/>
      <c r="V71" s="1"/>
      <c r="W71" s="1"/>
      <c r="X71" s="1"/>
      <c r="Y71" s="1"/>
      <c r="Z71" s="1"/>
    </row>
    <row r="72" spans="1:26" ht="15.75" customHeight="1" outlineLevel="1">
      <c r="A72" s="188"/>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outlineLevel="1">
      <c r="A73" s="188"/>
      <c r="B73" s="1"/>
      <c r="C73" s="198"/>
      <c r="D73" s="72"/>
      <c r="E73" s="204"/>
      <c r="F73" s="204"/>
      <c r="G73" s="204"/>
      <c r="H73" s="204"/>
      <c r="I73" s="210"/>
      <c r="J73" s="210"/>
      <c r="K73" s="210"/>
      <c r="L73" s="210"/>
      <c r="M73" s="210"/>
      <c r="N73" s="210"/>
      <c r="O73" s="210"/>
      <c r="P73" s="210"/>
      <c r="Q73" s="210"/>
      <c r="R73" s="210"/>
      <c r="S73" s="1"/>
      <c r="T73" s="1"/>
      <c r="U73" s="1"/>
      <c r="V73" s="1"/>
      <c r="W73" s="1"/>
      <c r="X73" s="1"/>
      <c r="Y73" s="1"/>
      <c r="Z73" s="1"/>
    </row>
    <row r="74" spans="1:26" ht="15.75" customHeight="1" outlineLevel="1">
      <c r="A74" s="188"/>
      <c r="B74" s="1"/>
      <c r="C74" s="198" t="s">
        <v>9</v>
      </c>
      <c r="D74" s="201" t="s">
        <v>167</v>
      </c>
      <c r="E74" s="379">
        <v>2439</v>
      </c>
      <c r="F74" s="379">
        <v>2139</v>
      </c>
      <c r="G74" s="379">
        <v>2291</v>
      </c>
      <c r="H74" s="379">
        <v>1719</v>
      </c>
      <c r="I74" s="203">
        <f t="array" ref="I74">INDEX(I75:I77,MATCH(Scenario,$C75:$C77,0))</f>
        <v>1800.24</v>
      </c>
      <c r="J74" s="203">
        <f t="array" ref="J74">INDEX(J75:J77,MATCH(Scenario,$C75:$C77,0))</f>
        <v>1376.1200000000001</v>
      </c>
      <c r="K74" s="203">
        <f t="array" ref="K74">INDEX(K75:K77,MATCH(Scenario,$C75:$C77,0))</f>
        <v>1755.6000000000001</v>
      </c>
      <c r="L74" s="203">
        <f t="array" ref="L74">INDEX(L75:L77,MATCH(Scenario,$C75:$C77,0))</f>
        <v>1847.5</v>
      </c>
      <c r="M74" s="203">
        <f t="array" ref="M74">INDEX(M75:M77,MATCH(Scenario,$C75:$C77,0))</f>
        <v>1840.58</v>
      </c>
      <c r="N74" s="203">
        <f t="array" ref="N74">INDEX(N75:N77,MATCH(Scenario,$C75:$C77,0))</f>
        <v>1859.8899999999999</v>
      </c>
      <c r="O74" s="203">
        <f t="array" ref="O74">INDEX(O75:O77,MATCH(Scenario,$C75:$C77,0))</f>
        <v>1930.44</v>
      </c>
      <c r="P74" s="203">
        <f t="array" ref="P74">INDEX(P75:P77,MATCH(Scenario,$C75:$C77,0))</f>
        <v>1952.27</v>
      </c>
      <c r="Q74" s="203">
        <f t="array" ref="Q74">INDEX(Q75:Q77,MATCH(Scenario,$C75:$C77,0))</f>
        <v>2025.44</v>
      </c>
      <c r="R74" s="203">
        <f t="array" ref="R74">INDEX(R75:R77,MATCH(Scenario,$C75:$C77,0))</f>
        <v>2049.9700000000003</v>
      </c>
      <c r="S74" s="1"/>
      <c r="T74" s="1"/>
      <c r="U74" s="1"/>
      <c r="V74" s="1"/>
      <c r="W74" s="1"/>
      <c r="X74" s="1"/>
      <c r="Y74" s="1"/>
      <c r="Z74" s="1"/>
    </row>
    <row r="75" spans="1:26" ht="15.75" customHeight="1" outlineLevel="1">
      <c r="A75" s="188"/>
      <c r="B75" s="1"/>
      <c r="C75" s="198" t="str">
        <f>+$C$26</f>
        <v>Base</v>
      </c>
      <c r="D75" s="201" t="s">
        <v>167</v>
      </c>
      <c r="E75" s="212"/>
      <c r="F75" s="212"/>
      <c r="G75" s="212"/>
      <c r="H75" s="212"/>
      <c r="I75" s="205">
        <v>1800.24</v>
      </c>
      <c r="J75" s="205">
        <v>1376.1200000000001</v>
      </c>
      <c r="K75" s="205">
        <v>1755.6000000000001</v>
      </c>
      <c r="L75" s="205">
        <v>1847.5</v>
      </c>
      <c r="M75" s="205">
        <v>1840.58</v>
      </c>
      <c r="N75" s="205">
        <v>1859.8899999999999</v>
      </c>
      <c r="O75" s="205">
        <v>1930.44</v>
      </c>
      <c r="P75" s="205">
        <v>1952.27</v>
      </c>
      <c r="Q75" s="205">
        <v>2025.44</v>
      </c>
      <c r="R75" s="205">
        <v>2049.9700000000003</v>
      </c>
      <c r="S75" s="380"/>
      <c r="T75" s="1"/>
      <c r="U75" s="1"/>
      <c r="V75" s="1"/>
      <c r="W75" s="1"/>
      <c r="X75" s="1"/>
      <c r="Y75" s="1"/>
      <c r="Z75" s="1"/>
    </row>
    <row r="76" spans="1:26" ht="15.75" customHeight="1" outlineLevel="1">
      <c r="A76" s="188"/>
      <c r="B76" s="1"/>
      <c r="C76" s="198" t="str">
        <f>+$C$27</f>
        <v>Upside</v>
      </c>
      <c r="D76" s="201" t="s">
        <v>167</v>
      </c>
      <c r="E76" s="212"/>
      <c r="F76" s="212"/>
      <c r="G76" s="212"/>
      <c r="H76" s="212"/>
      <c r="I76" s="205">
        <v>1928.2000000000003</v>
      </c>
      <c r="J76" s="205">
        <v>2013.6000000000001</v>
      </c>
      <c r="K76" s="205">
        <v>1979.2</v>
      </c>
      <c r="L76" s="205">
        <v>2125.1999999999998</v>
      </c>
      <c r="M76" s="205">
        <v>2176.9</v>
      </c>
      <c r="N76" s="205">
        <v>2259.6999999999998</v>
      </c>
      <c r="O76" s="205">
        <v>2399</v>
      </c>
      <c r="P76" s="205">
        <v>2495</v>
      </c>
      <c r="Q76" s="205">
        <v>2648.3</v>
      </c>
      <c r="R76" s="205">
        <v>2759.2999999999997</v>
      </c>
      <c r="S76" s="1"/>
      <c r="T76" s="1"/>
      <c r="U76" s="1"/>
      <c r="V76" s="1"/>
      <c r="W76" s="1"/>
      <c r="X76" s="1"/>
      <c r="Y76" s="1"/>
      <c r="Z76" s="1"/>
    </row>
    <row r="77" spans="1:26" ht="15.75" customHeight="1" outlineLevel="1">
      <c r="A77" s="188"/>
      <c r="B77" s="1"/>
      <c r="C77" s="198" t="str">
        <f>+$C$28</f>
        <v>Downside</v>
      </c>
      <c r="D77" s="201" t="s">
        <v>167</v>
      </c>
      <c r="E77" s="212"/>
      <c r="F77" s="212"/>
      <c r="G77" s="212"/>
      <c r="H77" s="212"/>
      <c r="I77" s="205">
        <v>1576</v>
      </c>
      <c r="J77" s="205">
        <v>1576</v>
      </c>
      <c r="K77" s="205">
        <v>1513.5</v>
      </c>
      <c r="L77" s="205">
        <v>1538.5</v>
      </c>
      <c r="M77" s="205">
        <v>1513.5</v>
      </c>
      <c r="N77" s="205">
        <v>1501</v>
      </c>
      <c r="O77" s="205">
        <v>1513.5</v>
      </c>
      <c r="P77" s="205">
        <v>1501</v>
      </c>
      <c r="Q77" s="205">
        <v>1513.5</v>
      </c>
      <c r="R77" s="205">
        <v>1501</v>
      </c>
      <c r="S77" s="1"/>
      <c r="T77" s="1"/>
      <c r="U77" s="1"/>
      <c r="V77" s="1"/>
      <c r="W77" s="1"/>
      <c r="X77" s="1"/>
      <c r="Y77" s="1"/>
      <c r="Z77" s="1"/>
    </row>
    <row r="78" spans="1:26" ht="15.75" customHeight="1" outlineLevel="1">
      <c r="A78" s="188"/>
      <c r="B78" s="1"/>
      <c r="C78" s="198"/>
      <c r="D78" s="201"/>
      <c r="E78" s="212"/>
      <c r="F78" s="212"/>
      <c r="G78" s="212"/>
      <c r="H78" s="212"/>
      <c r="I78" s="231"/>
      <c r="J78" s="231"/>
      <c r="K78" s="232"/>
      <c r="L78" s="232"/>
      <c r="M78" s="232"/>
      <c r="N78" s="232"/>
      <c r="O78" s="232"/>
      <c r="P78" s="232"/>
      <c r="Q78" s="232"/>
      <c r="R78" s="232"/>
      <c r="S78" s="1"/>
      <c r="T78" s="1"/>
      <c r="U78" s="1"/>
      <c r="V78" s="1"/>
      <c r="W78" s="1"/>
      <c r="X78" s="1"/>
      <c r="Y78" s="1"/>
      <c r="Z78" s="1"/>
    </row>
    <row r="79" spans="1:26" ht="15.75" customHeight="1" outlineLevel="1">
      <c r="A79" s="188"/>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outlineLevel="1">
      <c r="A80" s="188"/>
      <c r="B80" s="1"/>
      <c r="C80" s="198" t="s">
        <v>189</v>
      </c>
      <c r="D80" s="201" t="s">
        <v>175</v>
      </c>
      <c r="E80" s="17">
        <f t="shared" ref="E80:H80" si="8">E74</f>
        <v>2439</v>
      </c>
      <c r="F80" s="17">
        <f t="shared" si="8"/>
        <v>2139</v>
      </c>
      <c r="G80" s="17">
        <f t="shared" si="8"/>
        <v>2291</v>
      </c>
      <c r="H80" s="17">
        <f t="shared" si="8"/>
        <v>1719</v>
      </c>
      <c r="I80" s="17">
        <f t="shared" ref="I80:R80" si="9">I74</f>
        <v>1800.24</v>
      </c>
      <c r="J80" s="17">
        <f t="shared" si="9"/>
        <v>1376.1200000000001</v>
      </c>
      <c r="K80" s="17">
        <f t="shared" si="9"/>
        <v>1755.6000000000001</v>
      </c>
      <c r="L80" s="17">
        <f t="shared" si="9"/>
        <v>1847.5</v>
      </c>
      <c r="M80" s="17">
        <f t="shared" si="9"/>
        <v>1840.58</v>
      </c>
      <c r="N80" s="17">
        <f t="shared" si="9"/>
        <v>1859.8899999999999</v>
      </c>
      <c r="O80" s="17">
        <f t="shared" si="9"/>
        <v>1930.44</v>
      </c>
      <c r="P80" s="17">
        <f t="shared" si="9"/>
        <v>1952.27</v>
      </c>
      <c r="Q80" s="17">
        <f t="shared" si="9"/>
        <v>2025.44</v>
      </c>
      <c r="R80" s="17">
        <f t="shared" si="9"/>
        <v>2049.9700000000003</v>
      </c>
      <c r="S80" s="1"/>
      <c r="T80" s="1"/>
      <c r="U80" s="1"/>
      <c r="V80" s="1"/>
      <c r="W80" s="1"/>
      <c r="X80" s="1"/>
      <c r="Y80" s="1"/>
      <c r="Z80" s="1"/>
    </row>
    <row r="81" spans="1:26" ht="15.75" customHeight="1" outlineLevel="1">
      <c r="A81" s="188"/>
      <c r="B81" s="1"/>
      <c r="C81" s="215" t="s">
        <v>176</v>
      </c>
      <c r="D81" s="201" t="s">
        <v>177</v>
      </c>
      <c r="E81" s="216"/>
      <c r="F81" s="216">
        <f t="shared" ref="F81" si="10">+F80/E80-1</f>
        <v>-0.12300123001230012</v>
      </c>
      <c r="G81" s="216">
        <f t="shared" ref="G81" si="11">+G80/F80-1</f>
        <v>7.1061243571762578E-2</v>
      </c>
      <c r="H81" s="216">
        <f t="shared" ref="H81" si="12">+H80/G80-1</f>
        <v>-0.24967263203841117</v>
      </c>
      <c r="I81" s="216">
        <f t="shared" ref="I81:R81" si="13">+I80/H80-1</f>
        <v>4.7260034904013981E-2</v>
      </c>
      <c r="J81" s="216">
        <f t="shared" si="13"/>
        <v>-0.23559081011420691</v>
      </c>
      <c r="K81" s="216">
        <f t="shared" si="13"/>
        <v>0.27576083481091773</v>
      </c>
      <c r="L81" s="216">
        <f t="shared" si="13"/>
        <v>5.2346776030986586E-2</v>
      </c>
      <c r="M81" s="216">
        <f t="shared" si="13"/>
        <v>-3.7456021650880134E-3</v>
      </c>
      <c r="N81" s="216">
        <f t="shared" si="13"/>
        <v>1.0491258190352903E-2</v>
      </c>
      <c r="O81" s="216">
        <f t="shared" si="13"/>
        <v>3.7932350837952988E-2</v>
      </c>
      <c r="P81" s="216">
        <f t="shared" si="13"/>
        <v>1.1308302770352885E-2</v>
      </c>
      <c r="Q81" s="216">
        <f t="shared" si="13"/>
        <v>3.747944700271999E-2</v>
      </c>
      <c r="R81" s="216">
        <f t="shared" si="13"/>
        <v>1.2110948732127369E-2</v>
      </c>
      <c r="S81" s="1"/>
      <c r="T81" s="1"/>
      <c r="U81" s="1"/>
      <c r="V81" s="1"/>
      <c r="W81" s="1"/>
      <c r="X81" s="1"/>
      <c r="Y81" s="1"/>
      <c r="Z81" s="1"/>
    </row>
    <row r="82" spans="1:26" ht="15.75" customHeight="1" outlineLevel="1">
      <c r="A82" s="188"/>
      <c r="B82" s="1"/>
      <c r="C82" s="215"/>
      <c r="D82" s="201"/>
      <c r="E82" s="216"/>
      <c r="F82" s="216"/>
      <c r="G82" s="216"/>
      <c r="H82" s="216"/>
      <c r="I82" s="216"/>
      <c r="J82" s="216"/>
      <c r="K82" s="216"/>
      <c r="L82" s="216"/>
      <c r="M82" s="216"/>
      <c r="N82" s="216"/>
      <c r="O82" s="216"/>
      <c r="P82" s="216"/>
      <c r="Q82" s="216"/>
      <c r="R82" s="216"/>
      <c r="S82" s="1"/>
      <c r="T82" s="1"/>
      <c r="U82" s="1"/>
      <c r="V82" s="1"/>
      <c r="W82" s="1"/>
      <c r="X82" s="1"/>
      <c r="Y82" s="1"/>
      <c r="Z82" s="1"/>
    </row>
    <row r="83" spans="1:26" ht="15.75" customHeight="1" outlineLevel="1">
      <c r="A83" s="188"/>
      <c r="B83" s="1"/>
      <c r="C83" s="37" t="s">
        <v>190</v>
      </c>
      <c r="D83" s="195"/>
      <c r="E83" s="196">
        <f>$E$20</f>
        <v>42735</v>
      </c>
      <c r="F83" s="196">
        <f>$F$20</f>
        <v>43100</v>
      </c>
      <c r="G83" s="196">
        <f>$G$20</f>
        <v>43465</v>
      </c>
      <c r="H83" s="197">
        <f>$H$20</f>
        <v>43830</v>
      </c>
      <c r="I83" s="196">
        <f>$I$20</f>
        <v>44196</v>
      </c>
      <c r="J83" s="196">
        <f>$J$20</f>
        <v>44561</v>
      </c>
      <c r="K83" s="196">
        <f>$K$20</f>
        <v>44926</v>
      </c>
      <c r="L83" s="196">
        <f>$L$20</f>
        <v>45291</v>
      </c>
      <c r="M83" s="196">
        <f>$M$20</f>
        <v>45657</v>
      </c>
      <c r="N83" s="196">
        <f>$N$20</f>
        <v>46022</v>
      </c>
      <c r="O83" s="196">
        <f>$O$20</f>
        <v>46387</v>
      </c>
      <c r="P83" s="196">
        <f>$P$20</f>
        <v>46752</v>
      </c>
      <c r="Q83" s="196">
        <f>$Q$20</f>
        <v>47118</v>
      </c>
      <c r="R83" s="196">
        <f>$R$20</f>
        <v>47483</v>
      </c>
      <c r="S83" s="1"/>
      <c r="T83" s="1"/>
      <c r="U83" s="1"/>
      <c r="V83" s="1"/>
      <c r="W83" s="1"/>
      <c r="X83" s="1"/>
      <c r="Y83" s="1"/>
      <c r="Z83" s="1"/>
    </row>
    <row r="84" spans="1:26" ht="15.75" customHeight="1" outlineLevel="1">
      <c r="A84" s="188"/>
      <c r="B84" s="1"/>
      <c r="C84" s="19"/>
      <c r="D84" s="1"/>
      <c r="E84" s="199"/>
      <c r="F84" s="199"/>
      <c r="G84" s="199"/>
      <c r="H84" s="199"/>
      <c r="I84" s="199"/>
      <c r="J84" s="199"/>
      <c r="K84" s="199"/>
      <c r="L84" s="199"/>
      <c r="M84" s="199"/>
      <c r="N84" s="199"/>
      <c r="O84" s="199"/>
      <c r="P84" s="199"/>
      <c r="Q84" s="199"/>
      <c r="R84" s="199"/>
      <c r="S84" s="1"/>
      <c r="T84" s="1"/>
      <c r="U84" s="1"/>
      <c r="V84" s="1"/>
      <c r="W84" s="1"/>
      <c r="X84" s="1"/>
      <c r="Y84" s="1"/>
      <c r="Z84" s="1"/>
    </row>
    <row r="85" spans="1:26" ht="15.75" customHeight="1" outlineLevel="1">
      <c r="A85" s="188"/>
      <c r="B85" s="1"/>
      <c r="C85" s="198" t="s">
        <v>166</v>
      </c>
      <c r="D85" s="201" t="s">
        <v>167</v>
      </c>
      <c r="E85" s="203">
        <v>355</v>
      </c>
      <c r="F85" s="203">
        <v>290</v>
      </c>
      <c r="G85" s="203">
        <v>268</v>
      </c>
      <c r="H85" s="203">
        <v>249</v>
      </c>
      <c r="I85" s="203">
        <f t="array" ref="I85">INDEX(I86:I88,MATCH(Scenario,$C86:$C88,0))</f>
        <v>232.82</v>
      </c>
      <c r="J85" s="203">
        <f t="array" ref="J85">INDEX(J86:J88,MATCH(Scenario,$C86:$C88,0))</f>
        <v>218.85</v>
      </c>
      <c r="K85" s="203">
        <f t="array" ref="K85">INDEX(K86:K88,MATCH(Scenario,$C86:$C88,0))</f>
        <v>206.81</v>
      </c>
      <c r="L85" s="203">
        <f t="array" ref="L85">INDEX(L86:L88,MATCH(Scenario,$C86:$C88,0))</f>
        <v>196.47</v>
      </c>
      <c r="M85" s="203">
        <f t="array" ref="M85">INDEX(M86:M88,MATCH(Scenario,$C86:$C88,0))</f>
        <v>186.65</v>
      </c>
      <c r="N85" s="203">
        <f t="array" ref="N85">INDEX(N86:N88,MATCH(Scenario,$C86:$C88,0))</f>
        <v>177.31</v>
      </c>
      <c r="O85" s="203">
        <f t="array" ref="O85">INDEX(O86:O88,MATCH(Scenario,$C86:$C88,0))</f>
        <v>168.45</v>
      </c>
      <c r="P85" s="203">
        <f t="array" ref="P85">INDEX(P86:P88,MATCH(Scenario,$C86:$C88,0))</f>
        <v>160.03</v>
      </c>
      <c r="Q85" s="203">
        <f t="array" ref="Q85">INDEX(Q86:Q88,MATCH(Scenario,$C86:$C88,0))</f>
        <v>152.02000000000001</v>
      </c>
      <c r="R85" s="203">
        <f t="array" ref="R85">INDEX(R86:R88,MATCH(Scenario,$C86:$C88,0))</f>
        <v>144.41999999999999</v>
      </c>
      <c r="S85" s="1"/>
      <c r="T85" s="1"/>
      <c r="U85" s="1"/>
      <c r="V85" s="1"/>
      <c r="W85" s="1"/>
      <c r="X85" s="1"/>
      <c r="Y85" s="1"/>
      <c r="Z85" s="1"/>
    </row>
    <row r="86" spans="1:26" ht="15.75" customHeight="1" outlineLevel="1">
      <c r="A86" s="188"/>
      <c r="B86" s="1"/>
      <c r="C86" s="198" t="s">
        <v>160</v>
      </c>
      <c r="D86" s="201" t="s">
        <v>167</v>
      </c>
      <c r="E86" s="203"/>
      <c r="F86" s="203"/>
      <c r="G86" s="203"/>
      <c r="H86" s="203"/>
      <c r="I86" s="205">
        <v>232.82</v>
      </c>
      <c r="J86" s="205">
        <v>218.85</v>
      </c>
      <c r="K86" s="205">
        <v>206.81</v>
      </c>
      <c r="L86" s="205">
        <v>196.47</v>
      </c>
      <c r="M86" s="205">
        <v>186.65</v>
      </c>
      <c r="N86" s="205">
        <v>177.31</v>
      </c>
      <c r="O86" s="205">
        <v>168.45</v>
      </c>
      <c r="P86" s="205">
        <v>160.03</v>
      </c>
      <c r="Q86" s="205">
        <v>152.02000000000001</v>
      </c>
      <c r="R86" s="205">
        <v>144.41999999999999</v>
      </c>
      <c r="S86" s="1"/>
      <c r="T86" s="1"/>
      <c r="U86" s="1"/>
      <c r="V86" s="1"/>
      <c r="W86" s="1"/>
      <c r="X86" s="1"/>
      <c r="Y86" s="1"/>
      <c r="Z86" s="1"/>
    </row>
    <row r="87" spans="1:26" ht="15.75" customHeight="1" outlineLevel="1">
      <c r="A87" s="188"/>
      <c r="B87" s="1"/>
      <c r="C87" s="198" t="s">
        <v>168</v>
      </c>
      <c r="D87" s="201" t="s">
        <v>167</v>
      </c>
      <c r="E87" s="203"/>
      <c r="F87" s="203"/>
      <c r="G87" s="203"/>
      <c r="H87" s="203"/>
      <c r="I87" s="205">
        <v>249</v>
      </c>
      <c r="J87" s="205">
        <v>249</v>
      </c>
      <c r="K87" s="205">
        <v>249</v>
      </c>
      <c r="L87" s="205">
        <v>249</v>
      </c>
      <c r="M87" s="205">
        <v>249</v>
      </c>
      <c r="N87" s="205">
        <v>249</v>
      </c>
      <c r="O87" s="205">
        <v>249</v>
      </c>
      <c r="P87" s="205">
        <v>249</v>
      </c>
      <c r="Q87" s="205">
        <v>249</v>
      </c>
      <c r="R87" s="205">
        <v>249</v>
      </c>
      <c r="S87" s="1"/>
      <c r="T87" s="1"/>
      <c r="U87" s="1"/>
      <c r="V87" s="1"/>
      <c r="W87" s="1"/>
      <c r="X87" s="1"/>
      <c r="Y87" s="1"/>
      <c r="Z87" s="1"/>
    </row>
    <row r="88" spans="1:26" ht="15.75" customHeight="1" outlineLevel="1">
      <c r="A88" s="188"/>
      <c r="B88" s="1"/>
      <c r="C88" s="198" t="s">
        <v>169</v>
      </c>
      <c r="D88" s="201" t="s">
        <v>167</v>
      </c>
      <c r="E88" s="203"/>
      <c r="F88" s="203"/>
      <c r="G88" s="203"/>
      <c r="H88" s="203"/>
      <c r="I88" s="205">
        <v>231.57</v>
      </c>
      <c r="J88" s="205">
        <v>215.36</v>
      </c>
      <c r="K88" s="205">
        <v>200.285</v>
      </c>
      <c r="L88" s="205">
        <v>186.26499999999999</v>
      </c>
      <c r="M88" s="205">
        <v>173.226</v>
      </c>
      <c r="N88" s="205">
        <v>161.101</v>
      </c>
      <c r="O88" s="205">
        <v>149.82400000000001</v>
      </c>
      <c r="P88" s="205">
        <v>139.33600000000001</v>
      </c>
      <c r="Q88" s="205">
        <v>129.58199999999999</v>
      </c>
      <c r="R88" s="205">
        <v>120.512</v>
      </c>
      <c r="S88" s="1"/>
      <c r="T88" s="1"/>
      <c r="U88" s="1"/>
      <c r="V88" s="1"/>
      <c r="W88" s="1"/>
      <c r="X88" s="1"/>
      <c r="Y88" s="1"/>
      <c r="Z88" s="1"/>
    </row>
    <row r="89" spans="1:26" ht="15.75" customHeight="1" outlineLevel="1">
      <c r="A89" s="188"/>
      <c r="B89" s="1"/>
      <c r="C89" s="198"/>
      <c r="D89" s="72"/>
      <c r="E89" s="203"/>
      <c r="F89" s="203"/>
      <c r="G89" s="203"/>
      <c r="H89" s="203"/>
      <c r="I89" s="206"/>
      <c r="J89" s="206"/>
      <c r="K89" s="206"/>
      <c r="L89" s="206"/>
      <c r="M89" s="206"/>
      <c r="N89" s="206"/>
      <c r="O89" s="206"/>
      <c r="P89" s="206"/>
      <c r="Q89" s="206"/>
      <c r="R89" s="206"/>
      <c r="S89" s="1"/>
      <c r="T89" s="1"/>
      <c r="U89" s="1"/>
      <c r="V89" s="1"/>
      <c r="W89" s="1"/>
      <c r="X89" s="1"/>
      <c r="Y89" s="1"/>
      <c r="Z89" s="1"/>
    </row>
    <row r="90" spans="1:26" ht="15.75" customHeight="1" outlineLevel="1">
      <c r="A90" s="188"/>
      <c r="B90" s="1"/>
      <c r="C90" s="198" t="s">
        <v>170</v>
      </c>
      <c r="D90" s="201" t="s">
        <v>167</v>
      </c>
      <c r="E90" s="203">
        <v>5.63</v>
      </c>
      <c r="F90" s="203">
        <v>5.47</v>
      </c>
      <c r="G90" s="203">
        <v>7.46</v>
      </c>
      <c r="H90" s="203">
        <v>8.3800000000000008</v>
      </c>
      <c r="I90" s="203">
        <f t="array" ref="I90">INDEX(I91:I93,MATCH(Scenario,$C91:$C93,0))</f>
        <v>9.048</v>
      </c>
      <c r="J90" s="203">
        <f t="array" ref="J90">INDEX(J91:J93,MATCH(Scenario,$C91:$C93,0))</f>
        <v>9.7720000000000002</v>
      </c>
      <c r="K90" s="203">
        <f t="array" ref="K90">INDEX(K91:K93,MATCH(Scenario,$C91:$C93,0))</f>
        <v>10.358000000000001</v>
      </c>
      <c r="L90" s="203">
        <f t="array" ref="L90">INDEX(L91:L93,MATCH(Scenario,$C91:$C93,0))</f>
        <v>10.978999999999999</v>
      </c>
      <c r="M90" s="203">
        <f t="array" ref="M90">INDEX(M91:M93,MATCH(Scenario,$C91:$C93,0))</f>
        <v>11.638</v>
      </c>
      <c r="N90" s="203">
        <f t="array" ref="N90">INDEX(N91:N93,MATCH(Scenario,$C91:$C93,0))</f>
        <v>12.336</v>
      </c>
      <c r="O90" s="203">
        <f t="array" ref="O90">INDEX(O91:O93,MATCH(Scenario,$C91:$C93,0))</f>
        <v>12.83</v>
      </c>
      <c r="P90" s="203">
        <f t="array" ref="P90">INDEX(P91:P93,MATCH(Scenario,$C91:$C93,0))</f>
        <v>13.343</v>
      </c>
      <c r="Q90" s="203">
        <f t="array" ref="Q90">INDEX(Q91:Q93,MATCH(Scenario,$C91:$C93,0))</f>
        <v>13.877000000000001</v>
      </c>
      <c r="R90" s="203">
        <f t="array" ref="R90">INDEX(R91:R93,MATCH(Scenario,$C91:$C93,0))</f>
        <v>14.154</v>
      </c>
      <c r="S90" s="1"/>
      <c r="T90" s="1"/>
      <c r="U90" s="1"/>
      <c r="V90" s="1"/>
      <c r="W90" s="1"/>
      <c r="X90" s="1"/>
      <c r="Y90" s="1"/>
      <c r="Z90" s="1"/>
    </row>
    <row r="91" spans="1:26" ht="15.75" customHeight="1" outlineLevel="1">
      <c r="A91" s="188"/>
      <c r="B91" s="1"/>
      <c r="C91" s="198" t="str">
        <f>+$C$26</f>
        <v>Base</v>
      </c>
      <c r="D91" s="201" t="s">
        <v>167</v>
      </c>
      <c r="E91" s="210"/>
      <c r="F91" s="211"/>
      <c r="G91" s="212"/>
      <c r="H91" s="212"/>
      <c r="I91" s="205">
        <v>9.048</v>
      </c>
      <c r="J91" s="205">
        <v>9.7720000000000002</v>
      </c>
      <c r="K91" s="205">
        <v>10.358000000000001</v>
      </c>
      <c r="L91" s="205">
        <v>10.978999999999999</v>
      </c>
      <c r="M91" s="205">
        <v>11.638</v>
      </c>
      <c r="N91" s="205">
        <v>12.336</v>
      </c>
      <c r="O91" s="205">
        <v>12.83</v>
      </c>
      <c r="P91" s="205">
        <v>13.343</v>
      </c>
      <c r="Q91" s="205">
        <v>13.877000000000001</v>
      </c>
      <c r="R91" s="205">
        <v>14.154</v>
      </c>
      <c r="S91" s="1"/>
      <c r="T91" s="1"/>
      <c r="U91" s="1"/>
      <c r="V91" s="1"/>
      <c r="W91" s="1"/>
      <c r="X91" s="1"/>
      <c r="Y91" s="1"/>
      <c r="Z91" s="1"/>
    </row>
    <row r="92" spans="1:26" ht="15.75" customHeight="1" outlineLevel="1">
      <c r="A92" s="188"/>
      <c r="B92" s="1"/>
      <c r="C92" s="198" t="str">
        <f>+$C$27</f>
        <v>Upside</v>
      </c>
      <c r="D92" s="201" t="s">
        <v>167</v>
      </c>
      <c r="E92" s="212"/>
      <c r="F92" s="211"/>
      <c r="G92" s="212"/>
      <c r="H92" s="212"/>
      <c r="I92" s="205">
        <v>8.8800000000000008</v>
      </c>
      <c r="J92" s="205">
        <v>9.15</v>
      </c>
      <c r="K92" s="205">
        <v>9.4</v>
      </c>
      <c r="L92" s="205">
        <v>9.6300000000000008</v>
      </c>
      <c r="M92" s="205">
        <v>9.85</v>
      </c>
      <c r="N92" s="205">
        <v>10.050000000000001</v>
      </c>
      <c r="O92" s="205">
        <v>10.25</v>
      </c>
      <c r="P92" s="205">
        <v>10.45</v>
      </c>
      <c r="Q92" s="205">
        <v>10.66</v>
      </c>
      <c r="R92" s="205">
        <v>10.85</v>
      </c>
      <c r="S92" s="1"/>
      <c r="T92" s="1"/>
      <c r="U92" s="1"/>
      <c r="V92" s="1"/>
      <c r="W92" s="1"/>
      <c r="X92" s="1"/>
      <c r="Y92" s="1"/>
      <c r="Z92" s="1"/>
    </row>
    <row r="93" spans="1:26" ht="15.75" customHeight="1" outlineLevel="1">
      <c r="A93" s="188"/>
      <c r="B93" s="1"/>
      <c r="C93" s="198" t="str">
        <f>+$C$28</f>
        <v>Downside</v>
      </c>
      <c r="D93" s="201" t="s">
        <v>167</v>
      </c>
      <c r="E93" s="212"/>
      <c r="F93" s="211"/>
      <c r="G93" s="212"/>
      <c r="H93" s="212"/>
      <c r="I93" s="205">
        <v>8.9640000000000004</v>
      </c>
      <c r="J93" s="205">
        <v>9.2330000000000005</v>
      </c>
      <c r="K93" s="205">
        <v>9.2330000000000005</v>
      </c>
      <c r="L93" s="205">
        <v>9.2330000000000005</v>
      </c>
      <c r="M93" s="205">
        <v>9.2330000000000005</v>
      </c>
      <c r="N93" s="205">
        <v>9.2330000000000005</v>
      </c>
      <c r="O93" s="205">
        <v>9.2330000000000005</v>
      </c>
      <c r="P93" s="205">
        <v>9.2330000000000005</v>
      </c>
      <c r="Q93" s="205">
        <v>9.2330000000000005</v>
      </c>
      <c r="R93" s="205">
        <v>9.2330000000000005</v>
      </c>
      <c r="S93" s="1"/>
      <c r="T93" s="1"/>
      <c r="U93" s="1"/>
      <c r="V93" s="1"/>
      <c r="W93" s="1"/>
      <c r="X93" s="1"/>
      <c r="Y93" s="1"/>
      <c r="Z93" s="1"/>
    </row>
    <row r="94" spans="1:26" ht="15.75" customHeight="1" outlineLevel="1">
      <c r="A94" s="188"/>
      <c r="B94" s="1"/>
      <c r="C94" s="198"/>
      <c r="D94" s="201"/>
      <c r="E94" s="212"/>
      <c r="F94" s="212"/>
      <c r="G94" s="212"/>
      <c r="H94" s="212"/>
      <c r="I94" s="234"/>
      <c r="J94" s="234"/>
      <c r="K94" s="234"/>
      <c r="L94" s="234"/>
      <c r="M94" s="234"/>
      <c r="N94" s="234"/>
      <c r="O94" s="234"/>
      <c r="P94" s="234"/>
      <c r="Q94" s="234"/>
      <c r="R94" s="234"/>
      <c r="S94" s="1"/>
      <c r="T94" s="1"/>
      <c r="U94" s="1"/>
      <c r="V94" s="1"/>
      <c r="W94" s="1"/>
      <c r="X94" s="1"/>
      <c r="Y94" s="1"/>
      <c r="Z94" s="1"/>
    </row>
    <row r="95" spans="1:26" ht="15.75" customHeight="1" outlineLevel="1">
      <c r="A95" s="188"/>
      <c r="B95" s="1"/>
      <c r="C95" s="198"/>
      <c r="D95" s="1"/>
      <c r="E95" s="199"/>
      <c r="F95" s="199"/>
      <c r="G95" s="199"/>
      <c r="H95" s="199"/>
      <c r="I95" s="199"/>
      <c r="J95" s="199"/>
      <c r="K95" s="199"/>
      <c r="L95" s="199"/>
      <c r="M95" s="199"/>
      <c r="N95" s="199"/>
      <c r="O95" s="199"/>
      <c r="P95" s="199"/>
      <c r="Q95" s="199"/>
      <c r="R95" s="199"/>
      <c r="S95" s="1"/>
      <c r="T95" s="1"/>
      <c r="U95" s="1"/>
      <c r="V95" s="1"/>
      <c r="W95" s="1"/>
      <c r="X95" s="1"/>
      <c r="Y95" s="1"/>
      <c r="Z95" s="1"/>
    </row>
    <row r="96" spans="1:26" ht="15.75" customHeight="1" outlineLevel="1">
      <c r="A96" s="188"/>
      <c r="B96" s="1"/>
      <c r="C96" s="198" t="s">
        <v>193</v>
      </c>
      <c r="D96" s="201" t="s">
        <v>175</v>
      </c>
      <c r="E96" s="17">
        <f t="shared" ref="E96:R96" si="14">E85*E90</f>
        <v>1998.6499999999999</v>
      </c>
      <c r="F96" s="17">
        <f t="shared" si="14"/>
        <v>1586.3</v>
      </c>
      <c r="G96" s="17">
        <f t="shared" si="14"/>
        <v>1999.28</v>
      </c>
      <c r="H96" s="17">
        <f t="shared" si="14"/>
        <v>2086.6200000000003</v>
      </c>
      <c r="I96" s="235">
        <f t="shared" si="14"/>
        <v>2106.5553599999998</v>
      </c>
      <c r="J96" s="235">
        <f t="shared" si="14"/>
        <v>2138.6021999999998</v>
      </c>
      <c r="K96" s="235">
        <f t="shared" si="14"/>
        <v>2142.13798</v>
      </c>
      <c r="L96" s="235">
        <f t="shared" si="14"/>
        <v>2157.0441299999998</v>
      </c>
      <c r="M96" s="235">
        <f t="shared" si="14"/>
        <v>2172.2327</v>
      </c>
      <c r="N96" s="235">
        <f t="shared" si="14"/>
        <v>2187.2961599999999</v>
      </c>
      <c r="O96" s="235">
        <f t="shared" si="14"/>
        <v>2161.2134999999998</v>
      </c>
      <c r="P96" s="235">
        <f t="shared" si="14"/>
        <v>2135.2802900000002</v>
      </c>
      <c r="Q96" s="235">
        <f t="shared" si="14"/>
        <v>2109.5815400000001</v>
      </c>
      <c r="R96" s="235">
        <f t="shared" si="14"/>
        <v>2044.1206799999998</v>
      </c>
      <c r="S96" s="1"/>
      <c r="T96" s="1"/>
      <c r="U96" s="1"/>
      <c r="V96" s="1"/>
      <c r="W96" s="1"/>
      <c r="X96" s="1"/>
      <c r="Y96" s="1"/>
      <c r="Z96" s="1"/>
    </row>
    <row r="97" spans="1:26" ht="15.75" customHeight="1" outlineLevel="1">
      <c r="A97" s="188"/>
      <c r="B97" s="1"/>
      <c r="C97" s="215" t="s">
        <v>176</v>
      </c>
      <c r="D97" s="201" t="s">
        <v>177</v>
      </c>
      <c r="E97" s="216">
        <f>+E96/378.663-1</f>
        <v>4.2781761090996477</v>
      </c>
      <c r="F97" s="216">
        <f t="shared" ref="F97:R97" si="15">+F96/E96-1</f>
        <v>-0.2063142621269356</v>
      </c>
      <c r="G97" s="216">
        <f t="shared" si="15"/>
        <v>0.26034167559730181</v>
      </c>
      <c r="H97" s="216">
        <f t="shared" si="15"/>
        <v>4.3685726861670382E-2</v>
      </c>
      <c r="I97" s="216">
        <f t="shared" si="15"/>
        <v>9.5539005664659893E-3</v>
      </c>
      <c r="J97" s="216">
        <f t="shared" si="15"/>
        <v>1.5212911375849236E-2</v>
      </c>
      <c r="K97" s="216">
        <f t="shared" si="15"/>
        <v>1.6533135521885622E-3</v>
      </c>
      <c r="L97" s="216">
        <f t="shared" si="15"/>
        <v>6.9585386838619812E-3</v>
      </c>
      <c r="M97" s="216">
        <f t="shared" si="15"/>
        <v>7.0413812071616899E-3</v>
      </c>
      <c r="N97" s="216">
        <f t="shared" si="15"/>
        <v>6.9345517172261228E-3</v>
      </c>
      <c r="O97" s="216">
        <f t="shared" si="15"/>
        <v>-1.1924612897413978E-2</v>
      </c>
      <c r="P97" s="216">
        <f t="shared" si="15"/>
        <v>-1.1999374425525122E-2</v>
      </c>
      <c r="Q97" s="216">
        <f t="shared" si="15"/>
        <v>-1.2035305210446157E-2</v>
      </c>
      <c r="R97" s="216">
        <f t="shared" si="15"/>
        <v>-3.1030258256810717E-2</v>
      </c>
      <c r="S97" s="1"/>
      <c r="T97" s="1"/>
      <c r="U97" s="1"/>
      <c r="V97" s="1"/>
      <c r="W97" s="1"/>
      <c r="X97" s="1"/>
      <c r="Y97" s="1"/>
      <c r="Z97" s="1"/>
    </row>
    <row r="98" spans="1:26" ht="15.75" customHeight="1" outlineLevel="1">
      <c r="A98" s="188"/>
      <c r="B98" s="1"/>
      <c r="C98" s="215"/>
      <c r="D98" s="201"/>
      <c r="E98" s="216"/>
      <c r="F98" s="216"/>
      <c r="G98" s="216"/>
      <c r="H98" s="216"/>
      <c r="I98" s="216"/>
      <c r="J98" s="216"/>
      <c r="K98" s="216"/>
      <c r="L98" s="216"/>
      <c r="M98" s="216"/>
      <c r="N98" s="216"/>
      <c r="O98" s="216"/>
      <c r="P98" s="216"/>
      <c r="Q98" s="216"/>
      <c r="R98" s="216"/>
      <c r="S98" s="1"/>
      <c r="T98" s="1"/>
      <c r="U98" s="1"/>
      <c r="V98" s="1"/>
      <c r="W98" s="1"/>
      <c r="X98" s="1"/>
      <c r="Y98" s="1"/>
      <c r="Z98" s="1"/>
    </row>
    <row r="99" spans="1:26" ht="15.75" customHeight="1">
      <c r="A99" s="188"/>
      <c r="B99" s="1"/>
      <c r="C99" s="236"/>
      <c r="D99" s="72"/>
      <c r="E99" s="72"/>
      <c r="F99" s="183"/>
      <c r="G99" s="183"/>
      <c r="H99" s="183"/>
      <c r="I99" s="183"/>
      <c r="J99" s="183"/>
      <c r="K99" s="183"/>
      <c r="L99" s="183"/>
      <c r="M99" s="183"/>
      <c r="N99" s="1"/>
      <c r="O99" s="1"/>
      <c r="P99" s="1"/>
      <c r="Q99" s="1"/>
      <c r="R99" s="1"/>
      <c r="S99" s="1"/>
      <c r="T99" s="1"/>
      <c r="U99" s="1"/>
      <c r="V99" s="1"/>
      <c r="W99" s="1"/>
      <c r="X99" s="1"/>
      <c r="Y99" s="1"/>
      <c r="Z99" s="1"/>
    </row>
    <row r="100" spans="1:26" ht="15.75" customHeight="1">
      <c r="A100" s="188"/>
      <c r="B100" s="186"/>
      <c r="C100" s="186"/>
      <c r="D100" s="187"/>
      <c r="E100" s="384" t="str">
        <f ca="1">$E$19</f>
        <v>Historical</v>
      </c>
      <c r="F100" s="384"/>
      <c r="G100" s="384"/>
      <c r="H100" s="384"/>
      <c r="I100" s="382" t="str">
        <f ca="1">$I$19</f>
        <v>Projected</v>
      </c>
      <c r="J100" s="383"/>
      <c r="K100" s="383"/>
      <c r="L100" s="383"/>
      <c r="M100" s="383"/>
      <c r="N100" s="383"/>
      <c r="O100" s="383"/>
      <c r="P100" s="383"/>
      <c r="Q100" s="383"/>
      <c r="R100" s="385"/>
      <c r="S100" s="1"/>
      <c r="T100" s="1"/>
      <c r="U100" s="1"/>
      <c r="V100" s="1"/>
      <c r="W100" s="1"/>
      <c r="X100" s="1"/>
      <c r="Y100" s="1"/>
      <c r="Z100" s="1"/>
    </row>
    <row r="101" spans="1:26" ht="15.75" customHeight="1">
      <c r="A101" s="188"/>
      <c r="B101" s="189" t="s">
        <v>194</v>
      </c>
      <c r="C101" s="189"/>
      <c r="D101" s="190" t="str">
        <f>$D$20</f>
        <v>Units:</v>
      </c>
      <c r="E101" s="191">
        <f>$E$20</f>
        <v>42735</v>
      </c>
      <c r="F101" s="191">
        <f>$F$20</f>
        <v>43100</v>
      </c>
      <c r="G101" s="191">
        <f>$G$20</f>
        <v>43465</v>
      </c>
      <c r="H101" s="192">
        <f>$H$20</f>
        <v>43830</v>
      </c>
      <c r="I101" s="191">
        <f>$I$20</f>
        <v>44196</v>
      </c>
      <c r="J101" s="191">
        <f>$J$20</f>
        <v>44561</v>
      </c>
      <c r="K101" s="191">
        <f>$K$20</f>
        <v>44926</v>
      </c>
      <c r="L101" s="191">
        <f>$L$20</f>
        <v>45291</v>
      </c>
      <c r="M101" s="191">
        <f>$M$20</f>
        <v>45657</v>
      </c>
      <c r="N101" s="191">
        <f>$N$20</f>
        <v>46022</v>
      </c>
      <c r="O101" s="191">
        <f>$O$20</f>
        <v>46387</v>
      </c>
      <c r="P101" s="191">
        <f>$P$20</f>
        <v>46752</v>
      </c>
      <c r="Q101" s="191">
        <f>$Q$20</f>
        <v>47118</v>
      </c>
      <c r="R101" s="191">
        <f>$R$20</f>
        <v>47483</v>
      </c>
      <c r="S101" s="1"/>
      <c r="T101" s="1"/>
      <c r="U101" s="1"/>
      <c r="V101" s="1"/>
      <c r="W101" s="1"/>
      <c r="X101" s="1"/>
      <c r="Y101" s="1"/>
      <c r="Z101" s="1"/>
    </row>
    <row r="102" spans="1:26" ht="15.75" customHeight="1" outlineLevel="1">
      <c r="A102" s="188"/>
      <c r="B102" s="3"/>
      <c r="C102" s="198" t="s">
        <v>196</v>
      </c>
      <c r="D102" s="240"/>
      <c r="E102" s="241"/>
      <c r="F102" s="241"/>
      <c r="G102" s="241"/>
      <c r="H102" s="241"/>
      <c r="I102" s="241"/>
      <c r="J102" s="241"/>
      <c r="K102" s="241"/>
      <c r="L102" s="241"/>
      <c r="M102" s="241"/>
      <c r="N102" s="241"/>
      <c r="O102" s="241"/>
      <c r="P102" s="241"/>
      <c r="Q102" s="241"/>
      <c r="R102" s="241"/>
      <c r="S102" s="1"/>
      <c r="T102" s="1"/>
      <c r="U102" s="1"/>
      <c r="V102" s="1"/>
      <c r="W102" s="1"/>
      <c r="X102" s="1"/>
      <c r="Y102" s="1"/>
      <c r="Z102" s="1"/>
    </row>
    <row r="103" spans="1:26" ht="15.75" customHeight="1" outlineLevel="1">
      <c r="A103" s="188"/>
      <c r="B103" s="1"/>
      <c r="C103" s="198" t="s">
        <v>197</v>
      </c>
      <c r="D103" s="201" t="s">
        <v>177</v>
      </c>
      <c r="E103" s="199">
        <v>732</v>
      </c>
      <c r="F103" s="199">
        <v>918</v>
      </c>
      <c r="G103" s="199">
        <v>1035</v>
      </c>
      <c r="H103" s="199">
        <v>848</v>
      </c>
      <c r="I103" s="242">
        <f t="shared" ref="I103:R103" si="16">I104*I$187</f>
        <v>787.58084099362316</v>
      </c>
      <c r="J103" s="242">
        <f t="shared" si="16"/>
        <v>763.79438650000009</v>
      </c>
      <c r="K103" s="242">
        <f t="shared" si="16"/>
        <v>820.49262488000011</v>
      </c>
      <c r="L103" s="242">
        <f t="shared" si="16"/>
        <v>823.94907691499998</v>
      </c>
      <c r="M103" s="242">
        <f t="shared" si="16"/>
        <v>831.01025835000007</v>
      </c>
      <c r="N103" s="242">
        <f t="shared" si="16"/>
        <v>831.11986022399992</v>
      </c>
      <c r="O103" s="242">
        <f t="shared" si="16"/>
        <v>834.98594520999995</v>
      </c>
      <c r="P103" s="242">
        <f t="shared" si="16"/>
        <v>829.4020567980001</v>
      </c>
      <c r="Q103" s="242">
        <f t="shared" si="16"/>
        <v>832.6115783539999</v>
      </c>
      <c r="R103" s="242">
        <f t="shared" si="16"/>
        <v>821.06422840000005</v>
      </c>
      <c r="U103" s="1"/>
      <c r="V103" s="1"/>
      <c r="W103" s="1"/>
      <c r="X103" s="1"/>
      <c r="Y103" s="1"/>
      <c r="Z103" s="1"/>
    </row>
    <row r="104" spans="1:26" ht="15.75" customHeight="1" outlineLevel="1">
      <c r="A104" s="188"/>
      <c r="B104" s="1"/>
      <c r="C104" s="215" t="s">
        <v>198</v>
      </c>
      <c r="D104" s="236"/>
      <c r="E104" s="216">
        <v>0.11077481840193705</v>
      </c>
      <c r="F104" s="216">
        <v>0.13080649757765744</v>
      </c>
      <c r="G104" s="216">
        <v>0.13801840245366048</v>
      </c>
      <c r="H104" s="216">
        <v>0.13068269378948991</v>
      </c>
      <c r="I104" s="243">
        <f>AVERAGE(E104:H104)</f>
        <v>0.12757060305568621</v>
      </c>
      <c r="J104" s="243">
        <f t="shared" ref="J104:K104" si="17">13.1%</f>
        <v>0.13100000000000001</v>
      </c>
      <c r="K104" s="243">
        <f t="shared" si="17"/>
        <v>0.13100000000000001</v>
      </c>
      <c r="L104" s="243">
        <v>0.1305</v>
      </c>
      <c r="M104" s="243">
        <v>0.1305</v>
      </c>
      <c r="N104" s="243">
        <v>0.13039999999999999</v>
      </c>
      <c r="O104" s="243">
        <v>0.1303</v>
      </c>
      <c r="P104" s="243">
        <v>0.13020000000000001</v>
      </c>
      <c r="Q104" s="243">
        <v>0.13009999999999999</v>
      </c>
      <c r="R104" s="243">
        <v>0.13</v>
      </c>
      <c r="S104" s="1"/>
      <c r="U104" s="1"/>
      <c r="V104" s="1"/>
      <c r="W104" s="1"/>
      <c r="X104" s="1"/>
      <c r="Y104" s="1"/>
      <c r="Z104" s="1"/>
    </row>
    <row r="105" spans="1:26" ht="15.75" customHeight="1" outlineLevel="1">
      <c r="A105" s="188"/>
      <c r="B105" s="1"/>
      <c r="C105" s="198" t="s">
        <v>199</v>
      </c>
      <c r="D105" s="72" t="s">
        <v>200</v>
      </c>
      <c r="E105" s="199">
        <v>49</v>
      </c>
      <c r="F105" s="199">
        <v>46</v>
      </c>
      <c r="G105" s="199">
        <v>43</v>
      </c>
      <c r="H105" s="199">
        <v>32</v>
      </c>
      <c r="I105" s="242">
        <f t="shared" ref="I105:R105" si="18">I106*I$187</f>
        <v>29.633692608</v>
      </c>
      <c r="J105" s="242">
        <f t="shared" si="18"/>
        <v>27.403310050000002</v>
      </c>
      <c r="K105" s="242">
        <f t="shared" si="18"/>
        <v>28.811191407999999</v>
      </c>
      <c r="L105" s="242">
        <f t="shared" si="18"/>
        <v>28.412037134999995</v>
      </c>
      <c r="M105" s="242">
        <f t="shared" si="18"/>
        <v>28.65552615</v>
      </c>
      <c r="N105" s="242">
        <f t="shared" si="18"/>
        <v>28.681283519999997</v>
      </c>
      <c r="O105" s="242">
        <f t="shared" si="18"/>
        <v>28.836813149999998</v>
      </c>
      <c r="P105" s="242">
        <f t="shared" si="18"/>
        <v>28.665969704999998</v>
      </c>
      <c r="Q105" s="242">
        <f t="shared" si="18"/>
        <v>28.799016929999997</v>
      </c>
      <c r="R105" s="242">
        <f t="shared" si="18"/>
        <v>28.421454059999999</v>
      </c>
      <c r="S105" s="1"/>
      <c r="U105" s="1"/>
      <c r="V105" s="1"/>
      <c r="W105" s="1"/>
      <c r="X105" s="1"/>
      <c r="Y105" s="1"/>
      <c r="Z105" s="1"/>
    </row>
    <row r="106" spans="1:26" ht="15.75" customHeight="1" outlineLevel="1">
      <c r="A106" s="188"/>
      <c r="B106" s="1"/>
      <c r="C106" s="215" t="s">
        <v>198</v>
      </c>
      <c r="D106" s="236" t="s">
        <v>175</v>
      </c>
      <c r="E106" s="216">
        <v>7.4152542372881358E-3</v>
      </c>
      <c r="F106" s="216">
        <v>6.5545739526930748E-3</v>
      </c>
      <c r="G106" s="216">
        <v>5.734097879717296E-3</v>
      </c>
      <c r="H106" s="216">
        <v>4.9314224071505628E-3</v>
      </c>
      <c r="I106" s="243">
        <v>4.7999999999999996E-3</v>
      </c>
      <c r="J106" s="243">
        <v>4.7000000000000002E-3</v>
      </c>
      <c r="K106" s="243">
        <v>4.5999999999999999E-3</v>
      </c>
      <c r="L106" s="243">
        <v>4.4999999999999997E-3</v>
      </c>
      <c r="M106" s="243">
        <v>4.4999999999999997E-3</v>
      </c>
      <c r="N106" s="243">
        <v>4.4999999999999997E-3</v>
      </c>
      <c r="O106" s="243">
        <v>4.4999999999999997E-3</v>
      </c>
      <c r="P106" s="243">
        <v>4.4999999999999997E-3</v>
      </c>
      <c r="Q106" s="243">
        <v>4.4999999999999997E-3</v>
      </c>
      <c r="R106" s="243">
        <v>4.4999999999999997E-3</v>
      </c>
      <c r="S106" s="1"/>
      <c r="U106" s="1"/>
      <c r="V106" s="1"/>
      <c r="W106" s="1"/>
      <c r="X106" s="1"/>
      <c r="Y106" s="1"/>
      <c r="Z106" s="1"/>
    </row>
    <row r="107" spans="1:26" ht="15.75" customHeight="1" outlineLevel="1">
      <c r="A107" s="188"/>
      <c r="B107" s="1"/>
      <c r="C107" s="198" t="s">
        <v>201</v>
      </c>
      <c r="D107" s="1"/>
      <c r="E107" s="199">
        <v>412</v>
      </c>
      <c r="F107" s="199">
        <v>367</v>
      </c>
      <c r="G107" s="199">
        <v>264</v>
      </c>
      <c r="H107" s="199">
        <v>54</v>
      </c>
      <c r="I107" s="242">
        <f t="shared" ref="I107:R107" si="19">I108*I$187</f>
        <v>61.73685960000001</v>
      </c>
      <c r="J107" s="242">
        <f t="shared" si="19"/>
        <v>58.304915000000001</v>
      </c>
      <c r="K107" s="242">
        <f t="shared" si="19"/>
        <v>62.633024800000001</v>
      </c>
      <c r="L107" s="242">
        <f t="shared" si="19"/>
        <v>63.137860299999993</v>
      </c>
      <c r="M107" s="242">
        <f t="shared" si="19"/>
        <v>63.678947000000008</v>
      </c>
      <c r="N107" s="242">
        <f t="shared" si="19"/>
        <v>63.736185599999999</v>
      </c>
      <c r="O107" s="242">
        <f t="shared" si="19"/>
        <v>64.081806999999998</v>
      </c>
      <c r="P107" s="242">
        <f t="shared" si="19"/>
        <v>63.702154900000004</v>
      </c>
      <c r="Q107" s="242">
        <f t="shared" si="19"/>
        <v>63.9978154</v>
      </c>
      <c r="R107" s="242">
        <f t="shared" si="19"/>
        <v>63.158786800000001</v>
      </c>
      <c r="S107" s="1"/>
      <c r="U107" s="1"/>
      <c r="V107" s="1"/>
      <c r="W107" s="1"/>
      <c r="X107" s="1"/>
      <c r="Y107" s="1"/>
      <c r="Z107" s="1"/>
    </row>
    <row r="108" spans="1:26" ht="15.75" customHeight="1" outlineLevel="1">
      <c r="A108" s="188"/>
      <c r="B108" s="1"/>
      <c r="C108" s="215" t="s">
        <v>198</v>
      </c>
      <c r="D108" s="236" t="s">
        <v>175</v>
      </c>
      <c r="E108" s="216">
        <v>6.2348668280871669E-2</v>
      </c>
      <c r="F108" s="216">
        <v>5.2294100883442579E-2</v>
      </c>
      <c r="G108" s="216">
        <v>3.5204693959194559E-2</v>
      </c>
      <c r="H108" s="216">
        <v>8.321775312066574E-3</v>
      </c>
      <c r="I108" s="243">
        <v>0.01</v>
      </c>
      <c r="J108" s="243">
        <v>0.01</v>
      </c>
      <c r="K108" s="243">
        <v>0.01</v>
      </c>
      <c r="L108" s="243">
        <v>0.01</v>
      </c>
      <c r="M108" s="243">
        <v>0.01</v>
      </c>
      <c r="N108" s="243">
        <v>0.01</v>
      </c>
      <c r="O108" s="243">
        <v>0.01</v>
      </c>
      <c r="P108" s="243">
        <v>0.01</v>
      </c>
      <c r="Q108" s="243">
        <v>0.01</v>
      </c>
      <c r="R108" s="243">
        <v>0.01</v>
      </c>
      <c r="S108" s="1"/>
      <c r="U108" s="1"/>
      <c r="V108" s="1"/>
      <c r="W108" s="1"/>
      <c r="X108" s="1"/>
      <c r="Y108" s="1"/>
      <c r="Z108" s="1"/>
    </row>
    <row r="109" spans="1:26" ht="15.75" customHeight="1" outlineLevel="1">
      <c r="A109" s="188"/>
      <c r="B109" s="1"/>
      <c r="C109" s="198" t="s">
        <v>202</v>
      </c>
      <c r="D109" s="25" t="s">
        <v>177</v>
      </c>
      <c r="E109" s="199">
        <v>392</v>
      </c>
      <c r="F109" s="199">
        <v>476</v>
      </c>
      <c r="G109" s="199">
        <v>539</v>
      </c>
      <c r="H109" s="199">
        <v>658</v>
      </c>
      <c r="I109" s="242">
        <f t="shared" ref="I109:R109" si="20">I110*I$187</f>
        <v>626.0117563440001</v>
      </c>
      <c r="J109" s="242">
        <f t="shared" si="20"/>
        <v>594.71013299999993</v>
      </c>
      <c r="K109" s="242">
        <f t="shared" si="20"/>
        <v>645.12015543999996</v>
      </c>
      <c r="L109" s="242">
        <f t="shared" si="20"/>
        <v>662.94753314999991</v>
      </c>
      <c r="M109" s="242">
        <f t="shared" si="20"/>
        <v>681.36473290000004</v>
      </c>
      <c r="N109" s="242">
        <f t="shared" si="20"/>
        <v>681.97718592000001</v>
      </c>
      <c r="O109" s="242">
        <f t="shared" si="20"/>
        <v>685.67533489999994</v>
      </c>
      <c r="P109" s="242">
        <f t="shared" si="20"/>
        <v>700.72370390000003</v>
      </c>
      <c r="Q109" s="242">
        <f t="shared" si="20"/>
        <v>703.97596940000005</v>
      </c>
      <c r="R109" s="242">
        <f t="shared" si="20"/>
        <v>694.74665479999999</v>
      </c>
      <c r="S109" s="1"/>
      <c r="U109" s="1"/>
      <c r="V109" s="1"/>
      <c r="W109" s="1"/>
      <c r="X109" s="1"/>
      <c r="Y109" s="1"/>
      <c r="Z109" s="1"/>
    </row>
    <row r="110" spans="1:26" ht="15.75" customHeight="1" outlineLevel="1">
      <c r="A110" s="188"/>
      <c r="B110" s="1"/>
      <c r="C110" s="215" t="s">
        <v>198</v>
      </c>
      <c r="D110" s="236"/>
      <c r="E110" s="216">
        <v>5.9322033898305086E-2</v>
      </c>
      <c r="F110" s="216">
        <v>6.7825591336563129E-2</v>
      </c>
      <c r="G110" s="216">
        <v>7.1876250166688888E-2</v>
      </c>
      <c r="H110" s="216">
        <v>0.10140237324703344</v>
      </c>
      <c r="I110" s="243">
        <v>0.1014</v>
      </c>
      <c r="J110" s="243">
        <v>0.10199999999999999</v>
      </c>
      <c r="K110" s="243">
        <v>0.10299999999999999</v>
      </c>
      <c r="L110" s="243">
        <v>0.105</v>
      </c>
      <c r="M110" s="243">
        <v>0.107</v>
      </c>
      <c r="N110" s="243">
        <v>0.107</v>
      </c>
      <c r="O110" s="243">
        <v>0.107</v>
      </c>
      <c r="P110" s="243">
        <v>0.11</v>
      </c>
      <c r="Q110" s="243">
        <v>0.11</v>
      </c>
      <c r="R110" s="243">
        <v>0.11</v>
      </c>
      <c r="S110" s="1"/>
      <c r="U110" s="1"/>
      <c r="V110" s="1"/>
      <c r="W110" s="1"/>
      <c r="X110" s="1"/>
      <c r="Y110" s="1"/>
      <c r="Z110" s="1"/>
    </row>
    <row r="111" spans="1:26" ht="15.75" customHeight="1" outlineLevel="1">
      <c r="A111" s="188"/>
      <c r="B111" s="1"/>
      <c r="C111" s="198" t="s">
        <v>203</v>
      </c>
      <c r="D111" s="25" t="s">
        <v>177</v>
      </c>
      <c r="E111" s="199">
        <v>1628</v>
      </c>
      <c r="F111" s="199">
        <v>1929</v>
      </c>
      <c r="G111" s="199">
        <v>1493</v>
      </c>
      <c r="H111" s="199">
        <v>1375</v>
      </c>
      <c r="I111" s="242">
        <f t="shared" ref="I111:R111" si="21">I112*I$187</f>
        <v>1438.8129214211581</v>
      </c>
      <c r="J111" s="242">
        <f t="shared" si="21"/>
        <v>1358.8294841670613</v>
      </c>
      <c r="K111" s="242">
        <f t="shared" si="21"/>
        <v>1459.6985653920731</v>
      </c>
      <c r="L111" s="242">
        <f t="shared" si="21"/>
        <v>1471.4640462619827</v>
      </c>
      <c r="M111" s="242">
        <f t="shared" si="21"/>
        <v>1484.0743821393385</v>
      </c>
      <c r="N111" s="242">
        <f t="shared" si="21"/>
        <v>1485.408360540858</v>
      </c>
      <c r="O111" s="242">
        <f t="shared" si="21"/>
        <v>1493.4632654949103</v>
      </c>
      <c r="P111" s="242">
        <f t="shared" si="21"/>
        <v>1484.615255559454</v>
      </c>
      <c r="Q111" s="242">
        <f t="shared" si="21"/>
        <v>1491.5057930845248</v>
      </c>
      <c r="R111" s="242">
        <f t="shared" si="21"/>
        <v>1471.9517503466286</v>
      </c>
      <c r="S111" s="1"/>
      <c r="U111" s="1"/>
      <c r="V111" s="1"/>
      <c r="W111" s="1"/>
      <c r="X111" s="1"/>
      <c r="Y111" s="1"/>
      <c r="Z111" s="1"/>
    </row>
    <row r="112" spans="1:26" ht="15.75" customHeight="1" outlineLevel="1">
      <c r="A112" s="188"/>
      <c r="B112" s="1"/>
      <c r="C112" s="215" t="s">
        <v>198</v>
      </c>
      <c r="D112" s="236" t="s">
        <v>177</v>
      </c>
      <c r="E112" s="216">
        <v>0.24636803874092009</v>
      </c>
      <c r="F112" s="216">
        <v>0.2748646337988031</v>
      </c>
      <c r="G112" s="216">
        <v>0.19909321242832378</v>
      </c>
      <c r="H112" s="216">
        <v>0.21189705655725075</v>
      </c>
      <c r="I112" s="243">
        <f>AVERAGE(E112:H112)</f>
        <v>0.23305573538132443</v>
      </c>
      <c r="J112" s="243">
        <f t="shared" ref="J112:R112" si="22">I112</f>
        <v>0.23305573538132443</v>
      </c>
      <c r="K112" s="243">
        <f t="shared" si="22"/>
        <v>0.23305573538132443</v>
      </c>
      <c r="L112" s="243">
        <f t="shared" si="22"/>
        <v>0.23305573538132443</v>
      </c>
      <c r="M112" s="243">
        <f t="shared" si="22"/>
        <v>0.23305573538132443</v>
      </c>
      <c r="N112" s="243">
        <f t="shared" si="22"/>
        <v>0.23305573538132443</v>
      </c>
      <c r="O112" s="243">
        <f t="shared" si="22"/>
        <v>0.23305573538132443</v>
      </c>
      <c r="P112" s="243">
        <f t="shared" si="22"/>
        <v>0.23305573538132443</v>
      </c>
      <c r="Q112" s="243">
        <f t="shared" si="22"/>
        <v>0.23305573538132443</v>
      </c>
      <c r="R112" s="243">
        <f t="shared" si="22"/>
        <v>0.23305573538132443</v>
      </c>
      <c r="S112" s="1"/>
      <c r="U112" s="1"/>
      <c r="V112" s="1"/>
      <c r="W112" s="1"/>
      <c r="X112" s="1"/>
      <c r="Y112" s="1"/>
      <c r="Z112" s="1"/>
    </row>
    <row r="113" spans="1:26" ht="15.75" customHeight="1" outlineLevel="1">
      <c r="A113" s="188"/>
      <c r="B113" s="1"/>
      <c r="C113" s="198" t="s">
        <v>204</v>
      </c>
      <c r="D113" s="72"/>
      <c r="E113" s="199">
        <v>222</v>
      </c>
      <c r="F113" s="199">
        <v>323</v>
      </c>
      <c r="G113" s="199">
        <v>253</v>
      </c>
      <c r="H113" s="199">
        <v>292</v>
      </c>
      <c r="I113" s="242">
        <f>I114*I$198</f>
        <v>156.93328629572409</v>
      </c>
      <c r="J113" s="242">
        <f>J114*J$198</f>
        <v>148.20938378509388</v>
      </c>
      <c r="K113" s="242">
        <f>K114*K$198</f>
        <v>162.30370004342456</v>
      </c>
      <c r="L113" s="242">
        <f>L114*L$198</f>
        <v>163.6119023827641</v>
      </c>
      <c r="M113" s="242">
        <f>M114*M$198</f>
        <v>165.01404404420737</v>
      </c>
      <c r="N113" s="242">
        <f>N114*N$198</f>
        <v>165.16236893502926</v>
      </c>
      <c r="O113" s="242">
        <f>O114*O$198</f>
        <v>162.26695064166375</v>
      </c>
      <c r="P113" s="242">
        <f>P114*P$198</f>
        <v>161.30560152471853</v>
      </c>
      <c r="Q113" s="242">
        <f>Q114*Q$198</f>
        <v>162.05426842420513</v>
      </c>
      <c r="R113" s="242">
        <f>R114*R$198</f>
        <v>159.9296933100367</v>
      </c>
      <c r="S113" s="1"/>
      <c r="U113" s="1"/>
      <c r="V113" s="1"/>
      <c r="W113" s="1"/>
      <c r="X113" s="1"/>
      <c r="Y113" s="1"/>
      <c r="Z113" s="1"/>
    </row>
    <row r="114" spans="1:26" ht="15.75" customHeight="1" outlineLevel="1">
      <c r="A114" s="188"/>
      <c r="B114" s="1"/>
      <c r="C114" s="215" t="s">
        <v>205</v>
      </c>
      <c r="D114" s="236" t="s">
        <v>175</v>
      </c>
      <c r="E114" s="216">
        <v>4.9831649831649831E-2</v>
      </c>
      <c r="F114" s="216">
        <v>6.4924623115577895E-2</v>
      </c>
      <c r="G114" s="216">
        <v>5.2785311913206762E-2</v>
      </c>
      <c r="H114" s="216">
        <v>6.9096071935636535E-2</v>
      </c>
      <c r="I114" s="243">
        <f>AVERAGE(E114:H114)</f>
        <v>5.9159414199017754E-2</v>
      </c>
      <c r="J114" s="243">
        <f t="shared" ref="J114:R114" si="23">I114</f>
        <v>5.9159414199017754E-2</v>
      </c>
      <c r="K114" s="243">
        <f t="shared" si="23"/>
        <v>5.9159414199017754E-2</v>
      </c>
      <c r="L114" s="243">
        <f t="shared" si="23"/>
        <v>5.9159414199017754E-2</v>
      </c>
      <c r="M114" s="243">
        <f t="shared" si="23"/>
        <v>5.9159414199017754E-2</v>
      </c>
      <c r="N114" s="243">
        <f t="shared" si="23"/>
        <v>5.9159414199017754E-2</v>
      </c>
      <c r="O114" s="243">
        <f t="shared" si="23"/>
        <v>5.9159414199017754E-2</v>
      </c>
      <c r="P114" s="243">
        <f t="shared" si="23"/>
        <v>5.9159414199017754E-2</v>
      </c>
      <c r="Q114" s="243">
        <f t="shared" si="23"/>
        <v>5.9159414199017754E-2</v>
      </c>
      <c r="R114" s="243">
        <f t="shared" si="23"/>
        <v>5.9159414199017754E-2</v>
      </c>
      <c r="S114" s="1"/>
      <c r="U114" s="1"/>
      <c r="V114" s="1"/>
      <c r="W114" s="1"/>
      <c r="X114" s="1"/>
      <c r="Y114" s="1"/>
      <c r="Z114" s="1"/>
    </row>
    <row r="115" spans="1:26" ht="15.75" customHeight="1" outlineLevel="1">
      <c r="A115" s="188"/>
      <c r="B115" s="1"/>
      <c r="C115" s="198" t="s">
        <v>207</v>
      </c>
      <c r="D115" s="72"/>
      <c r="E115" s="199">
        <v>806</v>
      </c>
      <c r="F115" s="199">
        <v>1411</v>
      </c>
      <c r="G115" s="199">
        <v>896</v>
      </c>
      <c r="H115" s="199">
        <v>1248</v>
      </c>
      <c r="I115" s="242">
        <f>I116*I$198</f>
        <v>504.01655932358182</v>
      </c>
      <c r="J115" s="242">
        <f>J116*J$198</f>
        <v>751.57632538333007</v>
      </c>
      <c r="K115" s="242">
        <f>K116*K$198</f>
        <v>521.26450922096319</v>
      </c>
      <c r="L115" s="242">
        <f>L116*L$198</f>
        <v>829.6831768770993</v>
      </c>
      <c r="M115" s="242">
        <f>M116*M$198</f>
        <v>529.96921610694312</v>
      </c>
      <c r="N115" s="242">
        <f>N116*N$198</f>
        <v>837.54566118289006</v>
      </c>
      <c r="O115" s="242">
        <f>O116*O$198</f>
        <v>521.14648259022158</v>
      </c>
      <c r="P115" s="242">
        <f>P116*P$198</f>
        <v>817.98782345311031</v>
      </c>
      <c r="Q115" s="242">
        <f>Q116*Q$198</f>
        <v>520.46341934721522</v>
      </c>
      <c r="R115" s="242">
        <f>R116*R$198</f>
        <v>811.01053218014488</v>
      </c>
      <c r="S115" s="1"/>
      <c r="U115" s="1"/>
      <c r="V115" s="1"/>
      <c r="W115" s="1"/>
      <c r="X115" s="1"/>
      <c r="Y115" s="1"/>
      <c r="Z115" s="1"/>
    </row>
    <row r="116" spans="1:26" ht="15.75" customHeight="1" outlineLevel="1">
      <c r="A116" s="1"/>
      <c r="B116" s="1"/>
      <c r="C116" s="215" t="s">
        <v>205</v>
      </c>
      <c r="D116" s="236" t="s">
        <v>177</v>
      </c>
      <c r="E116" s="216">
        <v>0.18092031425364757</v>
      </c>
      <c r="F116" s="216">
        <v>0.28361809045226133</v>
      </c>
      <c r="G116" s="216">
        <v>0.18693928645941998</v>
      </c>
      <c r="H116" s="216">
        <v>0.2953147184098438</v>
      </c>
      <c r="I116" s="243">
        <v>0.19</v>
      </c>
      <c r="J116" s="243">
        <v>0.3</v>
      </c>
      <c r="K116" s="243">
        <v>0.19</v>
      </c>
      <c r="L116" s="243">
        <v>0.3</v>
      </c>
      <c r="M116" s="243">
        <v>0.19</v>
      </c>
      <c r="N116" s="243">
        <v>0.3</v>
      </c>
      <c r="O116" s="243">
        <v>0.19</v>
      </c>
      <c r="P116" s="243">
        <v>0.3</v>
      </c>
      <c r="Q116" s="243">
        <v>0.19</v>
      </c>
      <c r="R116" s="243">
        <v>0.3</v>
      </c>
      <c r="S116" s="1"/>
      <c r="U116" s="1"/>
      <c r="V116" s="1"/>
      <c r="W116" s="1"/>
      <c r="X116" s="1"/>
      <c r="Y116" s="1"/>
      <c r="Z116" s="1"/>
    </row>
    <row r="117" spans="1:26" ht="15.75" customHeight="1" outlineLevel="1">
      <c r="A117" s="1"/>
      <c r="B117" s="1"/>
      <c r="C117" s="198"/>
      <c r="D117" s="72"/>
      <c r="F117" s="247"/>
      <c r="G117" s="247"/>
      <c r="H117" s="247"/>
      <c r="S117" s="1"/>
      <c r="U117" s="1"/>
      <c r="V117" s="1"/>
      <c r="W117" s="1"/>
      <c r="X117" s="1"/>
      <c r="Y117" s="1"/>
      <c r="Z117" s="1"/>
    </row>
    <row r="118" spans="1:26" ht="15.75" customHeight="1" outlineLevel="1">
      <c r="A118" s="1"/>
      <c r="B118" s="1"/>
      <c r="C118" s="198" t="s">
        <v>208</v>
      </c>
      <c r="D118" s="201" t="s">
        <v>175</v>
      </c>
      <c r="E118" s="199">
        <v>-136</v>
      </c>
      <c r="F118" s="199">
        <v>-155</v>
      </c>
      <c r="G118" s="199">
        <v>-131</v>
      </c>
      <c r="H118" s="199">
        <v>-116</v>
      </c>
      <c r="I118" s="242">
        <f t="shared" ref="I118:R118" si="24">I119*I$187</f>
        <v>-111.12634728</v>
      </c>
      <c r="J118" s="242">
        <f t="shared" si="24"/>
        <v>-107.86409275</v>
      </c>
      <c r="K118" s="242">
        <f t="shared" si="24"/>
        <v>-119.00274712000001</v>
      </c>
      <c r="L118" s="242">
        <f t="shared" si="24"/>
        <v>-123.11882758499999</v>
      </c>
      <c r="M118" s="242">
        <f t="shared" si="24"/>
        <v>-127.35789400000002</v>
      </c>
      <c r="N118" s="242">
        <f t="shared" si="24"/>
        <v>-127.4723712</v>
      </c>
      <c r="O118" s="242">
        <f t="shared" si="24"/>
        <v>-128.163614</v>
      </c>
      <c r="P118" s="242">
        <f t="shared" si="24"/>
        <v>-127.40430980000001</v>
      </c>
      <c r="Q118" s="242">
        <f t="shared" si="24"/>
        <v>-127.9956308</v>
      </c>
      <c r="R118" s="242">
        <f t="shared" si="24"/>
        <v>-126.3175736</v>
      </c>
      <c r="S118" s="1"/>
      <c r="U118" s="1"/>
      <c r="V118" s="1"/>
      <c r="W118" s="1"/>
      <c r="X118" s="1"/>
      <c r="Y118" s="1"/>
      <c r="Z118" s="1"/>
    </row>
    <row r="119" spans="1:26" ht="15.75" customHeight="1" outlineLevel="1">
      <c r="A119" s="188"/>
      <c r="B119" s="1"/>
      <c r="C119" s="215" t="s">
        <v>209</v>
      </c>
      <c r="D119" s="25" t="s">
        <v>177</v>
      </c>
      <c r="E119" s="216">
        <v>-2.0581113801452784E-2</v>
      </c>
      <c r="F119" s="216">
        <v>-2.2086064405813621E-2</v>
      </c>
      <c r="G119" s="216">
        <v>-1.7468995866115482E-2</v>
      </c>
      <c r="H119" s="216">
        <v>-1.787640622592079E-2</v>
      </c>
      <c r="I119" s="243">
        <v>-1.7999999999999999E-2</v>
      </c>
      <c r="J119" s="243">
        <v>-1.8499999999999999E-2</v>
      </c>
      <c r="K119" s="243">
        <v>-1.9E-2</v>
      </c>
      <c r="L119" s="243">
        <v>-1.95E-2</v>
      </c>
      <c r="M119" s="243">
        <v>-0.02</v>
      </c>
      <c r="N119" s="243">
        <v>-0.02</v>
      </c>
      <c r="O119" s="243">
        <v>-0.02</v>
      </c>
      <c r="P119" s="243">
        <v>-0.02</v>
      </c>
      <c r="Q119" s="243">
        <v>-0.02</v>
      </c>
      <c r="R119" s="243">
        <v>-0.02</v>
      </c>
      <c r="S119" s="1"/>
      <c r="U119" s="1"/>
      <c r="V119" s="1"/>
      <c r="W119" s="1"/>
      <c r="X119" s="1"/>
      <c r="Y119" s="1"/>
      <c r="Z119" s="1"/>
    </row>
    <row r="120" spans="1:26" ht="15.75" customHeight="1" outlineLevel="1">
      <c r="A120" s="188"/>
      <c r="B120" s="1"/>
      <c r="C120" s="198" t="s">
        <v>210</v>
      </c>
      <c r="D120" s="72"/>
      <c r="E120" s="199">
        <v>829</v>
      </c>
      <c r="F120" s="199">
        <v>888</v>
      </c>
      <c r="G120" s="199">
        <v>509</v>
      </c>
      <c r="H120" s="199">
        <v>328</v>
      </c>
      <c r="I120" s="242">
        <f t="shared" ref="I120:R120" si="25">I121*I$187</f>
        <v>571.69654243036439</v>
      </c>
      <c r="J120" s="242">
        <f t="shared" si="25"/>
        <v>542.83124614526923</v>
      </c>
      <c r="K120" s="242">
        <f t="shared" si="25"/>
        <v>586.25852659916234</v>
      </c>
      <c r="L120" s="242">
        <f t="shared" si="25"/>
        <v>594.14078801765265</v>
      </c>
      <c r="M120" s="242">
        <f t="shared" si="25"/>
        <v>602.41647710226891</v>
      </c>
      <c r="N120" s="242">
        <f t="shared" si="25"/>
        <v>602.95796651738533</v>
      </c>
      <c r="O120" s="242">
        <f t="shared" si="25"/>
        <v>606.22761898508645</v>
      </c>
      <c r="P120" s="242">
        <f t="shared" si="25"/>
        <v>602.63602880683686</v>
      </c>
      <c r="Q120" s="242">
        <f t="shared" si="25"/>
        <v>605.4330404601277</v>
      </c>
      <c r="R120" s="242">
        <f t="shared" si="25"/>
        <v>597.49565020460022</v>
      </c>
      <c r="S120" s="1"/>
      <c r="U120" s="1"/>
      <c r="V120" s="1"/>
      <c r="W120" s="1"/>
      <c r="X120" s="1"/>
      <c r="Y120" s="1"/>
      <c r="Z120" s="1"/>
    </row>
    <row r="121" spans="1:26" ht="15.75" customHeight="1" outlineLevel="1">
      <c r="A121" s="188"/>
      <c r="B121" s="1"/>
      <c r="C121" s="215" t="s">
        <v>209</v>
      </c>
      <c r="D121" s="236" t="s">
        <v>175</v>
      </c>
      <c r="E121" s="216">
        <v>0.12545399515738498</v>
      </c>
      <c r="F121" s="216">
        <v>0.12653177543459676</v>
      </c>
      <c r="G121" s="216">
        <v>6.7875716762234958E-2</v>
      </c>
      <c r="H121" s="216">
        <v>5.0547079673293263E-2</v>
      </c>
      <c r="I121" s="243">
        <f>AVERAGE(E121:H121)</f>
        <v>9.260214175687749E-2</v>
      </c>
      <c r="J121" s="243">
        <f t="shared" ref="J121:R121" si="26">I121-(J119-I119)</f>
        <v>9.3102141756877491E-2</v>
      </c>
      <c r="K121" s="243">
        <f t="shared" si="26"/>
        <v>9.3602141756877491E-2</v>
      </c>
      <c r="L121" s="243">
        <f t="shared" si="26"/>
        <v>9.4102141756877491E-2</v>
      </c>
      <c r="M121" s="243">
        <f t="shared" si="26"/>
        <v>9.4602141756877492E-2</v>
      </c>
      <c r="N121" s="243">
        <f t="shared" si="26"/>
        <v>9.4602141756877492E-2</v>
      </c>
      <c r="O121" s="243">
        <f t="shared" si="26"/>
        <v>9.4602141756877492E-2</v>
      </c>
      <c r="P121" s="243">
        <f t="shared" si="26"/>
        <v>9.4602141756877492E-2</v>
      </c>
      <c r="Q121" s="243">
        <f t="shared" si="26"/>
        <v>9.4602141756877492E-2</v>
      </c>
      <c r="R121" s="243">
        <f t="shared" si="26"/>
        <v>9.4602141756877492E-2</v>
      </c>
      <c r="S121" s="1"/>
      <c r="U121" s="1"/>
      <c r="V121" s="1"/>
      <c r="W121" s="1"/>
      <c r="X121" s="1"/>
      <c r="Y121" s="1"/>
      <c r="Z121" s="1"/>
    </row>
    <row r="122" spans="1:26" ht="15.75" customHeight="1" outlineLevel="1">
      <c r="A122" s="188"/>
      <c r="B122" s="1"/>
      <c r="C122" s="198" t="s">
        <v>212</v>
      </c>
      <c r="D122" s="201" t="s">
        <v>175</v>
      </c>
      <c r="E122" s="199">
        <v>321</v>
      </c>
      <c r="F122" s="199">
        <v>311</v>
      </c>
      <c r="G122" s="199">
        <v>489</v>
      </c>
      <c r="H122" s="199">
        <v>225</v>
      </c>
      <c r="I122" s="249">
        <v>204</v>
      </c>
      <c r="J122" s="249">
        <v>74</v>
      </c>
      <c r="K122" s="249">
        <v>12</v>
      </c>
      <c r="L122" s="249">
        <v>7</v>
      </c>
      <c r="M122" s="249">
        <v>2</v>
      </c>
      <c r="N122" s="249">
        <v>3</v>
      </c>
      <c r="O122" s="249">
        <v>3</v>
      </c>
      <c r="P122" s="249">
        <v>3</v>
      </c>
      <c r="Q122" s="249">
        <v>3</v>
      </c>
      <c r="R122" s="249">
        <v>3</v>
      </c>
      <c r="S122" s="1"/>
      <c r="U122" s="1"/>
      <c r="V122" s="1"/>
      <c r="W122" s="1"/>
      <c r="X122" s="1"/>
      <c r="Y122" s="1"/>
      <c r="Z122" s="1"/>
    </row>
    <row r="123" spans="1:26" ht="15.75" customHeight="1" outlineLevel="1">
      <c r="A123" s="188"/>
      <c r="B123" s="1"/>
      <c r="C123" s="215" t="s">
        <v>209</v>
      </c>
      <c r="D123" s="236"/>
      <c r="E123" s="216">
        <v>4.8577481840193705E-2</v>
      </c>
      <c r="F123" s="216">
        <v>4.4314619549729269E-2</v>
      </c>
      <c r="G123" s="216">
        <v>6.5208694492599015E-2</v>
      </c>
      <c r="H123" s="216">
        <v>3.4674063800277391E-2</v>
      </c>
      <c r="I123" s="251"/>
      <c r="U123" s="1"/>
      <c r="V123" s="1"/>
      <c r="W123" s="1"/>
      <c r="X123" s="1"/>
      <c r="Y123" s="1"/>
      <c r="Z123" s="1"/>
    </row>
    <row r="124" spans="1:26" ht="15.75" customHeight="1" outlineLevel="1">
      <c r="A124" s="1"/>
      <c r="B124" s="357" t="s">
        <v>327</v>
      </c>
      <c r="C124" s="215"/>
      <c r="D124" s="236"/>
      <c r="E124" s="251"/>
      <c r="F124" s="251"/>
      <c r="G124" s="251"/>
      <c r="H124" s="251"/>
      <c r="I124" s="242"/>
      <c r="U124" s="1"/>
      <c r="V124" s="1"/>
      <c r="W124" s="1"/>
      <c r="X124" s="1"/>
      <c r="Y124" s="1"/>
      <c r="Z124" s="1"/>
    </row>
    <row r="125" spans="1:26" ht="15.75" customHeight="1" outlineLevel="1">
      <c r="A125" s="1"/>
      <c r="B125" s="358" t="s">
        <v>328</v>
      </c>
      <c r="C125" s="358"/>
      <c r="D125" s="236"/>
      <c r="E125" s="251"/>
      <c r="F125" s="251"/>
      <c r="G125" s="251"/>
      <c r="H125" s="251"/>
      <c r="I125" s="251"/>
      <c r="U125" s="1"/>
      <c r="V125" s="1"/>
      <c r="W125" s="1"/>
      <c r="X125" s="1"/>
      <c r="Y125" s="1"/>
      <c r="Z125" s="1"/>
    </row>
    <row r="126" spans="1:26" ht="15.75" customHeight="1" outlineLevel="1">
      <c r="A126" s="1"/>
      <c r="B126" s="1"/>
      <c r="C126" s="359" t="s">
        <v>329</v>
      </c>
      <c r="D126" s="236"/>
      <c r="E126" s="199">
        <v>741</v>
      </c>
      <c r="F126" s="199">
        <v>732</v>
      </c>
      <c r="G126" s="199">
        <v>718</v>
      </c>
      <c r="H126" s="199">
        <v>656</v>
      </c>
      <c r="I126" s="242">
        <f>I127*I187</f>
        <v>555.63173640000002</v>
      </c>
      <c r="J126" s="242">
        <f t="shared" ref="J126:R126" si="27">J127*J187</f>
        <v>553.89669249999997</v>
      </c>
      <c r="K126" s="242">
        <f t="shared" si="27"/>
        <v>626.3302480000001</v>
      </c>
      <c r="L126" s="242">
        <f t="shared" si="27"/>
        <v>631.378603</v>
      </c>
      <c r="M126" s="242">
        <f t="shared" si="27"/>
        <v>636.78947000000016</v>
      </c>
      <c r="N126" s="242">
        <f t="shared" si="27"/>
        <v>637.36185599999999</v>
      </c>
      <c r="O126" s="242">
        <f t="shared" si="27"/>
        <v>640.81807000000003</v>
      </c>
      <c r="P126" s="242">
        <f t="shared" si="27"/>
        <v>637.02154900000005</v>
      </c>
      <c r="Q126" s="242">
        <f t="shared" si="27"/>
        <v>639.97815400000002</v>
      </c>
      <c r="R126" s="242">
        <f t="shared" si="27"/>
        <v>631.58786800000007</v>
      </c>
      <c r="U126" s="1"/>
      <c r="V126" s="1"/>
      <c r="W126" s="1"/>
      <c r="X126" s="1"/>
      <c r="Y126" s="1"/>
      <c r="Z126" s="1"/>
    </row>
    <row r="127" spans="1:26" ht="15.75" customHeight="1" outlineLevel="1">
      <c r="A127" s="1"/>
      <c r="B127" s="1"/>
      <c r="C127" s="215" t="s">
        <v>209</v>
      </c>
      <c r="D127" s="236"/>
      <c r="E127" s="251">
        <f>+E126/E$187</f>
        <v>0.11130095676420307</v>
      </c>
      <c r="F127" s="251">
        <f>+F126/F$187</f>
        <v>0.11521196089026108</v>
      </c>
      <c r="G127" s="251">
        <f t="shared" ref="G127:H127" si="28">+G126/G$187</f>
        <v>0.1021584131983525</v>
      </c>
      <c r="H127" s="251">
        <f t="shared" si="28"/>
        <v>9.0507593280095416E-2</v>
      </c>
      <c r="I127" s="243">
        <v>0.09</v>
      </c>
      <c r="J127" s="243">
        <v>9.5000000000000001E-2</v>
      </c>
      <c r="K127" s="243">
        <v>0.1</v>
      </c>
      <c r="L127" s="243">
        <v>0.1</v>
      </c>
      <c r="M127" s="243">
        <v>0.1</v>
      </c>
      <c r="N127" s="243">
        <v>0.1</v>
      </c>
      <c r="O127" s="243">
        <v>0.1</v>
      </c>
      <c r="P127" s="243">
        <v>0.1</v>
      </c>
      <c r="Q127" s="243">
        <v>0.1</v>
      </c>
      <c r="R127" s="243">
        <v>0.1</v>
      </c>
      <c r="U127" s="1"/>
      <c r="V127" s="1"/>
      <c r="W127" s="1"/>
      <c r="X127" s="1"/>
      <c r="Y127" s="1"/>
      <c r="Z127" s="1"/>
    </row>
    <row r="128" spans="1:26" ht="15.75" customHeight="1" outlineLevel="1">
      <c r="A128" s="1"/>
      <c r="B128" s="1"/>
      <c r="C128" s="359" t="s">
        <v>330</v>
      </c>
      <c r="D128" s="236"/>
      <c r="E128" s="199">
        <v>331</v>
      </c>
      <c r="F128" s="199">
        <v>301</v>
      </c>
      <c r="G128" s="199">
        <v>372</v>
      </c>
      <c r="H128" s="199">
        <v>240</v>
      </c>
      <c r="I128" s="242">
        <f>I129*I$187</f>
        <v>282.65333263027418</v>
      </c>
      <c r="J128" s="242">
        <f t="shared" ref="J128:R128" si="29">J129*J$187</f>
        <v>266.94066786440271</v>
      </c>
      <c r="K128" s="242">
        <f t="shared" si="29"/>
        <v>286.75629611122321</v>
      </c>
      <c r="L128" s="242">
        <f t="shared" si="29"/>
        <v>289.06761284209665</v>
      </c>
      <c r="M128" s="242">
        <f t="shared" si="29"/>
        <v>291.54490047849146</v>
      </c>
      <c r="N128" s="242">
        <f t="shared" si="29"/>
        <v>291.80695917648666</v>
      </c>
      <c r="O128" s="242">
        <f t="shared" si="29"/>
        <v>293.38933704881924</v>
      </c>
      <c r="P128" s="242">
        <f t="shared" si="29"/>
        <v>291.65115451086132</v>
      </c>
      <c r="Q128" s="242">
        <f t="shared" si="29"/>
        <v>293.00479358796349</v>
      </c>
      <c r="R128" s="242">
        <f t="shared" si="29"/>
        <v>289.16342181267942</v>
      </c>
      <c r="U128" s="1"/>
      <c r="V128" s="1"/>
      <c r="W128" s="1"/>
      <c r="X128" s="1"/>
      <c r="Y128" s="1"/>
      <c r="Z128" s="1"/>
    </row>
    <row r="129" spans="1:26" ht="15.75" customHeight="1" outlineLevel="1">
      <c r="A129" s="1"/>
      <c r="B129" s="1"/>
      <c r="C129" s="215" t="s">
        <v>209</v>
      </c>
      <c r="D129" s="236"/>
      <c r="E129" s="251">
        <f>+E128/E$187</f>
        <v>4.9717431429083962E-2</v>
      </c>
      <c r="F129" s="251">
        <f>+F128/F$187</f>
        <v>4.7375410147498062E-2</v>
      </c>
      <c r="G129" s="251">
        <f t="shared" ref="G129" si="30">+G128/G$187</f>
        <v>5.292887146209907E-2</v>
      </c>
      <c r="H129" s="251">
        <f t="shared" ref="H129" si="31">+H128/H$187</f>
        <v>3.3112534126864178E-2</v>
      </c>
      <c r="I129" s="243">
        <f>AVERAGE(E129:H129)</f>
        <v>4.5783561791386318E-2</v>
      </c>
      <c r="J129" s="243">
        <f>+I129</f>
        <v>4.5783561791386318E-2</v>
      </c>
      <c r="K129" s="243">
        <f t="shared" ref="K129:R129" si="32">+J129</f>
        <v>4.5783561791386318E-2</v>
      </c>
      <c r="L129" s="243">
        <f t="shared" si="32"/>
        <v>4.5783561791386318E-2</v>
      </c>
      <c r="M129" s="243">
        <f t="shared" si="32"/>
        <v>4.5783561791386318E-2</v>
      </c>
      <c r="N129" s="243">
        <f t="shared" si="32"/>
        <v>4.5783561791386318E-2</v>
      </c>
      <c r="O129" s="243">
        <f t="shared" si="32"/>
        <v>4.5783561791386318E-2</v>
      </c>
      <c r="P129" s="243">
        <f t="shared" si="32"/>
        <v>4.5783561791386318E-2</v>
      </c>
      <c r="Q129" s="243">
        <f t="shared" si="32"/>
        <v>4.5783561791386318E-2</v>
      </c>
      <c r="R129" s="243">
        <f t="shared" si="32"/>
        <v>4.5783561791386318E-2</v>
      </c>
      <c r="U129" s="1"/>
      <c r="V129" s="1"/>
      <c r="W129" s="1"/>
      <c r="X129" s="1"/>
      <c r="Y129" s="1"/>
      <c r="Z129" s="1"/>
    </row>
    <row r="130" spans="1:26" ht="15.75" customHeight="1" outlineLevel="1">
      <c r="A130" s="1"/>
      <c r="B130" s="1"/>
      <c r="C130" s="359" t="s">
        <v>331</v>
      </c>
      <c r="D130" s="236"/>
      <c r="E130" s="199">
        <v>851</v>
      </c>
      <c r="F130" s="199">
        <v>985</v>
      </c>
      <c r="G130" s="199">
        <v>1028</v>
      </c>
      <c r="H130" s="199">
        <v>966</v>
      </c>
      <c r="I130" s="242">
        <f>I131*I$187</f>
        <v>802.57917480000015</v>
      </c>
      <c r="J130" s="242">
        <f t="shared" ref="J130:R130" si="33">J131*J$187</f>
        <v>757.96389500000009</v>
      </c>
      <c r="K130" s="242">
        <f t="shared" si="33"/>
        <v>814.22932240000011</v>
      </c>
      <c r="L130" s="242">
        <f t="shared" si="33"/>
        <v>820.79218389999994</v>
      </c>
      <c r="M130" s="242">
        <f t="shared" si="33"/>
        <v>827.82631100000015</v>
      </c>
      <c r="N130" s="242">
        <f t="shared" si="33"/>
        <v>828.57041279999999</v>
      </c>
      <c r="O130" s="242">
        <f t="shared" si="33"/>
        <v>833.063491</v>
      </c>
      <c r="P130" s="242">
        <f t="shared" si="33"/>
        <v>828.12801370000011</v>
      </c>
      <c r="Q130" s="242">
        <f t="shared" si="33"/>
        <v>831.97160020000001</v>
      </c>
      <c r="R130" s="242">
        <f t="shared" si="33"/>
        <v>821.06422840000005</v>
      </c>
      <c r="U130" s="1"/>
      <c r="V130" s="1"/>
      <c r="W130" s="1"/>
      <c r="X130" s="1"/>
      <c r="Y130" s="1"/>
      <c r="Z130" s="1"/>
    </row>
    <row r="131" spans="1:26" ht="15.75" customHeight="1" outlineLevel="1">
      <c r="A131" s="1"/>
      <c r="B131" s="1"/>
      <c r="C131" s="215" t="s">
        <v>209</v>
      </c>
      <c r="D131" s="236"/>
      <c r="E131" s="251">
        <f>+E130/E$187</f>
        <v>0.12782336600045455</v>
      </c>
      <c r="F131" s="251">
        <f>+F130/F$187</f>
        <v>0.15503248835643055</v>
      </c>
      <c r="G131" s="251">
        <f t="shared" ref="G131" si="34">+G130/G$187</f>
        <v>0.14626580608343506</v>
      </c>
      <c r="H131" s="251">
        <f t="shared" ref="H131" si="35">+H130/H$187</f>
        <v>0.1332779498606283</v>
      </c>
      <c r="I131" s="243">
        <v>0.13</v>
      </c>
      <c r="J131" s="243">
        <v>0.13</v>
      </c>
      <c r="K131" s="243">
        <v>0.13</v>
      </c>
      <c r="L131" s="243">
        <v>0.13</v>
      </c>
      <c r="M131" s="243">
        <v>0.13</v>
      </c>
      <c r="N131" s="243">
        <v>0.13</v>
      </c>
      <c r="O131" s="243">
        <v>0.13</v>
      </c>
      <c r="P131" s="243">
        <v>0.13</v>
      </c>
      <c r="Q131" s="243">
        <v>0.13</v>
      </c>
      <c r="R131" s="243">
        <v>0.13</v>
      </c>
      <c r="U131" s="1"/>
      <c r="V131" s="1"/>
      <c r="W131" s="1"/>
      <c r="X131" s="1"/>
      <c r="Y131" s="1"/>
      <c r="Z131" s="1"/>
    </row>
    <row r="132" spans="1:26" ht="15.75" customHeight="1" outlineLevel="1">
      <c r="A132" s="1"/>
      <c r="B132" s="1"/>
      <c r="C132" s="359" t="s">
        <v>330</v>
      </c>
      <c r="D132" s="236"/>
      <c r="E132" s="199">
        <v>471</v>
      </c>
      <c r="F132" s="199">
        <v>483</v>
      </c>
      <c r="G132" s="199">
        <v>399</v>
      </c>
      <c r="H132" s="199">
        <v>232</v>
      </c>
      <c r="I132" s="242">
        <f>I133*I$187</f>
        <v>364.36710653054269</v>
      </c>
      <c r="J132" s="242">
        <f t="shared" ref="J132:R132" si="36">J133*J$187</f>
        <v>344.11198290136599</v>
      </c>
      <c r="K132" s="242">
        <f t="shared" si="36"/>
        <v>369.65621781694449</v>
      </c>
      <c r="L132" s="242">
        <f t="shared" si="36"/>
        <v>372.63572554702176</v>
      </c>
      <c r="M132" s="242">
        <f t="shared" si="36"/>
        <v>375.8291856053815</v>
      </c>
      <c r="N132" s="242">
        <f t="shared" si="36"/>
        <v>376.16700426345682</v>
      </c>
      <c r="O132" s="242">
        <f t="shared" si="36"/>
        <v>378.20684027534617</v>
      </c>
      <c r="P132" s="242">
        <f t="shared" si="36"/>
        <v>375.96615718810273</v>
      </c>
      <c r="Q132" s="242">
        <f t="shared" si="36"/>
        <v>377.71112707478568</v>
      </c>
      <c r="R132" s="242">
        <f t="shared" si="36"/>
        <v>372.75923244880158</v>
      </c>
      <c r="U132" s="1"/>
      <c r="V132" s="1"/>
      <c r="W132" s="1"/>
      <c r="X132" s="1"/>
      <c r="Y132" s="1"/>
      <c r="Z132" s="1"/>
    </row>
    <row r="133" spans="1:26" ht="15.75" customHeight="1" outlineLevel="1">
      <c r="A133" s="1"/>
      <c r="B133" s="1"/>
      <c r="C133" s="215" t="s">
        <v>209</v>
      </c>
      <c r="D133" s="236"/>
      <c r="E133" s="251">
        <f>E132/6608</f>
        <v>7.1277239709443094E-2</v>
      </c>
      <c r="F133" s="251">
        <f>+F132/F$187</f>
        <v>7.6021006980868985E-2</v>
      </c>
      <c r="G133" s="251">
        <f t="shared" ref="G133" si="37">+G132/G$187</f>
        <v>5.6770483100477227E-2</v>
      </c>
      <c r="H133" s="251">
        <f t="shared" ref="H133" si="38">+H132/H$187</f>
        <v>3.2008782989302036E-2</v>
      </c>
      <c r="I133" s="243">
        <f>+AVERAGE(E133:H133)</f>
        <v>5.9019378195022835E-2</v>
      </c>
      <c r="J133" s="243">
        <f>+I133</f>
        <v>5.9019378195022835E-2</v>
      </c>
      <c r="K133" s="243">
        <f>J133</f>
        <v>5.9019378195022835E-2</v>
      </c>
      <c r="L133" s="243">
        <f t="shared" ref="K133:R133" si="39">+K133</f>
        <v>5.9019378195022835E-2</v>
      </c>
      <c r="M133" s="243">
        <f t="shared" si="39"/>
        <v>5.9019378195022835E-2</v>
      </c>
      <c r="N133" s="243">
        <f t="shared" si="39"/>
        <v>5.9019378195022835E-2</v>
      </c>
      <c r="O133" s="243">
        <f t="shared" si="39"/>
        <v>5.9019378195022835E-2</v>
      </c>
      <c r="P133" s="243">
        <f t="shared" si="39"/>
        <v>5.9019378195022835E-2</v>
      </c>
      <c r="Q133" s="243">
        <f t="shared" si="39"/>
        <v>5.9019378195022835E-2</v>
      </c>
      <c r="R133" s="243">
        <f t="shared" si="39"/>
        <v>5.9019378195022835E-2</v>
      </c>
      <c r="U133" s="1"/>
      <c r="V133" s="1"/>
      <c r="W133" s="1"/>
      <c r="X133" s="1"/>
      <c r="Y133" s="1"/>
      <c r="Z133" s="1"/>
    </row>
    <row r="134" spans="1:26" ht="15.75" customHeight="1" outlineLevel="1">
      <c r="A134" s="1"/>
      <c r="B134" s="1"/>
      <c r="C134" s="358" t="s">
        <v>332</v>
      </c>
      <c r="D134" s="236"/>
      <c r="E134" s="251">
        <f>958/E187</f>
        <v>0.14389516407571734</v>
      </c>
      <c r="F134" s="361">
        <f>1068/F187</f>
        <v>0.16809613965956124</v>
      </c>
      <c r="G134" s="251">
        <f>1102/G187</f>
        <v>0.15679466761084185</v>
      </c>
      <c r="H134" s="361">
        <f>999/H187</f>
        <v>0.13783092330307212</v>
      </c>
      <c r="I134" s="243">
        <f>+AVERAGE(E134:H134)</f>
        <v>0.15165422366229814</v>
      </c>
      <c r="J134" s="243">
        <f>+I134</f>
        <v>0.15165422366229814</v>
      </c>
      <c r="K134" s="243">
        <v>0.16</v>
      </c>
      <c r="L134" s="243">
        <f t="shared" ref="K134:R134" si="40">+K134</f>
        <v>0.16</v>
      </c>
      <c r="M134" s="243">
        <f t="shared" si="40"/>
        <v>0.16</v>
      </c>
      <c r="N134" s="243">
        <f t="shared" si="40"/>
        <v>0.16</v>
      </c>
      <c r="O134" s="243">
        <v>0.15</v>
      </c>
      <c r="P134" s="243">
        <f t="shared" si="40"/>
        <v>0.15</v>
      </c>
      <c r="Q134" s="243">
        <f t="shared" si="40"/>
        <v>0.15</v>
      </c>
      <c r="R134" s="243">
        <f t="shared" si="40"/>
        <v>0.15</v>
      </c>
      <c r="U134" s="1"/>
      <c r="V134" s="1"/>
      <c r="W134" s="1"/>
      <c r="X134" s="1"/>
      <c r="Y134" s="1"/>
      <c r="Z134" s="1"/>
    </row>
    <row r="135" spans="1:26" ht="15.75" customHeight="1" outlineLevel="1">
      <c r="A135" s="1"/>
      <c r="B135" s="1"/>
      <c r="C135" s="358" t="s">
        <v>333</v>
      </c>
      <c r="D135" s="236"/>
      <c r="E135" s="251">
        <f>+(1210+634)/6608</f>
        <v>0.27905569007263925</v>
      </c>
      <c r="F135" s="361">
        <f>2139/F187</f>
        <v>0.33666445948670548</v>
      </c>
      <c r="G135" s="361">
        <f>1882/G187</f>
        <v>0.26777455938621086</v>
      </c>
      <c r="H135" s="251">
        <f>1657/H187</f>
        <v>0.22861445436755809</v>
      </c>
      <c r="I135" s="243">
        <f>AVERAGE(E135:H135)</f>
        <v>0.27802729082827843</v>
      </c>
      <c r="J135" s="243">
        <f>I135</f>
        <v>0.27802729082827843</v>
      </c>
      <c r="K135" s="243">
        <f t="shared" ref="K135:R135" si="41">J135</f>
        <v>0.27802729082827843</v>
      </c>
      <c r="L135" s="243">
        <f t="shared" si="41"/>
        <v>0.27802729082827843</v>
      </c>
      <c r="M135" s="243">
        <f t="shared" si="41"/>
        <v>0.27802729082827843</v>
      </c>
      <c r="N135" s="243">
        <f t="shared" si="41"/>
        <v>0.27802729082827843</v>
      </c>
      <c r="O135" s="243">
        <f t="shared" si="41"/>
        <v>0.27802729082827843</v>
      </c>
      <c r="P135" s="243">
        <f t="shared" si="41"/>
        <v>0.27802729082827843</v>
      </c>
      <c r="Q135" s="243">
        <f t="shared" si="41"/>
        <v>0.27802729082827843</v>
      </c>
      <c r="R135" s="243">
        <f t="shared" si="41"/>
        <v>0.27802729082827843</v>
      </c>
      <c r="U135" s="1"/>
      <c r="V135" s="1"/>
      <c r="W135" s="1"/>
      <c r="X135" s="1"/>
      <c r="Y135" s="1"/>
      <c r="Z135" s="1"/>
    </row>
    <row r="136" spans="1:26" ht="15.75" customHeight="1" outlineLevel="1">
      <c r="A136" s="1"/>
      <c r="B136" s="1"/>
      <c r="C136" s="358" t="s">
        <v>334</v>
      </c>
      <c r="D136" s="236"/>
      <c r="E136" s="360">
        <v>0</v>
      </c>
      <c r="F136" s="251">
        <v>0</v>
      </c>
      <c r="G136" s="361">
        <f>10/G187</f>
        <v>1.4228191253252438E-3</v>
      </c>
      <c r="H136" s="251">
        <f>132/H187</f>
        <v>1.8211893769775295E-2</v>
      </c>
      <c r="I136" s="243">
        <v>0</v>
      </c>
      <c r="J136" s="243">
        <v>0</v>
      </c>
      <c r="K136" s="243">
        <v>0</v>
      </c>
      <c r="L136" s="243">
        <v>0</v>
      </c>
      <c r="M136" s="243">
        <v>0</v>
      </c>
      <c r="N136" s="243">
        <v>0</v>
      </c>
      <c r="O136" s="243">
        <v>0</v>
      </c>
      <c r="P136" s="243">
        <v>0</v>
      </c>
      <c r="Q136" s="243">
        <v>0</v>
      </c>
      <c r="R136" s="243">
        <v>0</v>
      </c>
      <c r="U136" s="1"/>
      <c r="V136" s="1"/>
      <c r="W136" s="1"/>
      <c r="X136" s="1"/>
      <c r="Y136" s="1"/>
      <c r="Z136" s="1"/>
    </row>
    <row r="137" spans="1:26" ht="15.75" customHeight="1" outlineLevel="1">
      <c r="A137" s="1"/>
      <c r="B137" s="1"/>
      <c r="C137" s="215"/>
      <c r="D137" s="236"/>
      <c r="E137" s="251"/>
      <c r="F137" s="251"/>
      <c r="G137" s="251"/>
      <c r="H137" s="251"/>
      <c r="I137" s="251"/>
      <c r="U137" s="1"/>
      <c r="V137" s="1"/>
      <c r="W137" s="1"/>
      <c r="X137" s="1"/>
      <c r="Y137" s="1"/>
      <c r="Z137" s="1"/>
    </row>
    <row r="138" spans="1:26" ht="15.75" customHeight="1">
      <c r="A138" s="1"/>
      <c r="B138" s="1"/>
      <c r="C138" s="253"/>
      <c r="D138" s="72"/>
      <c r="E138" s="121"/>
      <c r="F138" s="121"/>
      <c r="G138" s="121"/>
      <c r="H138" s="121"/>
      <c r="I138" s="121"/>
      <c r="J138" s="121"/>
      <c r="K138" s="121"/>
      <c r="L138" s="121"/>
      <c r="M138" s="121"/>
      <c r="N138" s="121"/>
      <c r="O138" s="121"/>
      <c r="P138" s="121"/>
      <c r="Q138" s="121"/>
      <c r="R138" s="121"/>
      <c r="S138" s="1"/>
      <c r="T138" s="1"/>
      <c r="U138" s="1"/>
      <c r="V138" s="1"/>
      <c r="W138" s="1"/>
      <c r="X138" s="1"/>
      <c r="Y138" s="1"/>
      <c r="Z138" s="1"/>
    </row>
    <row r="139" spans="1:26" ht="15.75" customHeight="1">
      <c r="A139" s="1"/>
      <c r="B139" s="186"/>
      <c r="C139" s="186"/>
      <c r="D139" s="187"/>
      <c r="E139" s="187"/>
      <c r="F139" s="187"/>
      <c r="G139" s="186"/>
      <c r="H139" s="186"/>
      <c r="I139" s="186"/>
      <c r="J139" s="186"/>
      <c r="K139" s="186"/>
      <c r="L139" s="186"/>
      <c r="M139" s="186"/>
      <c r="N139" s="186"/>
      <c r="O139" s="186"/>
      <c r="P139" s="186"/>
      <c r="Q139" s="186"/>
      <c r="R139" s="186"/>
      <c r="S139" s="1"/>
      <c r="T139" s="1"/>
      <c r="U139" s="1"/>
      <c r="V139" s="1"/>
      <c r="W139" s="1"/>
      <c r="X139" s="1"/>
      <c r="Y139" s="1"/>
      <c r="Z139" s="1"/>
    </row>
    <row r="140" spans="1:26" ht="15.75" customHeight="1">
      <c r="A140" s="1"/>
      <c r="B140" s="189" t="s">
        <v>213</v>
      </c>
      <c r="C140" s="189"/>
      <c r="D140" s="254"/>
      <c r="E140" s="255"/>
      <c r="F140" s="255"/>
      <c r="G140" s="256"/>
      <c r="H140" s="256"/>
      <c r="I140" s="256"/>
      <c r="J140" s="256"/>
      <c r="K140" s="256"/>
      <c r="L140" s="256"/>
      <c r="M140" s="256"/>
      <c r="N140" s="256"/>
      <c r="O140" s="256"/>
      <c r="P140" s="256"/>
      <c r="Q140" s="256"/>
      <c r="R140" s="256"/>
      <c r="S140" s="1"/>
      <c r="T140" s="1"/>
      <c r="U140" s="1"/>
      <c r="V140" s="1"/>
      <c r="W140" s="1"/>
      <c r="X140" s="1"/>
      <c r="Y140" s="1"/>
      <c r="Z140" s="1"/>
    </row>
    <row r="141" spans="1:26" ht="15.75" customHeight="1" outlineLevel="1">
      <c r="A141" s="1"/>
      <c r="B141" s="1"/>
      <c r="C141" s="1"/>
      <c r="D141" s="72"/>
      <c r="E141" s="72"/>
      <c r="F141" s="72"/>
      <c r="G141" s="1"/>
      <c r="H141" s="1"/>
      <c r="I141" s="1"/>
      <c r="J141" s="1"/>
      <c r="K141" s="1"/>
      <c r="L141" s="1"/>
      <c r="M141" s="1"/>
      <c r="N141" s="1"/>
      <c r="O141" s="1"/>
      <c r="P141" s="1"/>
      <c r="Q141" s="1"/>
      <c r="R141" s="1"/>
      <c r="S141" s="1"/>
      <c r="T141" s="1"/>
      <c r="U141" s="1"/>
      <c r="V141" s="1"/>
      <c r="W141" s="1"/>
      <c r="X141" s="1"/>
      <c r="Y141" s="1"/>
      <c r="Z141" s="1"/>
    </row>
    <row r="142" spans="1:26" ht="15.75" customHeight="1" outlineLevel="1">
      <c r="A142" s="1"/>
      <c r="B142" s="1"/>
      <c r="C142" s="1" t="s">
        <v>214</v>
      </c>
      <c r="D142" s="257">
        <f>+WACC</f>
        <v>5.2327241994476269E-2</v>
      </c>
      <c r="E142" s="1"/>
      <c r="F142" s="373" t="s">
        <v>215</v>
      </c>
      <c r="G142" s="366"/>
      <c r="H142" s="366"/>
      <c r="I142" s="367"/>
      <c r="J142" s="1"/>
      <c r="K142" s="373" t="s">
        <v>216</v>
      </c>
      <c r="L142" s="366"/>
      <c r="M142" s="366"/>
      <c r="N142" s="367"/>
      <c r="O142" s="1"/>
      <c r="P142" s="1"/>
      <c r="Q142" s="1"/>
      <c r="R142" s="1"/>
      <c r="S142" s="1"/>
      <c r="T142" s="1"/>
      <c r="U142" s="1"/>
      <c r="V142" s="1"/>
      <c r="W142" s="1"/>
      <c r="X142" s="1"/>
      <c r="Y142" s="1"/>
      <c r="Z142" s="1"/>
    </row>
    <row r="143" spans="1:26" ht="15.75" customHeight="1" outlineLevel="1">
      <c r="A143" s="1"/>
      <c r="B143" s="1"/>
      <c r="E143" s="72"/>
      <c r="F143" s="72"/>
      <c r="G143" s="1"/>
      <c r="H143" s="1"/>
      <c r="I143" s="1"/>
      <c r="J143" s="1"/>
      <c r="K143" s="1"/>
      <c r="L143" s="1"/>
      <c r="M143" s="1"/>
      <c r="N143" s="1"/>
      <c r="O143" s="1"/>
      <c r="P143" s="1"/>
      <c r="Q143" s="1"/>
      <c r="R143" s="1"/>
      <c r="S143" s="1"/>
      <c r="T143" s="1"/>
      <c r="U143" s="1"/>
      <c r="V143" s="1"/>
      <c r="W143" s="1"/>
      <c r="X143" s="1"/>
      <c r="Y143" s="1"/>
      <c r="Z143" s="1"/>
    </row>
    <row r="144" spans="1:26" ht="15.75" customHeight="1" outlineLevel="1">
      <c r="A144" s="1"/>
      <c r="B144" s="1"/>
      <c r="E144" s="72"/>
      <c r="F144" s="1" t="s">
        <v>217</v>
      </c>
      <c r="G144" s="1"/>
      <c r="H144" s="1"/>
      <c r="I144" s="259">
        <f t="array" ref="I144">INDEX(I145:I147,MATCH(Scenario,$K145:$K147,0))</f>
        <v>11.831517348746051</v>
      </c>
      <c r="J144" s="1"/>
      <c r="K144" s="1" t="s">
        <v>218</v>
      </c>
      <c r="L144" s="1"/>
      <c r="M144" s="1"/>
      <c r="N144" s="260">
        <f t="array" ref="N144">INDEX(N145:N147,MATCH(Scenario,$K145:$K147,0))</f>
        <v>0.02</v>
      </c>
      <c r="O144" s="1"/>
      <c r="P144" s="1"/>
      <c r="Q144" s="1"/>
      <c r="R144" s="1"/>
      <c r="S144" s="1"/>
      <c r="T144" s="1"/>
      <c r="U144" s="1"/>
      <c r="V144" s="1"/>
      <c r="W144" s="1"/>
      <c r="X144" s="1"/>
      <c r="Y144" s="1"/>
      <c r="Z144" s="1"/>
    </row>
    <row r="145" spans="1:26" ht="15.75" customHeight="1" outlineLevel="1">
      <c r="A145" s="1"/>
      <c r="B145" s="1"/>
      <c r="E145" s="72"/>
      <c r="F145" s="198" t="str">
        <f>+$C$26</f>
        <v>Base</v>
      </c>
      <c r="G145" s="1"/>
      <c r="H145" s="1"/>
      <c r="I145" s="261">
        <v>11.831517348746051</v>
      </c>
      <c r="J145" s="1"/>
      <c r="K145" s="198" t="str">
        <f>+$C$26</f>
        <v>Base</v>
      </c>
      <c r="L145" s="1"/>
      <c r="M145" s="1"/>
      <c r="N145" s="262">
        <v>0.02</v>
      </c>
      <c r="O145" s="1"/>
      <c r="P145" s="1"/>
      <c r="Q145" s="1"/>
      <c r="R145" s="1"/>
      <c r="S145" s="1"/>
      <c r="T145" s="1"/>
      <c r="U145" s="1"/>
      <c r="V145" s="1"/>
      <c r="W145" s="1"/>
      <c r="X145" s="1"/>
      <c r="Y145" s="1"/>
      <c r="Z145" s="1"/>
    </row>
    <row r="146" spans="1:26" ht="15.75" customHeight="1" outlineLevel="1">
      <c r="A146" s="1"/>
      <c r="B146" s="1"/>
      <c r="E146" s="72"/>
      <c r="F146" s="198" t="str">
        <f>+$C$27</f>
        <v>Upside</v>
      </c>
      <c r="G146" s="1"/>
      <c r="H146" s="1"/>
      <c r="I146" s="261">
        <v>13.039137019787839</v>
      </c>
      <c r="J146" s="1"/>
      <c r="K146" s="198" t="str">
        <f>+$C$27</f>
        <v>Upside</v>
      </c>
      <c r="L146" s="1"/>
      <c r="M146" s="1"/>
      <c r="N146" s="262">
        <v>2.5000000000000001E-2</v>
      </c>
      <c r="O146" s="1"/>
      <c r="P146" s="1"/>
      <c r="Q146" s="1"/>
      <c r="R146" s="1"/>
      <c r="S146" s="1"/>
      <c r="T146" s="1"/>
      <c r="U146" s="1"/>
      <c r="V146" s="1"/>
      <c r="W146" s="1"/>
      <c r="X146" s="1"/>
      <c r="Y146" s="1"/>
      <c r="Z146" s="1"/>
    </row>
    <row r="147" spans="1:26" ht="15.75" customHeight="1" outlineLevel="1">
      <c r="A147" s="1"/>
      <c r="B147" s="1"/>
      <c r="E147" s="72"/>
      <c r="F147" s="198" t="str">
        <f>+$C$28</f>
        <v>Downside</v>
      </c>
      <c r="G147" s="1"/>
      <c r="H147" s="1"/>
      <c r="I147" s="261">
        <v>10.827729583583443</v>
      </c>
      <c r="J147" s="1"/>
      <c r="K147" s="198" t="str">
        <f>+$C$28</f>
        <v>Downside</v>
      </c>
      <c r="L147" s="1"/>
      <c r="M147" s="1"/>
      <c r="N147" s="262">
        <v>1.4999999999999999E-2</v>
      </c>
      <c r="O147" s="1"/>
      <c r="P147" s="1"/>
      <c r="Q147" s="1"/>
      <c r="R147" s="1"/>
      <c r="S147" s="1"/>
      <c r="T147" s="1"/>
      <c r="U147" s="1"/>
      <c r="V147" s="1"/>
      <c r="W147" s="1"/>
      <c r="X147" s="1"/>
      <c r="Y147" s="1"/>
      <c r="Z147" s="1"/>
    </row>
    <row r="148" spans="1:26" ht="15.75" customHeight="1" outlineLevel="1">
      <c r="A148" s="1"/>
      <c r="B148" s="1"/>
      <c r="E148" s="72"/>
      <c r="F148" s="72"/>
      <c r="G148" s="1"/>
      <c r="H148" s="1"/>
      <c r="I148" s="1"/>
      <c r="J148" s="1"/>
      <c r="K148" s="1"/>
      <c r="L148" s="1"/>
      <c r="M148" s="1"/>
      <c r="N148" s="1"/>
      <c r="O148" s="1"/>
      <c r="P148" s="1"/>
      <c r="Q148" s="1"/>
      <c r="R148" s="1"/>
      <c r="S148" s="1"/>
      <c r="T148" s="1"/>
      <c r="U148" s="1"/>
      <c r="V148" s="1"/>
      <c r="W148" s="1"/>
      <c r="X148" s="1"/>
      <c r="Y148" s="1"/>
      <c r="Z148" s="1"/>
    </row>
    <row r="149" spans="1:26" ht="15.75" customHeight="1" outlineLevel="1">
      <c r="A149" s="1"/>
      <c r="B149" s="1"/>
      <c r="E149" s="72"/>
      <c r="F149" s="1" t="s">
        <v>219</v>
      </c>
      <c r="G149" s="1"/>
      <c r="H149" s="1"/>
      <c r="I149" s="17">
        <f>+R242*Terminal_Multiple</f>
        <v>17722.849722306466</v>
      </c>
      <c r="J149" s="1"/>
      <c r="K149" s="1" t="str">
        <f>+$F$149</f>
        <v>Baseline Terminal Value:</v>
      </c>
      <c r="L149" s="1"/>
      <c r="M149" s="1"/>
      <c r="N149" s="17">
        <f>+S231/(Final_Discount_Rate-Terminal_Growth_Rate)*(1+Final_Discount_Rate)^0.5</f>
        <v>-76265.547500589688</v>
      </c>
      <c r="O149" s="1"/>
      <c r="P149" s="1"/>
      <c r="Q149" s="1"/>
      <c r="R149" s="1"/>
      <c r="S149" s="1"/>
      <c r="T149" s="1"/>
      <c r="U149" s="1"/>
      <c r="V149" s="1"/>
      <c r="W149" s="1"/>
      <c r="X149" s="1"/>
      <c r="Y149" s="1"/>
      <c r="Z149" s="1"/>
    </row>
    <row r="150" spans="1:26" ht="15.75" customHeight="1" outlineLevel="1">
      <c r="A150" s="1"/>
      <c r="B150" s="1"/>
      <c r="E150" s="72"/>
      <c r="F150" s="1" t="s">
        <v>221</v>
      </c>
      <c r="G150" s="1"/>
      <c r="H150" s="1"/>
      <c r="I150" s="263">
        <f>-S231*(1+Final_Discount_Rate)^0.5/I149+Final_Discount_Rate</f>
        <v>-8.6064655171791904E-2</v>
      </c>
      <c r="J150" s="1"/>
      <c r="K150" s="1" t="s">
        <v>222</v>
      </c>
      <c r="L150" s="1"/>
      <c r="M150" s="1"/>
      <c r="N150" s="264">
        <f>+N149/R242</f>
        <v>-50.913773038945116</v>
      </c>
      <c r="O150" s="1"/>
      <c r="P150" s="1"/>
      <c r="Q150" s="1"/>
      <c r="R150" s="1"/>
      <c r="S150" s="1"/>
      <c r="T150" s="1"/>
      <c r="U150" s="1"/>
      <c r="V150" s="1"/>
      <c r="W150" s="1"/>
      <c r="X150" s="1"/>
      <c r="Y150" s="1"/>
      <c r="Z150" s="1"/>
    </row>
    <row r="151" spans="1:26" ht="15.75" customHeight="1" outlineLevel="1">
      <c r="A151" s="1"/>
      <c r="B151" s="1"/>
      <c r="C151" s="1"/>
      <c r="D151" s="72"/>
      <c r="E151" s="72"/>
      <c r="F151" s="72"/>
      <c r="G151" s="1"/>
      <c r="H151" s="1"/>
      <c r="I151" s="1"/>
      <c r="J151" s="1"/>
      <c r="K151" s="72"/>
      <c r="L151" s="1"/>
      <c r="M151" s="1"/>
      <c r="N151" s="1"/>
      <c r="O151" s="1"/>
      <c r="P151" s="1"/>
      <c r="Q151" s="1"/>
      <c r="R151" s="1"/>
      <c r="S151" s="1"/>
      <c r="T151" s="1"/>
      <c r="U151" s="1"/>
      <c r="V151" s="1"/>
      <c r="W151" s="1"/>
      <c r="X151" s="1"/>
      <c r="Y151" s="1"/>
      <c r="Z151" s="1"/>
    </row>
    <row r="152" spans="1:26" ht="15.75" customHeight="1" outlineLevel="1">
      <c r="A152" s="1"/>
      <c r="B152" s="1"/>
      <c r="C152" s="1"/>
      <c r="D152" s="72"/>
      <c r="E152" s="72"/>
      <c r="F152" s="19" t="s">
        <v>223</v>
      </c>
      <c r="G152" s="1"/>
      <c r="H152" s="1"/>
      <c r="I152" s="23" t="e">
        <f>+I149*R236</f>
        <v>#DIV/0!</v>
      </c>
      <c r="J152" s="1"/>
      <c r="K152" s="19" t="str">
        <f>+$F$152</f>
        <v>(+) PV of Terminal Value:</v>
      </c>
      <c r="L152" s="1"/>
      <c r="M152" s="1"/>
      <c r="N152" s="23" t="e">
        <f>+N149*R236</f>
        <v>#DIV/0!</v>
      </c>
      <c r="O152" s="1"/>
      <c r="P152" s="1"/>
      <c r="Q152" s="1"/>
      <c r="R152" s="1"/>
      <c r="S152" s="1"/>
      <c r="T152" s="1"/>
      <c r="U152" s="1"/>
      <c r="V152" s="1"/>
      <c r="W152" s="1"/>
      <c r="X152" s="1"/>
      <c r="Y152" s="1"/>
      <c r="Z152" s="1"/>
    </row>
    <row r="153" spans="1:26" ht="15.75" customHeight="1" outlineLevel="1">
      <c r="A153" s="1"/>
      <c r="B153" s="1"/>
      <c r="C153" s="1"/>
      <c r="D153" s="1"/>
      <c r="E153" s="72"/>
      <c r="F153" s="266" t="s">
        <v>224</v>
      </c>
      <c r="G153" s="267"/>
      <c r="H153" s="267"/>
      <c r="I153" s="51" t="e">
        <f>SUM($I$233:$R$233)</f>
        <v>#REF!</v>
      </c>
      <c r="J153" s="1"/>
      <c r="K153" s="266" t="str">
        <f>+$F$153</f>
        <v>(+) Sum of PV of Free Cash Flows:</v>
      </c>
      <c r="L153" s="267"/>
      <c r="M153" s="267"/>
      <c r="N153" s="51" t="e">
        <f>SUM($I$233:$R$233)</f>
        <v>#REF!</v>
      </c>
      <c r="O153" s="1"/>
      <c r="P153" s="1"/>
      <c r="Q153" s="1"/>
      <c r="R153" s="1"/>
      <c r="S153" s="1"/>
      <c r="T153" s="1"/>
      <c r="U153" s="1"/>
      <c r="V153" s="1"/>
      <c r="W153" s="1"/>
      <c r="X153" s="1"/>
      <c r="Y153" s="1"/>
      <c r="Z153" s="1"/>
    </row>
    <row r="154" spans="1:26" ht="15.75" customHeight="1" outlineLevel="1">
      <c r="A154" s="1"/>
      <c r="B154" s="1"/>
      <c r="C154" s="1"/>
      <c r="D154" s="72"/>
      <c r="E154" s="72"/>
      <c r="F154" s="3" t="s">
        <v>47</v>
      </c>
      <c r="G154" s="1"/>
      <c r="H154" s="1"/>
      <c r="I154" s="45" t="e">
        <f>SUM(I152:I153)</f>
        <v>#DIV/0!</v>
      </c>
      <c r="J154" s="1"/>
      <c r="K154" s="3" t="str">
        <f>+$F$154</f>
        <v>Implied Enterprise Value:</v>
      </c>
      <c r="L154" s="1"/>
      <c r="M154" s="1"/>
      <c r="N154" s="45" t="e">
        <f>SUM(N152:N153)</f>
        <v>#DIV/0!</v>
      </c>
      <c r="O154" s="1"/>
      <c r="P154" s="1"/>
      <c r="Q154" s="1"/>
      <c r="R154" s="1"/>
      <c r="S154" s="1"/>
      <c r="T154" s="1"/>
      <c r="U154" s="1"/>
      <c r="V154" s="1"/>
      <c r="W154" s="1"/>
      <c r="X154" s="1"/>
      <c r="Y154" s="1"/>
      <c r="Z154" s="1"/>
    </row>
    <row r="155" spans="1:26" ht="15.75" customHeight="1" outlineLevel="1">
      <c r="A155" s="1"/>
      <c r="B155" s="1"/>
      <c r="C155" s="1"/>
      <c r="D155" s="72"/>
      <c r="E155" s="72"/>
      <c r="F155" s="1"/>
      <c r="G155" s="1"/>
      <c r="H155" s="1"/>
      <c r="I155" s="1"/>
      <c r="J155" s="1"/>
      <c r="K155" s="1"/>
      <c r="L155" s="1"/>
      <c r="M155" s="1"/>
      <c r="N155" s="1"/>
      <c r="O155" s="1"/>
      <c r="P155" s="1"/>
      <c r="Q155" s="1"/>
      <c r="R155" s="1"/>
      <c r="S155" s="1"/>
      <c r="T155" s="1"/>
      <c r="U155" s="1"/>
      <c r="V155" s="1"/>
      <c r="W155" s="1"/>
      <c r="X155" s="1"/>
      <c r="Y155" s="1"/>
      <c r="Z155" s="1"/>
    </row>
    <row r="156" spans="1:26" ht="15.75" customHeight="1" outlineLevel="1">
      <c r="A156" s="1"/>
      <c r="B156" s="1"/>
      <c r="C156" s="1"/>
      <c r="D156" s="72"/>
      <c r="E156" s="72"/>
      <c r="F156" s="72" t="s">
        <v>225</v>
      </c>
      <c r="G156" s="1"/>
      <c r="H156" s="1"/>
      <c r="I156" s="183" t="e">
        <f>+I152/I154</f>
        <v>#DIV/0!</v>
      </c>
      <c r="J156" s="1"/>
      <c r="K156" s="72" t="str">
        <f>+$F$156</f>
        <v>% of Implied EV from Terminal Value:</v>
      </c>
      <c r="L156" s="1"/>
      <c r="M156" s="1"/>
      <c r="N156" s="183" t="e">
        <f>+N152/N154</f>
        <v>#DIV/0!</v>
      </c>
      <c r="O156" s="1"/>
      <c r="P156" s="1"/>
      <c r="Q156" s="1"/>
      <c r="R156" s="1"/>
      <c r="S156" s="1"/>
      <c r="T156" s="1"/>
      <c r="U156" s="1"/>
      <c r="V156" s="1"/>
      <c r="W156" s="1"/>
      <c r="X156" s="1"/>
      <c r="Y156" s="1"/>
      <c r="Z156" s="1"/>
    </row>
    <row r="157" spans="1:26" ht="15.75" customHeight="1" outlineLevel="1">
      <c r="A157" s="1"/>
      <c r="B157" s="1"/>
      <c r="C157" s="1"/>
      <c r="D157" s="72"/>
      <c r="E157" s="72"/>
      <c r="F157" s="1"/>
      <c r="G157" s="1"/>
      <c r="H157" s="1"/>
      <c r="I157" s="1"/>
      <c r="J157" s="1"/>
      <c r="K157" s="1"/>
      <c r="L157" s="1"/>
      <c r="M157" s="1"/>
      <c r="N157" s="1"/>
      <c r="O157" s="1"/>
      <c r="P157" s="1"/>
      <c r="Q157" s="1"/>
      <c r="R157" s="1"/>
      <c r="S157" s="1"/>
      <c r="T157" s="1"/>
      <c r="U157" s="1"/>
      <c r="V157" s="1"/>
      <c r="W157" s="1"/>
      <c r="X157" s="1"/>
      <c r="Y157" s="1"/>
      <c r="Z157" s="1"/>
    </row>
    <row r="158" spans="1:26" ht="15.75" customHeight="1" outlineLevel="1">
      <c r="A158" s="1"/>
      <c r="B158" s="1"/>
      <c r="C158" s="1"/>
      <c r="D158" s="1"/>
      <c r="E158" s="1"/>
      <c r="F158" s="19" t="s">
        <v>49</v>
      </c>
      <c r="G158" s="1"/>
      <c r="H158" s="1"/>
      <c r="I158" s="24">
        <f>-'Public-Comps-Data'!BE17</f>
        <v>5794</v>
      </c>
      <c r="J158" s="1"/>
      <c r="K158" s="19" t="str">
        <f>+$F$158</f>
        <v>(+) Cash &amp; Cash-Equivalents:</v>
      </c>
      <c r="L158" s="1"/>
      <c r="M158" s="1"/>
      <c r="N158" s="24">
        <f>-'Public-Comps-Data'!BE17</f>
        <v>5794</v>
      </c>
      <c r="O158" s="1"/>
      <c r="P158" s="1"/>
      <c r="Q158" s="1"/>
      <c r="R158" s="1"/>
      <c r="S158" s="1"/>
      <c r="T158" s="1"/>
      <c r="U158" s="1"/>
      <c r="V158" s="1"/>
      <c r="W158" s="1"/>
      <c r="X158" s="1"/>
      <c r="Y158" s="1"/>
      <c r="Z158" s="1"/>
    </row>
    <row r="159" spans="1:26" ht="15.75" customHeight="1" outlineLevel="1">
      <c r="A159" s="1"/>
      <c r="B159" s="1"/>
      <c r="C159" s="1"/>
      <c r="D159" s="1"/>
      <c r="E159" s="1"/>
      <c r="F159" s="19" t="s">
        <v>51</v>
      </c>
      <c r="G159" s="1"/>
      <c r="H159" s="1"/>
      <c r="I159" s="27">
        <f>-'Public-Comps-Data'!BE18</f>
        <v>0</v>
      </c>
      <c r="J159" s="1"/>
      <c r="K159" s="19" t="str">
        <f>+$F$159</f>
        <v>(+) Equity Investments:</v>
      </c>
      <c r="L159" s="1"/>
      <c r="M159" s="1"/>
      <c r="N159" s="27">
        <f>-'Public-Comps-Data'!BE18</f>
        <v>0</v>
      </c>
      <c r="O159" s="1"/>
      <c r="P159" s="1"/>
      <c r="Q159" s="1"/>
      <c r="R159" s="1"/>
      <c r="S159" s="1"/>
      <c r="T159" s="1"/>
      <c r="U159" s="1"/>
      <c r="V159" s="1"/>
      <c r="W159" s="1"/>
      <c r="X159" s="1"/>
      <c r="Y159" s="1"/>
      <c r="Z159" s="1"/>
    </row>
    <row r="160" spans="1:26" ht="15.75" customHeight="1" outlineLevel="1">
      <c r="A160" s="1"/>
      <c r="B160" s="1"/>
      <c r="C160" s="1"/>
      <c r="D160" s="1"/>
      <c r="E160" s="1"/>
      <c r="F160" s="19" t="s">
        <v>52</v>
      </c>
      <c r="G160" s="1"/>
      <c r="H160" s="1"/>
      <c r="I160" s="27">
        <f>-'Public-Comps-Data'!BE19</f>
        <v>0</v>
      </c>
      <c r="J160" s="1"/>
      <c r="K160" s="19" t="str">
        <f>+$F$160</f>
        <v>(+) Other Non-Core Assets, Net:</v>
      </c>
      <c r="L160" s="1"/>
      <c r="M160" s="1"/>
      <c r="N160" s="27">
        <f>-'Public-Comps-Data'!BE19</f>
        <v>0</v>
      </c>
      <c r="O160" s="1"/>
      <c r="P160" s="1"/>
      <c r="Q160" s="1"/>
      <c r="R160" s="1"/>
      <c r="S160" s="1"/>
      <c r="T160" s="1"/>
      <c r="U160" s="1"/>
      <c r="V160" s="1"/>
      <c r="W160" s="1"/>
      <c r="X160" s="1"/>
      <c r="Y160" s="1"/>
      <c r="Z160" s="1"/>
    </row>
    <row r="161" spans="1:26" ht="15.75" customHeight="1" outlineLevel="1">
      <c r="A161" s="1"/>
      <c r="B161" s="1"/>
      <c r="C161" s="1"/>
      <c r="D161" s="1"/>
      <c r="E161" s="1"/>
      <c r="F161" s="19" t="s">
        <v>53</v>
      </c>
      <c r="G161" s="1"/>
      <c r="H161" s="1"/>
      <c r="I161" s="27">
        <f>-'Public-Comps-Data'!BE20</f>
        <v>0</v>
      </c>
      <c r="J161" s="1"/>
      <c r="K161" s="19" t="str">
        <f>+$F$161</f>
        <v>(+) Net Operating Losses:</v>
      </c>
      <c r="L161" s="1"/>
      <c r="M161" s="1"/>
      <c r="N161" s="27">
        <f>-'Public-Comps-Data'!BE20</f>
        <v>0</v>
      </c>
      <c r="O161" s="1"/>
      <c r="P161" s="1"/>
      <c r="Q161" s="1"/>
      <c r="R161" s="1"/>
      <c r="S161" s="1"/>
      <c r="T161" s="1"/>
      <c r="U161" s="1"/>
      <c r="V161" s="1"/>
      <c r="W161" s="1"/>
      <c r="X161" s="1"/>
      <c r="Y161" s="1"/>
      <c r="Z161" s="1"/>
    </row>
    <row r="162" spans="1:26" ht="15.75" customHeight="1" outlineLevel="1">
      <c r="A162" s="1"/>
      <c r="B162" s="1"/>
      <c r="C162" s="1"/>
      <c r="D162" s="1"/>
      <c r="E162" s="1"/>
      <c r="F162" s="19" t="s">
        <v>226</v>
      </c>
      <c r="G162" s="1"/>
      <c r="H162" s="1"/>
      <c r="I162" s="23">
        <f ca="1">-IF(I177=0,631,0)-500-688.53</f>
        <v>-1819.53</v>
      </c>
      <c r="J162" s="1"/>
      <c r="K162" s="19" t="str">
        <f>+$F$162</f>
        <v>(-) Total Debt &amp; Capital Leases:</v>
      </c>
      <c r="L162" s="1"/>
      <c r="M162" s="1"/>
      <c r="N162" s="23">
        <f ca="1">-IF(N177=0,631,0)-500-688.53</f>
        <v>-1819.53</v>
      </c>
      <c r="O162" s="1"/>
      <c r="P162" s="1"/>
      <c r="Q162" s="1"/>
      <c r="R162" s="1"/>
      <c r="S162" s="1"/>
      <c r="T162" s="1"/>
      <c r="U162" s="1"/>
      <c r="V162" s="1"/>
      <c r="W162" s="1"/>
      <c r="X162" s="1"/>
      <c r="Y162" s="1"/>
      <c r="Z162" s="1"/>
    </row>
    <row r="163" spans="1:26" ht="15.75" customHeight="1" outlineLevel="1">
      <c r="A163" s="1"/>
      <c r="B163" s="1"/>
      <c r="C163" s="1"/>
      <c r="D163" s="1"/>
      <c r="E163" s="1"/>
      <c r="F163" s="19" t="s">
        <v>55</v>
      </c>
      <c r="G163" s="1"/>
      <c r="H163" s="1"/>
      <c r="I163" s="27">
        <f>-'Public-Comps-Data'!BE22</f>
        <v>0</v>
      </c>
      <c r="J163" s="1"/>
      <c r="K163" s="19" t="str">
        <f>+$F$163</f>
        <v>(-) Preferred Stock:</v>
      </c>
      <c r="L163" s="1"/>
      <c r="M163" s="1"/>
      <c r="N163" s="27">
        <f>-'Public-Comps-Data'!BE22</f>
        <v>0</v>
      </c>
      <c r="O163" s="1"/>
      <c r="P163" s="1"/>
      <c r="Q163" s="1"/>
      <c r="R163" s="1"/>
      <c r="S163" s="1"/>
      <c r="T163" s="1"/>
      <c r="U163" s="1"/>
      <c r="V163" s="1"/>
      <c r="W163" s="1"/>
      <c r="X163" s="1"/>
      <c r="Y163" s="1"/>
      <c r="Z163" s="1"/>
    </row>
    <row r="164" spans="1:26" ht="15.75" customHeight="1" outlineLevel="1">
      <c r="A164" s="1"/>
      <c r="B164" s="1"/>
      <c r="C164" s="1"/>
      <c r="D164" s="1"/>
      <c r="E164" s="1"/>
      <c r="F164" s="19" t="s">
        <v>57</v>
      </c>
      <c r="G164" s="1"/>
      <c r="H164" s="1"/>
      <c r="I164" s="27">
        <f>-'Public-Comps-Data'!BE23</f>
        <v>0</v>
      </c>
      <c r="J164" s="1"/>
      <c r="K164" s="19" t="str">
        <f>+$F$164</f>
        <v>(-) Noncontrolling Interests:</v>
      </c>
      <c r="L164" s="1"/>
      <c r="M164" s="1"/>
      <c r="N164" s="27">
        <f>-'Public-Comps-Data'!BE23</f>
        <v>0</v>
      </c>
      <c r="O164" s="1"/>
      <c r="P164" s="1"/>
      <c r="Q164" s="1"/>
      <c r="R164" s="1"/>
      <c r="S164" s="1"/>
      <c r="T164" s="1"/>
      <c r="U164" s="1"/>
      <c r="V164" s="1"/>
      <c r="W164" s="1"/>
      <c r="X164" s="1"/>
      <c r="Y164" s="1"/>
      <c r="Z164" s="1"/>
    </row>
    <row r="165" spans="1:26" ht="15.75" customHeight="1" outlineLevel="1">
      <c r="A165" s="1"/>
      <c r="B165" s="1"/>
      <c r="C165" s="1"/>
      <c r="D165" s="1"/>
      <c r="E165" s="1"/>
      <c r="F165" s="19" t="s">
        <v>58</v>
      </c>
      <c r="G165" s="1"/>
      <c r="H165" s="1"/>
      <c r="I165" s="27">
        <f>-'Public-Comps-Data'!BE24</f>
        <v>0</v>
      </c>
      <c r="J165" s="1"/>
      <c r="K165" s="19" t="str">
        <f>+$F$165</f>
        <v>(-) Unfunded Pension Obligations:</v>
      </c>
      <c r="L165" s="1"/>
      <c r="M165" s="1"/>
      <c r="N165" s="27">
        <f>-'Public-Comps-Data'!BE24</f>
        <v>0</v>
      </c>
      <c r="O165" s="1"/>
      <c r="P165" s="1"/>
      <c r="Q165" s="1"/>
      <c r="R165" s="1"/>
      <c r="S165" s="1"/>
      <c r="T165" s="1"/>
      <c r="U165" s="1"/>
      <c r="V165" s="1"/>
      <c r="W165" s="1"/>
      <c r="X165" s="1"/>
      <c r="Y165" s="1"/>
      <c r="Z165" s="1"/>
    </row>
    <row r="166" spans="1:26" ht="15.75" customHeight="1" outlineLevel="1">
      <c r="A166" s="1"/>
      <c r="B166" s="1"/>
      <c r="C166" s="1"/>
      <c r="D166" s="1"/>
      <c r="E166" s="1"/>
      <c r="F166" s="19" t="s">
        <v>59</v>
      </c>
      <c r="G166" s="1"/>
      <c r="H166" s="1"/>
      <c r="I166" s="27">
        <f>-'Public-Comps-Data'!BE25</f>
        <v>0</v>
      </c>
      <c r="J166" s="1"/>
      <c r="K166" s="19" t="str">
        <f>+$F$166</f>
        <v>(-) Restructuring &amp; Other Liabilities:</v>
      </c>
      <c r="L166" s="267"/>
      <c r="M166" s="267"/>
      <c r="N166" s="27">
        <f>-'Public-Comps-Data'!BE25</f>
        <v>0</v>
      </c>
      <c r="O166" s="1"/>
      <c r="P166" s="1"/>
      <c r="Q166" s="1"/>
      <c r="R166" s="1"/>
      <c r="S166" s="1"/>
      <c r="T166" s="1"/>
      <c r="U166" s="1"/>
      <c r="V166" s="1"/>
      <c r="W166" s="1"/>
      <c r="X166" s="1"/>
      <c r="Y166" s="1"/>
      <c r="Z166" s="1"/>
    </row>
    <row r="167" spans="1:26" ht="15.75" customHeight="1" outlineLevel="1">
      <c r="A167" s="1"/>
      <c r="B167" s="1"/>
      <c r="C167" s="1"/>
      <c r="D167" s="1"/>
      <c r="E167" s="1"/>
      <c r="F167" s="58" t="s">
        <v>60</v>
      </c>
      <c r="G167" s="30"/>
      <c r="H167" s="30"/>
      <c r="I167" s="59" t="str">
        <f ca="1">+I154+SUM(I158:I166)</f>
        <v>#REF!</v>
      </c>
      <c r="J167" s="1"/>
      <c r="K167" s="58" t="str">
        <f>+$F$167</f>
        <v>Implied Equity Value:</v>
      </c>
      <c r="L167" s="1"/>
      <c r="M167" s="1"/>
      <c r="N167" s="59" t="str">
        <f ca="1">+N154+SUM(N158:N166)</f>
        <v>#REF!</v>
      </c>
      <c r="O167" s="1"/>
      <c r="P167" s="1"/>
      <c r="Q167" s="1"/>
      <c r="R167" s="1"/>
      <c r="S167" s="1"/>
      <c r="T167" s="1"/>
      <c r="U167" s="1"/>
      <c r="V167" s="1"/>
      <c r="W167" s="1"/>
      <c r="X167" s="1"/>
      <c r="Y167" s="1"/>
      <c r="Z167" s="1"/>
    </row>
    <row r="168" spans="1:26" ht="15.75" customHeight="1" outlineLevel="1">
      <c r="A168" s="1"/>
      <c r="B168" s="1"/>
      <c r="C168" s="1"/>
      <c r="D168" s="1"/>
      <c r="E168" s="1"/>
      <c r="F168" s="268"/>
      <c r="G168" s="1"/>
      <c r="H168" s="1"/>
      <c r="I168" s="269"/>
      <c r="J168" s="1"/>
      <c r="K168" s="268"/>
      <c r="L168" s="1"/>
      <c r="M168" s="1"/>
      <c r="N168" s="269"/>
      <c r="O168" s="1"/>
      <c r="P168" s="1"/>
      <c r="Q168" s="1"/>
      <c r="R168" s="1"/>
      <c r="S168" s="1"/>
      <c r="T168" s="1"/>
      <c r="U168" s="1"/>
      <c r="V168" s="1"/>
      <c r="W168" s="1"/>
      <c r="X168" s="1"/>
      <c r="Y168" s="1"/>
      <c r="Z168" s="1"/>
    </row>
    <row r="169" spans="1:26" ht="15.75" customHeight="1" outlineLevel="1">
      <c r="A169" s="1"/>
      <c r="B169" s="1"/>
      <c r="C169" s="1"/>
      <c r="D169" s="1"/>
      <c r="E169" s="1"/>
      <c r="F169" s="1" t="s">
        <v>61</v>
      </c>
      <c r="G169" s="1"/>
      <c r="H169" s="1"/>
      <c r="I169" s="270" t="str">
        <f ca="1">Basic_Shares+I179</f>
        <v>#REF!</v>
      </c>
      <c r="J169" s="1"/>
      <c r="K169" s="1" t="str">
        <f>+$F$169</f>
        <v>Diluted Shares Outstanding:</v>
      </c>
      <c r="L169" s="1"/>
      <c r="M169" s="1"/>
      <c r="N169" s="271" t="str">
        <f ca="1">Basic_Shares+N179</f>
        <v>#REF!</v>
      </c>
      <c r="O169" s="1"/>
      <c r="P169" s="1"/>
      <c r="Q169" s="1"/>
      <c r="R169" s="1"/>
      <c r="S169" s="1"/>
      <c r="T169" s="1"/>
      <c r="U169" s="1"/>
      <c r="V169" s="1"/>
      <c r="W169" s="1"/>
      <c r="X169" s="1"/>
      <c r="Y169" s="1"/>
      <c r="Z169" s="1"/>
    </row>
    <row r="170" spans="1:26" ht="15.75" customHeight="1" outlineLevel="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outlineLevel="1">
      <c r="A171" s="1"/>
      <c r="B171" s="1"/>
      <c r="C171" s="1"/>
      <c r="D171" s="1"/>
      <c r="E171" s="1"/>
      <c r="F171" s="62" t="s">
        <v>227</v>
      </c>
      <c r="G171" s="63"/>
      <c r="H171" s="63"/>
      <c r="I171" s="65" t="str">
        <f ca="1">+I167/I169</f>
        <v>#REF!</v>
      </c>
      <c r="J171" s="1"/>
      <c r="K171" s="62" t="str">
        <f>+$F$171</f>
        <v>Implied Share Price from DCF:</v>
      </c>
      <c r="L171" s="63"/>
      <c r="M171" s="63"/>
      <c r="N171" s="65" t="str">
        <f ca="1">+N167/N169</f>
        <v>#REF!</v>
      </c>
      <c r="O171" s="1"/>
      <c r="P171" s="1"/>
      <c r="Q171" s="1"/>
      <c r="R171" s="1"/>
      <c r="S171" s="1"/>
      <c r="T171" s="1"/>
      <c r="U171" s="1"/>
      <c r="V171" s="1"/>
      <c r="W171" s="1"/>
      <c r="X171" s="1"/>
      <c r="Y171" s="1"/>
      <c r="Z171" s="1"/>
    </row>
    <row r="172" spans="1:26" ht="15.75" customHeight="1" outlineLevel="1">
      <c r="A172" s="1"/>
      <c r="B172" s="1"/>
      <c r="C172" s="1"/>
      <c r="D172" s="1"/>
      <c r="E172" s="1"/>
      <c r="F172" s="67" t="s">
        <v>63</v>
      </c>
      <c r="G172" s="68"/>
      <c r="H172" s="68"/>
      <c r="I172" s="69" t="str">
        <f ca="1">+I171/Share_Price-1</f>
        <v>#REF!</v>
      </c>
      <c r="J172" s="1"/>
      <c r="K172" s="67" t="str">
        <f>+$F$172</f>
        <v>Premium / (Discount) to Current:</v>
      </c>
      <c r="L172" s="68"/>
      <c r="M172" s="68"/>
      <c r="N172" s="69" t="str">
        <f ca="1">+N171/Share_Price-1</f>
        <v>#REF!</v>
      </c>
      <c r="O172" s="1"/>
      <c r="P172" s="1"/>
      <c r="Q172" s="1"/>
      <c r="R172" s="1"/>
      <c r="S172" s="1"/>
      <c r="T172" s="1"/>
      <c r="U172" s="1"/>
      <c r="V172" s="1"/>
      <c r="W172" s="1"/>
      <c r="X172" s="1"/>
      <c r="Y172" s="1"/>
      <c r="Z172" s="1"/>
    </row>
    <row r="173" spans="1:26" ht="15.75" customHeight="1" outlineLevel="1">
      <c r="A173" s="1"/>
      <c r="B173" s="1"/>
      <c r="C173" s="1"/>
      <c r="D173" s="72"/>
      <c r="E173" s="72"/>
      <c r="F173" s="72"/>
      <c r="G173" s="1"/>
      <c r="H173" s="1"/>
      <c r="I173" s="1"/>
      <c r="J173" s="1"/>
      <c r="K173" s="72"/>
      <c r="L173" s="1"/>
      <c r="M173" s="1"/>
      <c r="N173" s="1"/>
      <c r="O173" s="1"/>
      <c r="P173" s="1"/>
      <c r="Q173" s="1"/>
      <c r="R173" s="1"/>
      <c r="S173" s="1"/>
      <c r="T173" s="1"/>
      <c r="U173" s="1"/>
      <c r="V173" s="1"/>
      <c r="W173" s="1"/>
      <c r="X173" s="1"/>
      <c r="Y173" s="1"/>
      <c r="Z173" s="1"/>
    </row>
    <row r="174" spans="1:26" ht="15.75" customHeight="1" outlineLevel="1">
      <c r="A174" s="1"/>
      <c r="B174" s="1"/>
      <c r="C174" s="1"/>
      <c r="D174" s="72"/>
      <c r="E174" s="72"/>
      <c r="F174" s="73"/>
      <c r="G174" s="73"/>
      <c r="H174" s="74" t="s">
        <v>67</v>
      </c>
      <c r="I174" s="73"/>
      <c r="J174" s="1"/>
      <c r="K174" s="73"/>
      <c r="L174" s="73"/>
      <c r="M174" s="74" t="str">
        <f>+$H$174</f>
        <v>Exercise</v>
      </c>
      <c r="N174" s="73"/>
      <c r="O174" s="1"/>
      <c r="P174" s="1"/>
      <c r="Q174" s="1"/>
      <c r="R174" s="1"/>
      <c r="S174" s="1"/>
      <c r="T174" s="1"/>
      <c r="U174" s="1"/>
      <c r="V174" s="1"/>
      <c r="W174" s="1"/>
      <c r="X174" s="1"/>
      <c r="Y174" s="1"/>
      <c r="Z174" s="1"/>
    </row>
    <row r="175" spans="1:26" ht="15.75" customHeight="1" outlineLevel="1">
      <c r="A175" s="1"/>
      <c r="B175" s="1"/>
      <c r="C175" s="1"/>
      <c r="D175" s="72"/>
      <c r="E175" s="72"/>
      <c r="F175" s="37" t="s">
        <v>68</v>
      </c>
      <c r="G175" s="39" t="s">
        <v>69</v>
      </c>
      <c r="H175" s="39" t="s">
        <v>70</v>
      </c>
      <c r="I175" s="39" t="s">
        <v>228</v>
      </c>
      <c r="J175" s="1"/>
      <c r="K175" s="37" t="str">
        <f>+$F$175</f>
        <v>Type:</v>
      </c>
      <c r="L175" s="39" t="str">
        <f>+$G$175</f>
        <v>Number:</v>
      </c>
      <c r="M175" s="39" t="str">
        <f>+$H$175</f>
        <v>Price:</v>
      </c>
      <c r="N175" s="39" t="str">
        <f>+$I$175</f>
        <v>Dilution:</v>
      </c>
      <c r="O175" s="1"/>
      <c r="P175" s="1"/>
      <c r="Q175" s="1"/>
      <c r="R175" s="1"/>
      <c r="S175" s="1"/>
      <c r="T175" s="1"/>
      <c r="U175" s="1"/>
      <c r="V175" s="1"/>
      <c r="W175" s="1"/>
      <c r="X175" s="1"/>
      <c r="Y175" s="1"/>
      <c r="Z175" s="1"/>
    </row>
    <row r="176" spans="1:26" ht="15.75" customHeight="1" outlineLevel="1">
      <c r="A176" s="1"/>
      <c r="B176" s="1"/>
      <c r="C176" s="253"/>
      <c r="D176" s="72"/>
      <c r="E176" s="121"/>
      <c r="F176" s="19" t="s">
        <v>71</v>
      </c>
      <c r="G176" s="77">
        <f>+'Public-Comps-Data'!$BC$38</f>
        <v>0</v>
      </c>
      <c r="H176" s="78">
        <f>+'Public-Comps-Data'!$BD$38</f>
        <v>0</v>
      </c>
      <c r="I176" s="79" t="str">
        <f ca="1">IF(H176&lt;I171,G176-((G176*H176)/I171),0)</f>
        <v>#REF!</v>
      </c>
      <c r="J176" s="1"/>
      <c r="K176" s="19" t="str">
        <f>+$F$176</f>
        <v>Options A:</v>
      </c>
      <c r="L176" s="77">
        <f>+'Public-Comps-Data'!$BC$38</f>
        <v>0</v>
      </c>
      <c r="M176" s="78">
        <f>+'Public-Comps-Data'!$BD$38</f>
        <v>0</v>
      </c>
      <c r="N176" s="79" t="str">
        <f ca="1">IF(M176&lt;N171,L176-((L176*M176)/N171),0)</f>
        <v>#REF!</v>
      </c>
      <c r="O176" s="121"/>
      <c r="P176" s="121"/>
      <c r="Q176" s="121"/>
      <c r="R176" s="121"/>
      <c r="S176" s="1"/>
      <c r="T176" s="1"/>
      <c r="U176" s="1"/>
      <c r="V176" s="1"/>
      <c r="W176" s="1"/>
      <c r="X176" s="1"/>
      <c r="Y176" s="1"/>
      <c r="Z176" s="1"/>
    </row>
    <row r="177" spans="1:26" ht="15.75" customHeight="1" outlineLevel="1">
      <c r="A177" s="1"/>
      <c r="B177" s="1"/>
      <c r="C177" s="253"/>
      <c r="D177" s="72"/>
      <c r="E177" s="121"/>
      <c r="F177" s="19" t="s">
        <v>229</v>
      </c>
      <c r="G177" s="24">
        <f>+'Public-Comps-Data'!$BB$49</f>
        <v>0</v>
      </c>
      <c r="H177" s="81">
        <f>+'Public-Comps-Data'!$BD$49</f>
        <v>0</v>
      </c>
      <c r="I177" s="82">
        <f ca="1">IFERROR(IF(H177&gt;I171,0,(1000/H177)*G177/1000),0)</f>
        <v>0</v>
      </c>
      <c r="J177" s="1"/>
      <c r="K177" s="19" t="str">
        <f>+$F$177</f>
        <v>Convertible:</v>
      </c>
      <c r="L177" s="24">
        <f>+'Public-Comps-Data'!$BB$49</f>
        <v>0</v>
      </c>
      <c r="M177" s="81">
        <f>+'Public-Comps-Data'!$BD$49</f>
        <v>0</v>
      </c>
      <c r="N177" s="82">
        <f ca="1">IFERROR(IF(M177&gt;N171,0,(1000/M177)*L177/1000),0)</f>
        <v>0</v>
      </c>
      <c r="O177" s="121"/>
      <c r="P177" s="121"/>
      <c r="Q177" s="121"/>
      <c r="R177" s="121"/>
      <c r="S177" s="1"/>
      <c r="T177" s="1"/>
      <c r="U177" s="1"/>
      <c r="V177" s="1"/>
      <c r="W177" s="1"/>
      <c r="X177" s="1"/>
      <c r="Y177" s="1"/>
      <c r="Z177" s="1"/>
    </row>
    <row r="178" spans="1:26" ht="15.75" customHeight="1" outlineLevel="1">
      <c r="A178" s="1"/>
      <c r="B178" s="1"/>
      <c r="C178" s="253"/>
      <c r="D178" s="72"/>
      <c r="E178" s="121"/>
      <c r="F178" s="19" t="s">
        <v>73</v>
      </c>
      <c r="G178" s="83">
        <f>+'Public-Comps-Data'!$BD$53</f>
        <v>0</v>
      </c>
      <c r="H178" s="72"/>
      <c r="I178" s="272">
        <f>+G178</f>
        <v>0</v>
      </c>
      <c r="J178" s="1"/>
      <c r="K178" s="19" t="str">
        <f>+$F$178</f>
        <v>RSUs:</v>
      </c>
      <c r="L178" s="83">
        <f>+'Public-Comps-Data'!$BD$53</f>
        <v>0</v>
      </c>
      <c r="M178" s="72"/>
      <c r="N178" s="272">
        <f>+L178</f>
        <v>0</v>
      </c>
      <c r="O178" s="121"/>
      <c r="P178" s="121"/>
      <c r="Q178" s="121"/>
      <c r="R178" s="121"/>
      <c r="S178" s="1"/>
      <c r="T178" s="1"/>
      <c r="U178" s="1"/>
      <c r="V178" s="1"/>
      <c r="W178" s="1"/>
      <c r="X178" s="1"/>
      <c r="Y178" s="1"/>
      <c r="Z178" s="1"/>
    </row>
    <row r="179" spans="1:26" ht="15.75" customHeight="1" outlineLevel="1">
      <c r="A179" s="1"/>
      <c r="B179" s="1"/>
      <c r="C179" s="253"/>
      <c r="D179" s="72"/>
      <c r="E179" s="121"/>
      <c r="F179" s="84" t="s">
        <v>74</v>
      </c>
      <c r="G179" s="84"/>
      <c r="H179" s="86"/>
      <c r="I179" s="273" t="str">
        <f ca="1">SUM(I176:I178)</f>
        <v>#REF!</v>
      </c>
      <c r="J179" s="1"/>
      <c r="K179" s="84" t="str">
        <f>+$F$179</f>
        <v>Total:</v>
      </c>
      <c r="L179" s="84"/>
      <c r="M179" s="86"/>
      <c r="N179" s="273" t="str">
        <f ca="1">SUM(N176:N178)</f>
        <v>#REF!</v>
      </c>
      <c r="O179" s="121"/>
      <c r="P179" s="121"/>
      <c r="Q179" s="121"/>
      <c r="R179" s="121"/>
      <c r="S179" s="1"/>
      <c r="T179" s="1"/>
      <c r="U179" s="1"/>
      <c r="V179" s="1"/>
      <c r="W179" s="1"/>
      <c r="X179" s="1"/>
      <c r="Y179" s="1"/>
      <c r="Z179" s="1"/>
    </row>
    <row r="180" spans="1:26" ht="15.75" customHeight="1">
      <c r="A180" s="1"/>
      <c r="B180" s="1"/>
      <c r="C180" s="253"/>
      <c r="D180" s="72"/>
      <c r="E180" s="121"/>
      <c r="F180" s="121"/>
      <c r="G180" s="121"/>
      <c r="H180" s="121"/>
      <c r="I180" s="121"/>
      <c r="J180" s="121"/>
      <c r="K180" s="121"/>
      <c r="L180" s="121"/>
      <c r="M180" s="121"/>
      <c r="N180" s="121"/>
      <c r="O180" s="121"/>
      <c r="P180" s="121"/>
      <c r="Q180" s="121"/>
      <c r="R180" s="121"/>
      <c r="S180" s="1"/>
      <c r="T180" s="1"/>
      <c r="U180" s="1"/>
      <c r="V180" s="1"/>
      <c r="W180" s="1"/>
      <c r="X180" s="1"/>
      <c r="Y180" s="1"/>
      <c r="Z180" s="1"/>
    </row>
    <row r="181" spans="1:26" ht="15.75" customHeight="1">
      <c r="A181" s="1"/>
      <c r="B181" s="186"/>
      <c r="C181" s="186"/>
      <c r="D181" s="187"/>
      <c r="E181" s="384" t="str">
        <f ca="1">$E$19</f>
        <v>Historical</v>
      </c>
      <c r="F181" s="384"/>
      <c r="G181" s="384"/>
      <c r="H181" s="384"/>
      <c r="I181" s="382" t="str">
        <f ca="1">$I$19</f>
        <v>Projected</v>
      </c>
      <c r="J181" s="383"/>
      <c r="K181" s="383"/>
      <c r="L181" s="383"/>
      <c r="M181" s="383"/>
      <c r="N181" s="383"/>
      <c r="O181" s="383"/>
      <c r="P181" s="383"/>
      <c r="Q181" s="383"/>
      <c r="R181" s="385"/>
      <c r="S181" s="274" t="s">
        <v>230</v>
      </c>
      <c r="T181" s="1"/>
      <c r="U181" s="1"/>
      <c r="V181" s="1"/>
      <c r="W181" s="1"/>
      <c r="X181" s="1"/>
      <c r="Y181" s="1"/>
      <c r="Z181" s="1"/>
    </row>
    <row r="182" spans="1:26" ht="15.75" customHeight="1">
      <c r="A182" s="1"/>
      <c r="B182" s="189" t="s">
        <v>231</v>
      </c>
      <c r="C182" s="189"/>
      <c r="D182" s="190" t="str">
        <f>$D$20</f>
        <v>Units:</v>
      </c>
      <c r="E182" s="191">
        <f>$E$20</f>
        <v>42735</v>
      </c>
      <c r="F182" s="191">
        <f>$F$20</f>
        <v>43100</v>
      </c>
      <c r="G182" s="191">
        <f>$G$20</f>
        <v>43465</v>
      </c>
      <c r="H182" s="192">
        <f>$H$20</f>
        <v>43830</v>
      </c>
      <c r="I182" s="191">
        <f>$I$20</f>
        <v>44196</v>
      </c>
      <c r="J182" s="191">
        <f>$J$20</f>
        <v>44561</v>
      </c>
      <c r="K182" s="191">
        <f>$K$20</f>
        <v>44926</v>
      </c>
      <c r="L182" s="191">
        <f>$L$20</f>
        <v>45291</v>
      </c>
      <c r="M182" s="191">
        <f>$M$20</f>
        <v>45657</v>
      </c>
      <c r="N182" s="191">
        <f>$N$20</f>
        <v>46022</v>
      </c>
      <c r="O182" s="191">
        <f>$O$20</f>
        <v>46387</v>
      </c>
      <c r="P182" s="191">
        <f>$P$20</f>
        <v>46752</v>
      </c>
      <c r="Q182" s="191">
        <f>$Q$20</f>
        <v>47118</v>
      </c>
      <c r="R182" s="191">
        <f>$R$20</f>
        <v>47483</v>
      </c>
      <c r="S182" s="275">
        <f>EOMONTH(R182,12)</f>
        <v>47848</v>
      </c>
      <c r="T182" s="1"/>
      <c r="U182" s="1"/>
      <c r="V182" s="1"/>
      <c r="W182" s="1"/>
      <c r="X182" s="1"/>
      <c r="Y182" s="1"/>
      <c r="Z182" s="1"/>
    </row>
    <row r="183" spans="1:26" ht="15.75" customHeight="1" outlineLevel="1">
      <c r="A183" s="1"/>
      <c r="B183" s="1"/>
      <c r="C183" s="84" t="s">
        <v>90</v>
      </c>
      <c r="D183" s="72"/>
      <c r="E183" s="72"/>
      <c r="F183" s="72"/>
      <c r="G183" s="276"/>
      <c r="H183" s="276"/>
      <c r="I183" s="193"/>
      <c r="J183" s="193"/>
      <c r="K183" s="193"/>
      <c r="L183" s="193"/>
      <c r="M183" s="193"/>
      <c r="N183" s="1"/>
      <c r="O183" s="1"/>
      <c r="P183" s="1"/>
      <c r="Q183" s="1"/>
      <c r="R183" s="1"/>
      <c r="S183" s="1"/>
      <c r="T183" s="1"/>
      <c r="U183" s="1"/>
      <c r="V183" s="1"/>
      <c r="W183" s="1"/>
      <c r="X183" s="1"/>
      <c r="Y183" s="1"/>
      <c r="Z183" s="1"/>
    </row>
    <row r="184" spans="1:26" ht="15.75" customHeight="1" outlineLevel="1">
      <c r="A184" s="1"/>
      <c r="B184" s="1"/>
      <c r="C184" s="268" t="s">
        <v>232</v>
      </c>
      <c r="D184" s="72"/>
      <c r="E184" s="242">
        <f t="shared" ref="E184:R184" si="42">E36+E52+E68</f>
        <v>2219.97471</v>
      </c>
      <c r="F184" s="242">
        <f t="shared" si="42"/>
        <v>2628.2069999999999</v>
      </c>
      <c r="G184" s="242">
        <f t="shared" si="42"/>
        <v>2738.0202399999998</v>
      </c>
      <c r="H184" s="242">
        <f t="shared" si="42"/>
        <v>3442.3906499999998</v>
      </c>
      <c r="I184" s="242">
        <f t="shared" si="42"/>
        <v>2266.8906000000002</v>
      </c>
      <c r="J184" s="242">
        <f t="shared" si="42"/>
        <v>2315.7692999999999</v>
      </c>
      <c r="K184" s="242">
        <f t="shared" si="42"/>
        <v>2365.5645000000004</v>
      </c>
      <c r="L184" s="242">
        <f t="shared" si="42"/>
        <v>2309.2419</v>
      </c>
      <c r="M184" s="242">
        <f t="shared" si="42"/>
        <v>2355.0820000000003</v>
      </c>
      <c r="N184" s="242">
        <f t="shared" si="42"/>
        <v>2326.4324000000001</v>
      </c>
      <c r="O184" s="242">
        <f t="shared" si="42"/>
        <v>2316.5272</v>
      </c>
      <c r="P184" s="242">
        <f t="shared" si="42"/>
        <v>2282.6651999999999</v>
      </c>
      <c r="Q184" s="242">
        <f t="shared" si="42"/>
        <v>2264.7599999999998</v>
      </c>
      <c r="R184" s="242">
        <f t="shared" si="42"/>
        <v>2221.788</v>
      </c>
      <c r="S184" s="1"/>
      <c r="T184" s="1"/>
      <c r="U184" s="1"/>
      <c r="V184" s="1"/>
      <c r="W184" s="1"/>
      <c r="X184" s="1"/>
      <c r="Y184" s="1"/>
      <c r="Z184" s="1"/>
    </row>
    <row r="185" spans="1:26" ht="15.75" customHeight="1" outlineLevel="1">
      <c r="A185" s="1"/>
      <c r="B185" s="1"/>
      <c r="C185" s="268" t="s">
        <v>233</v>
      </c>
      <c r="D185" s="201" t="s">
        <v>175</v>
      </c>
      <c r="E185" s="242">
        <f t="shared" ref="E185:R185" si="43">E80</f>
        <v>2439</v>
      </c>
      <c r="F185" s="242">
        <f t="shared" si="43"/>
        <v>2139</v>
      </c>
      <c r="G185" s="242">
        <f t="shared" si="43"/>
        <v>2291</v>
      </c>
      <c r="H185" s="242">
        <f t="shared" si="43"/>
        <v>1719</v>
      </c>
      <c r="I185" s="242">
        <f t="shared" si="43"/>
        <v>1800.24</v>
      </c>
      <c r="J185" s="242">
        <f t="shared" si="43"/>
        <v>1376.1200000000001</v>
      </c>
      <c r="K185" s="242">
        <f t="shared" si="43"/>
        <v>1755.6000000000001</v>
      </c>
      <c r="L185" s="242">
        <f t="shared" si="43"/>
        <v>1847.5</v>
      </c>
      <c r="M185" s="242">
        <f t="shared" si="43"/>
        <v>1840.58</v>
      </c>
      <c r="N185" s="242">
        <f t="shared" si="43"/>
        <v>1859.8899999999999</v>
      </c>
      <c r="O185" s="242">
        <f t="shared" si="43"/>
        <v>1930.44</v>
      </c>
      <c r="P185" s="242">
        <f t="shared" si="43"/>
        <v>1952.27</v>
      </c>
      <c r="Q185" s="242">
        <f t="shared" si="43"/>
        <v>2025.44</v>
      </c>
      <c r="R185" s="242">
        <f t="shared" si="43"/>
        <v>2049.9700000000003</v>
      </c>
      <c r="S185" s="1"/>
      <c r="T185" s="1"/>
      <c r="U185" s="1"/>
      <c r="V185" s="1"/>
      <c r="W185" s="1"/>
      <c r="X185" s="1"/>
      <c r="Y185" s="1"/>
      <c r="Z185" s="1"/>
    </row>
    <row r="186" spans="1:26" ht="15.75" customHeight="1" outlineLevel="1">
      <c r="A186" s="1"/>
      <c r="B186" s="1"/>
      <c r="C186" s="268" t="s">
        <v>193</v>
      </c>
      <c r="D186" s="72"/>
      <c r="E186" s="242">
        <f t="shared" ref="E186:R186" si="44">E96</f>
        <v>1998.6499999999999</v>
      </c>
      <c r="F186" s="242">
        <f t="shared" si="44"/>
        <v>1586.3</v>
      </c>
      <c r="G186" s="242">
        <f t="shared" si="44"/>
        <v>1999.28</v>
      </c>
      <c r="H186" s="242">
        <f t="shared" si="44"/>
        <v>2086.6200000000003</v>
      </c>
      <c r="I186" s="242">
        <f t="shared" si="44"/>
        <v>2106.5553599999998</v>
      </c>
      <c r="J186" s="242">
        <f t="shared" si="44"/>
        <v>2138.6021999999998</v>
      </c>
      <c r="K186" s="242">
        <f t="shared" si="44"/>
        <v>2142.13798</v>
      </c>
      <c r="L186" s="242">
        <f t="shared" si="44"/>
        <v>2157.0441299999998</v>
      </c>
      <c r="M186" s="242">
        <f t="shared" si="44"/>
        <v>2172.2327</v>
      </c>
      <c r="N186" s="242">
        <f t="shared" si="44"/>
        <v>2187.2961599999999</v>
      </c>
      <c r="O186" s="242">
        <f t="shared" si="44"/>
        <v>2161.2134999999998</v>
      </c>
      <c r="P186" s="242">
        <f t="shared" si="44"/>
        <v>2135.2802900000002</v>
      </c>
      <c r="Q186" s="242">
        <f t="shared" si="44"/>
        <v>2109.5815400000001</v>
      </c>
      <c r="R186" s="242">
        <f t="shared" si="44"/>
        <v>2044.1206799999998</v>
      </c>
      <c r="S186" s="1"/>
      <c r="T186" s="1"/>
      <c r="U186" s="1"/>
      <c r="V186" s="1"/>
      <c r="W186" s="1"/>
      <c r="X186" s="1"/>
      <c r="Y186" s="1"/>
      <c r="Z186" s="1"/>
    </row>
    <row r="187" spans="1:26" ht="15.75" customHeight="1" outlineLevel="1">
      <c r="A187" s="1"/>
      <c r="B187" s="1"/>
      <c r="C187" s="58" t="s">
        <v>234</v>
      </c>
      <c r="D187" s="201" t="s">
        <v>175</v>
      </c>
      <c r="E187" s="277">
        <f t="shared" ref="E187:R187" si="45">SUM(E184:E186)</f>
        <v>6657.6247100000001</v>
      </c>
      <c r="F187" s="277">
        <f t="shared" si="45"/>
        <v>6353.5070000000005</v>
      </c>
      <c r="G187" s="277">
        <f t="shared" si="45"/>
        <v>7028.3002399999996</v>
      </c>
      <c r="H187" s="277">
        <f t="shared" si="45"/>
        <v>7248.0106500000002</v>
      </c>
      <c r="I187" s="277">
        <f t="shared" si="45"/>
        <v>6173.6859600000007</v>
      </c>
      <c r="J187" s="277">
        <f t="shared" si="45"/>
        <v>5830.4915000000001</v>
      </c>
      <c r="K187" s="277">
        <f t="shared" si="45"/>
        <v>6263.3024800000003</v>
      </c>
      <c r="L187" s="277">
        <f t="shared" si="45"/>
        <v>6313.7860299999993</v>
      </c>
      <c r="M187" s="277">
        <f t="shared" si="45"/>
        <v>6367.8947000000007</v>
      </c>
      <c r="N187" s="277">
        <f t="shared" si="45"/>
        <v>6373.6185599999999</v>
      </c>
      <c r="O187" s="277">
        <f t="shared" si="45"/>
        <v>6408.1806999999999</v>
      </c>
      <c r="P187" s="277">
        <f t="shared" si="45"/>
        <v>6370.2154900000005</v>
      </c>
      <c r="Q187" s="277">
        <f t="shared" si="45"/>
        <v>6399.7815399999999</v>
      </c>
      <c r="R187" s="277">
        <f t="shared" si="45"/>
        <v>6315.8786799999998</v>
      </c>
      <c r="S187" s="277">
        <f>+R187*(1+S188)</f>
        <v>6505.3550403999998</v>
      </c>
      <c r="T187" s="1"/>
      <c r="U187" s="1"/>
      <c r="V187" s="1"/>
      <c r="W187" s="1"/>
      <c r="X187" s="1"/>
      <c r="Y187" s="1"/>
      <c r="Z187" s="1"/>
    </row>
    <row r="188" spans="1:26" ht="15.75" customHeight="1" outlineLevel="1">
      <c r="A188" s="1"/>
      <c r="B188" s="1"/>
      <c r="C188" s="236" t="s">
        <v>235</v>
      </c>
      <c r="D188" s="201" t="s">
        <v>177</v>
      </c>
      <c r="E188" s="183">
        <f>IFERROR(+E187/585.98-1,"N/A")</f>
        <v>10.361522082664937</v>
      </c>
      <c r="F188" s="183">
        <f t="shared" ref="F188:R188" si="46">IFERROR(+F187/E187-1,"N/A")</f>
        <v>-4.5679611460105796E-2</v>
      </c>
      <c r="G188" s="183">
        <f t="shared" si="46"/>
        <v>0.10620799504903333</v>
      </c>
      <c r="H188" s="381">
        <f t="shared" si="46"/>
        <v>3.1260817338105262E-2</v>
      </c>
      <c r="I188" s="183">
        <f t="shared" si="46"/>
        <v>-0.14822338733732399</v>
      </c>
      <c r="J188" s="183">
        <f t="shared" si="46"/>
        <v>-5.5589879728835556E-2</v>
      </c>
      <c r="K188" s="183">
        <f t="shared" si="46"/>
        <v>7.4232331871163959E-2</v>
      </c>
      <c r="L188" s="183">
        <f t="shared" si="46"/>
        <v>8.0602126691475817E-3</v>
      </c>
      <c r="M188" s="183">
        <f t="shared" si="46"/>
        <v>8.5699245655306289E-3</v>
      </c>
      <c r="N188" s="183">
        <f t="shared" si="46"/>
        <v>8.9886222521839976E-4</v>
      </c>
      <c r="O188" s="183">
        <f t="shared" si="46"/>
        <v>5.4226872340474852E-3</v>
      </c>
      <c r="P188" s="183">
        <f t="shared" si="46"/>
        <v>-5.9244911742266648E-3</v>
      </c>
      <c r="Q188" s="183">
        <f t="shared" si="46"/>
        <v>4.6412951094687571E-3</v>
      </c>
      <c r="R188" s="183">
        <f t="shared" si="46"/>
        <v>-1.3110269385851581E-2</v>
      </c>
      <c r="S188" s="278">
        <v>0.03</v>
      </c>
      <c r="T188" s="1"/>
      <c r="U188" s="1"/>
      <c r="V188" s="1"/>
      <c r="W188" s="1"/>
      <c r="X188" s="1"/>
      <c r="Y188" s="1"/>
      <c r="Z188" s="1"/>
    </row>
    <row r="189" spans="1:26" ht="15.75" customHeight="1" outlineLevel="1">
      <c r="A189" s="1"/>
      <c r="B189" s="1"/>
      <c r="C189" s="3"/>
      <c r="D189" s="240"/>
      <c r="E189" s="279"/>
      <c r="F189" s="280"/>
      <c r="G189" s="281"/>
      <c r="H189" s="282"/>
      <c r="I189" s="283"/>
      <c r="J189" s="283"/>
      <c r="K189" s="283"/>
      <c r="L189" s="283"/>
      <c r="M189" s="283"/>
      <c r="N189" s="283"/>
      <c r="O189" s="283"/>
      <c r="P189" s="283"/>
      <c r="Q189" s="283"/>
      <c r="R189" s="283"/>
      <c r="S189" s="1"/>
      <c r="T189" s="1"/>
      <c r="U189" s="1"/>
      <c r="V189" s="1"/>
      <c r="W189" s="1"/>
      <c r="X189" s="1"/>
      <c r="Y189" s="1"/>
      <c r="Z189" s="1"/>
    </row>
    <row r="190" spans="1:26" ht="15.75" customHeight="1" outlineLevel="1">
      <c r="A190" s="1"/>
      <c r="B190" s="1"/>
      <c r="C190" s="19" t="s">
        <v>236</v>
      </c>
      <c r="D190" s="201" t="s">
        <v>175</v>
      </c>
      <c r="E190" s="378">
        <f>E126+E128+E130+E132</f>
        <v>2394</v>
      </c>
      <c r="F190" s="378">
        <f t="shared" ref="F190:R190" si="47">F126+F128+F130+F132</f>
        <v>2501</v>
      </c>
      <c r="G190" s="378">
        <f t="shared" si="47"/>
        <v>2517</v>
      </c>
      <c r="H190" s="378">
        <f t="shared" si="47"/>
        <v>2094</v>
      </c>
      <c r="I190" s="378">
        <f t="shared" si="47"/>
        <v>2005.231350360817</v>
      </c>
      <c r="J190" s="378">
        <f t="shared" si="47"/>
        <v>1922.9132382657688</v>
      </c>
      <c r="K190" s="378">
        <f t="shared" si="47"/>
        <v>2096.9720843281675</v>
      </c>
      <c r="L190" s="378">
        <f t="shared" si="47"/>
        <v>2113.8741252891182</v>
      </c>
      <c r="M190" s="378">
        <f t="shared" si="47"/>
        <v>2131.9898670838734</v>
      </c>
      <c r="N190" s="378">
        <f t="shared" si="47"/>
        <v>2133.9062322399436</v>
      </c>
      <c r="O190" s="378">
        <f t="shared" si="47"/>
        <v>2145.4777383241653</v>
      </c>
      <c r="P190" s="378">
        <f t="shared" si="47"/>
        <v>2132.7668743989643</v>
      </c>
      <c r="Q190" s="378">
        <f t="shared" si="47"/>
        <v>2142.6656748627493</v>
      </c>
      <c r="R190" s="378">
        <f t="shared" si="47"/>
        <v>2114.5747506614812</v>
      </c>
      <c r="S190" s="284"/>
      <c r="T190" s="1"/>
      <c r="U190" s="1"/>
      <c r="V190" s="1"/>
      <c r="W190" s="1"/>
      <c r="X190" s="1"/>
      <c r="Y190" s="1"/>
      <c r="Z190" s="1"/>
    </row>
    <row r="191" spans="1:26" ht="15.75" customHeight="1" outlineLevel="1">
      <c r="A191" s="1"/>
      <c r="B191" s="1"/>
      <c r="C191" s="19"/>
      <c r="D191" s="201"/>
      <c r="E191" s="121"/>
      <c r="F191" s="121"/>
      <c r="G191" s="121"/>
      <c r="H191" s="121"/>
      <c r="I191" s="284"/>
      <c r="J191" s="284"/>
      <c r="K191" s="284"/>
      <c r="L191" s="284"/>
      <c r="M191" s="284"/>
      <c r="N191" s="284"/>
      <c r="O191" s="284"/>
      <c r="P191" s="284"/>
      <c r="Q191" s="284"/>
      <c r="R191" s="284"/>
      <c r="S191" s="284"/>
      <c r="T191" s="1"/>
      <c r="U191" s="1"/>
      <c r="V191" s="1"/>
      <c r="W191" s="1"/>
      <c r="X191" s="1"/>
      <c r="Y191" s="1"/>
      <c r="Z191" s="1"/>
    </row>
    <row r="192" spans="1:26" ht="15.75" customHeight="1" outlineLevel="1">
      <c r="A192" s="1"/>
      <c r="B192" s="1"/>
      <c r="C192" s="268" t="s">
        <v>237</v>
      </c>
      <c r="D192" s="201" t="s">
        <v>175</v>
      </c>
      <c r="E192" s="269">
        <f t="shared" ref="E192:S192" si="48">+E187-E190</f>
        <v>4263.6247100000001</v>
      </c>
      <c r="F192" s="269">
        <f t="shared" si="48"/>
        <v>3852.5070000000005</v>
      </c>
      <c r="G192" s="269">
        <f t="shared" si="48"/>
        <v>4511.3002399999996</v>
      </c>
      <c r="H192" s="269">
        <f t="shared" si="48"/>
        <v>5154.0106500000002</v>
      </c>
      <c r="I192" s="269">
        <f t="shared" si="48"/>
        <v>4168.4546096391841</v>
      </c>
      <c r="J192" s="269">
        <f t="shared" si="48"/>
        <v>3907.5782617342311</v>
      </c>
      <c r="K192" s="269">
        <f t="shared" si="48"/>
        <v>4166.3303956718328</v>
      </c>
      <c r="L192" s="269">
        <f t="shared" si="48"/>
        <v>4199.9119047108816</v>
      </c>
      <c r="M192" s="269">
        <f t="shared" si="48"/>
        <v>4235.9048329161269</v>
      </c>
      <c r="N192" s="269">
        <f t="shared" si="48"/>
        <v>4239.7123277600567</v>
      </c>
      <c r="O192" s="269">
        <f t="shared" si="48"/>
        <v>4262.7029616758346</v>
      </c>
      <c r="P192" s="269">
        <f t="shared" si="48"/>
        <v>4237.4486156010362</v>
      </c>
      <c r="Q192" s="269">
        <f t="shared" si="48"/>
        <v>4257.1158651372507</v>
      </c>
      <c r="R192" s="269">
        <f t="shared" si="48"/>
        <v>4201.3039293385191</v>
      </c>
      <c r="S192" s="269">
        <f t="shared" si="48"/>
        <v>6505.3550403999998</v>
      </c>
      <c r="T192" s="1"/>
      <c r="U192" s="1"/>
      <c r="V192" s="1"/>
      <c r="W192" s="1"/>
      <c r="X192" s="1"/>
      <c r="Y192" s="1"/>
      <c r="Z192" s="1"/>
    </row>
    <row r="193" spans="1:26" ht="15.75" customHeight="1" outlineLevel="1">
      <c r="A193" s="1"/>
      <c r="B193" s="1"/>
      <c r="C193" s="236" t="s">
        <v>238</v>
      </c>
      <c r="D193" s="201" t="s">
        <v>177</v>
      </c>
      <c r="E193" s="183">
        <f t="shared" ref="E193:S193" si="49">+E192/E187</f>
        <v>0.64041229353103624</v>
      </c>
      <c r="F193" s="183">
        <f t="shared" si="49"/>
        <v>0.60635913362494132</v>
      </c>
      <c r="G193" s="183">
        <f t="shared" si="49"/>
        <v>0.64187642615563612</v>
      </c>
      <c r="H193" s="183">
        <f t="shared" si="49"/>
        <v>0.71109313974311006</v>
      </c>
      <c r="I193" s="183">
        <f t="shared" si="49"/>
        <v>0.67519706001359092</v>
      </c>
      <c r="J193" s="183">
        <f t="shared" si="49"/>
        <v>0.67019706001359081</v>
      </c>
      <c r="K193" s="183">
        <f t="shared" si="49"/>
        <v>0.66519706001359091</v>
      </c>
      <c r="L193" s="183">
        <f t="shared" si="49"/>
        <v>0.66519706001359091</v>
      </c>
      <c r="M193" s="183">
        <f t="shared" si="49"/>
        <v>0.66519706001359069</v>
      </c>
      <c r="N193" s="183">
        <f t="shared" si="49"/>
        <v>0.66519706001359091</v>
      </c>
      <c r="O193" s="183">
        <f t="shared" si="49"/>
        <v>0.6651970600135908</v>
      </c>
      <c r="P193" s="183">
        <f t="shared" si="49"/>
        <v>0.6651970600135908</v>
      </c>
      <c r="Q193" s="183">
        <f t="shared" si="49"/>
        <v>0.6651970600135908</v>
      </c>
      <c r="R193" s="183">
        <f t="shared" si="49"/>
        <v>0.66519706001359091</v>
      </c>
      <c r="S193" s="183">
        <f t="shared" si="49"/>
        <v>1</v>
      </c>
      <c r="T193" s="1"/>
      <c r="U193" s="1"/>
      <c r="V193" s="1"/>
      <c r="W193" s="1"/>
      <c r="X193" s="1"/>
      <c r="Y193" s="1"/>
      <c r="Z193" s="1"/>
    </row>
    <row r="194" spans="1:26" ht="15.75" customHeight="1" outlineLevel="1">
      <c r="A194" s="1"/>
      <c r="B194" s="1"/>
      <c r="C194" s="1"/>
      <c r="D194" s="72"/>
      <c r="E194" s="72"/>
      <c r="F194" s="72"/>
      <c r="G194" s="276"/>
      <c r="H194" s="276"/>
      <c r="I194" s="193"/>
      <c r="J194" s="193"/>
      <c r="K194" s="193"/>
      <c r="L194" s="193"/>
      <c r="M194" s="193"/>
      <c r="N194" s="193"/>
      <c r="O194" s="193"/>
      <c r="P194" s="193"/>
      <c r="Q194" s="193"/>
      <c r="R194" s="193"/>
      <c r="S194" s="1"/>
      <c r="T194" s="1"/>
      <c r="U194" s="1"/>
      <c r="V194" s="1"/>
      <c r="W194" s="1"/>
      <c r="X194" s="1"/>
      <c r="Y194" s="1"/>
      <c r="Z194" s="1"/>
    </row>
    <row r="195" spans="1:26" ht="15.75" customHeight="1" outlineLevel="1">
      <c r="A195" s="1"/>
      <c r="B195" s="1"/>
      <c r="C195" s="3" t="s">
        <v>239</v>
      </c>
      <c r="D195" s="72"/>
      <c r="E195" s="72"/>
      <c r="F195" s="72"/>
      <c r="G195" s="276"/>
      <c r="H195" s="97"/>
      <c r="I195" s="97"/>
      <c r="J195" s="97"/>
      <c r="K195" s="97"/>
      <c r="L195" s="97"/>
      <c r="M195" s="97"/>
      <c r="N195" s="97"/>
      <c r="O195" s="97"/>
      <c r="P195" s="97"/>
      <c r="Q195" s="97"/>
      <c r="R195" s="97"/>
      <c r="S195" s="1"/>
      <c r="T195" s="1"/>
      <c r="U195" s="1"/>
      <c r="V195" s="1"/>
      <c r="W195" s="1"/>
      <c r="X195" s="1"/>
      <c r="Y195" s="1"/>
      <c r="Z195" s="1"/>
    </row>
    <row r="196" spans="1:26" ht="15.75" customHeight="1" outlineLevel="1">
      <c r="A196" s="1"/>
      <c r="B196" s="1"/>
      <c r="C196" s="19" t="s">
        <v>240</v>
      </c>
      <c r="D196" s="201" t="s">
        <v>175</v>
      </c>
      <c r="E196" s="286">
        <f>E135*E187</f>
        <v>1857.8480576937047</v>
      </c>
      <c r="F196" s="286">
        <f t="shared" ref="F196:H196" si="50">F135*F187</f>
        <v>2139</v>
      </c>
      <c r="G196" s="286">
        <f t="shared" si="50"/>
        <v>1882</v>
      </c>
      <c r="H196" s="286">
        <f t="shared" si="50"/>
        <v>1657</v>
      </c>
      <c r="I196" s="284">
        <f t="shared" ref="I196:R196" si="51">I135*I187</f>
        <v>1716.4531818833796</v>
      </c>
      <c r="J196" s="284">
        <f t="shared" si="51"/>
        <v>1621.0357559423053</v>
      </c>
      <c r="K196" s="284">
        <f t="shared" si="51"/>
        <v>1741.3690201524375</v>
      </c>
      <c r="L196" s="284">
        <f t="shared" si="51"/>
        <v>1755.4048247903313</v>
      </c>
      <c r="M196" s="284">
        <f t="shared" si="51"/>
        <v>1770.448511720753</v>
      </c>
      <c r="N196" s="284">
        <f t="shared" si="51"/>
        <v>1772.0399010096332</v>
      </c>
      <c r="O196" s="284">
        <f t="shared" si="51"/>
        <v>1781.6491191590608</v>
      </c>
      <c r="P196" s="284">
        <f t="shared" si="51"/>
        <v>1771.0937546770342</v>
      </c>
      <c r="Q196" s="284">
        <f t="shared" si="51"/>
        <v>1779.3139234590276</v>
      </c>
      <c r="R196" s="284">
        <f t="shared" si="51"/>
        <v>1755.9866386004833</v>
      </c>
      <c r="S196" s="284"/>
      <c r="T196" s="1"/>
      <c r="U196" s="1"/>
      <c r="V196" s="1"/>
      <c r="W196" s="1"/>
      <c r="X196" s="1"/>
      <c r="Y196" s="1"/>
      <c r="Z196" s="1"/>
    </row>
    <row r="197" spans="1:26" ht="15.75" customHeight="1" outlineLevel="1">
      <c r="A197" s="1"/>
      <c r="B197" s="1"/>
      <c r="C197" s="19" t="s">
        <v>241</v>
      </c>
      <c r="D197" s="201" t="s">
        <v>175</v>
      </c>
      <c r="E197" s="121">
        <f>E134*E187</f>
        <v>958.00000000000011</v>
      </c>
      <c r="F197" s="121">
        <f t="shared" ref="F197:H197" si="52">F134*F187</f>
        <v>1068</v>
      </c>
      <c r="G197" s="121">
        <f t="shared" si="52"/>
        <v>1102</v>
      </c>
      <c r="H197" s="121">
        <f t="shared" si="52"/>
        <v>998.99999999999989</v>
      </c>
      <c r="I197" s="284">
        <f t="shared" ref="I197:R197" si="53">I134*I187</f>
        <v>936.2655513986299</v>
      </c>
      <c r="J197" s="284">
        <f t="shared" si="53"/>
        <v>884.21866200212821</v>
      </c>
      <c r="K197" s="284">
        <f t="shared" si="53"/>
        <v>1002.1283968</v>
      </c>
      <c r="L197" s="284">
        <f t="shared" si="53"/>
        <v>1010.2057647999999</v>
      </c>
      <c r="M197" s="284">
        <f t="shared" si="53"/>
        <v>1018.8631520000001</v>
      </c>
      <c r="N197" s="284">
        <f t="shared" si="53"/>
        <v>1019.7789696</v>
      </c>
      <c r="O197" s="284">
        <f t="shared" si="53"/>
        <v>961.22710499999994</v>
      </c>
      <c r="P197" s="284">
        <f t="shared" si="53"/>
        <v>955.53232350000008</v>
      </c>
      <c r="Q197" s="284">
        <f t="shared" si="53"/>
        <v>959.96723099999997</v>
      </c>
      <c r="R197" s="284">
        <f t="shared" si="53"/>
        <v>947.38180199999988</v>
      </c>
      <c r="S197" s="284"/>
      <c r="T197" s="1"/>
      <c r="U197" s="1"/>
      <c r="V197" s="1"/>
      <c r="W197" s="1"/>
      <c r="X197" s="1"/>
      <c r="Y197" s="1"/>
      <c r="Z197" s="1"/>
    </row>
    <row r="198" spans="1:26" ht="15.75" customHeight="1" outlineLevel="1">
      <c r="A198" s="1"/>
      <c r="B198" s="1"/>
      <c r="C198" s="84" t="s">
        <v>243</v>
      </c>
      <c r="D198" s="201" t="s">
        <v>175</v>
      </c>
      <c r="E198" s="59">
        <f>SUM(E196:E197)</f>
        <v>2815.848057693705</v>
      </c>
      <c r="F198" s="59">
        <f>SUM(F196:F197)</f>
        <v>3207</v>
      </c>
      <c r="G198" s="59">
        <f>SUM(G196:G197)</f>
        <v>2984</v>
      </c>
      <c r="H198" s="59">
        <f>SUM(H196:H197)</f>
        <v>2656</v>
      </c>
      <c r="I198" s="59">
        <f>SUM(I196:I197)</f>
        <v>2652.7187332820095</v>
      </c>
      <c r="J198" s="59">
        <f>SUM(J196:J197)</f>
        <v>2505.2544179444335</v>
      </c>
      <c r="K198" s="59">
        <f>SUM(K196:K197)</f>
        <v>2743.4974169524376</v>
      </c>
      <c r="L198" s="59">
        <f>SUM(L196:L197)</f>
        <v>2765.6105895903311</v>
      </c>
      <c r="M198" s="59">
        <f>SUM(M196:M197)</f>
        <v>2789.3116637207531</v>
      </c>
      <c r="N198" s="59">
        <f>SUM(N196:N197)</f>
        <v>2791.8188706096334</v>
      </c>
      <c r="O198" s="59">
        <f>SUM(O196:O197)</f>
        <v>2742.8762241590607</v>
      </c>
      <c r="P198" s="59">
        <f>SUM(P196:P197)</f>
        <v>2726.6260781770343</v>
      </c>
      <c r="Q198" s="59">
        <f>SUM(Q196:Q197)</f>
        <v>2739.2811544590277</v>
      </c>
      <c r="R198" s="59">
        <f>SUM(R196:R197)</f>
        <v>2703.3684406004832</v>
      </c>
      <c r="S198" s="59"/>
      <c r="T198" s="1"/>
      <c r="U198" s="1"/>
      <c r="V198" s="1"/>
      <c r="W198" s="1"/>
      <c r="X198" s="1"/>
      <c r="Y198" s="1"/>
      <c r="Z198" s="1"/>
    </row>
    <row r="199" spans="1:26" ht="15.75" customHeight="1" outlineLevel="1">
      <c r="A199" s="1"/>
      <c r="B199" s="1"/>
      <c r="C199" s="1"/>
      <c r="D199" s="72"/>
      <c r="E199" s="72"/>
      <c r="F199" s="72"/>
      <c r="G199" s="276"/>
      <c r="H199" s="276"/>
      <c r="I199" s="289"/>
      <c r="J199" s="289"/>
      <c r="K199" s="289"/>
      <c r="L199" s="289"/>
      <c r="M199" s="289"/>
      <c r="N199" s="289"/>
      <c r="O199" s="289"/>
      <c r="P199" s="289"/>
      <c r="Q199" s="289"/>
      <c r="R199" s="289"/>
      <c r="S199" s="1"/>
      <c r="T199" s="1"/>
      <c r="U199" s="1"/>
      <c r="V199" s="1"/>
      <c r="W199" s="1"/>
      <c r="X199" s="1"/>
      <c r="Y199" s="1"/>
      <c r="Z199" s="1"/>
    </row>
    <row r="200" spans="1:26" ht="15.75" customHeight="1" outlineLevel="1">
      <c r="A200" s="1"/>
      <c r="B200" s="1"/>
      <c r="C200" s="3" t="s">
        <v>92</v>
      </c>
      <c r="D200" s="201" t="s">
        <v>175</v>
      </c>
      <c r="E200" s="269">
        <f>+E192-E198</f>
        <v>1447.7766523062951</v>
      </c>
      <c r="F200" s="269">
        <f>+F192-F198</f>
        <v>645.50700000000052</v>
      </c>
      <c r="G200" s="269">
        <f>+G192-G198</f>
        <v>1527.3002399999996</v>
      </c>
      <c r="H200" s="269">
        <f>+H192-H198</f>
        <v>2498.0106500000002</v>
      </c>
      <c r="I200" s="269">
        <f>+I192-I198</f>
        <v>1515.7358763571747</v>
      </c>
      <c r="J200" s="269">
        <f>+J192-J198</f>
        <v>1402.3238437897976</v>
      </c>
      <c r="K200" s="269">
        <f>+K192-K198</f>
        <v>1422.8329787193952</v>
      </c>
      <c r="L200" s="269">
        <f>+L192-L198</f>
        <v>1434.3013151205505</v>
      </c>
      <c r="M200" s="269">
        <f>+M192-M198</f>
        <v>1446.5931691953738</v>
      </c>
      <c r="N200" s="269">
        <f>+N192-N198</f>
        <v>1447.8934571504233</v>
      </c>
      <c r="O200" s="269">
        <f>+O192-O198</f>
        <v>1519.8267375167738</v>
      </c>
      <c r="P200" s="269">
        <f>+P192-P198</f>
        <v>1510.8225374240019</v>
      </c>
      <c r="Q200" s="269">
        <f>+Q192-Q198</f>
        <v>1517.834710678223</v>
      </c>
      <c r="R200" s="269">
        <f>+R192-R198</f>
        <v>1497.9354887380359</v>
      </c>
      <c r="S200" s="290">
        <f>+S201*S187</f>
        <v>2029.6707726047998</v>
      </c>
      <c r="T200" s="1"/>
      <c r="U200" s="1"/>
      <c r="V200" s="1"/>
      <c r="W200" s="1"/>
      <c r="X200" s="1"/>
      <c r="Y200" s="1"/>
      <c r="Z200" s="1"/>
    </row>
    <row r="201" spans="1:26" ht="15.75" customHeight="1" outlineLevel="1">
      <c r="A201" s="1"/>
      <c r="B201" s="1"/>
      <c r="C201" s="236" t="s">
        <v>244</v>
      </c>
      <c r="D201" s="201" t="s">
        <v>177</v>
      </c>
      <c r="E201" s="289">
        <f>+E200/E187</f>
        <v>0.21746143938267964</v>
      </c>
      <c r="F201" s="289">
        <f>+F200/F187</f>
        <v>0.1015985344786746</v>
      </c>
      <c r="G201" s="289">
        <f>+G200/G187</f>
        <v>0.21730719915858343</v>
      </c>
      <c r="H201" s="289">
        <f>+H200/H187</f>
        <v>0.34464776207247988</v>
      </c>
      <c r="I201" s="289">
        <f>+I200/I187</f>
        <v>0.24551554552301436</v>
      </c>
      <c r="J201" s="289">
        <f>+J200/J187</f>
        <v>0.24051554552301424</v>
      </c>
      <c r="K201" s="289">
        <f>+K200/K187</f>
        <v>0.22716976918531245</v>
      </c>
      <c r="L201" s="289">
        <f>+L200/L187</f>
        <v>0.22716976918531251</v>
      </c>
      <c r="M201" s="289">
        <f>+M200/M187</f>
        <v>0.22716976918531231</v>
      </c>
      <c r="N201" s="289">
        <f>+N200/N187</f>
        <v>0.22716976918531243</v>
      </c>
      <c r="O201" s="289">
        <f>+O200/O187</f>
        <v>0.23716976918531243</v>
      </c>
      <c r="P201" s="289">
        <f>+P200/P187</f>
        <v>0.23716976918531241</v>
      </c>
      <c r="Q201" s="289">
        <f>+Q200/Q187</f>
        <v>0.23716976918531238</v>
      </c>
      <c r="R201" s="289">
        <f>+R200/R187</f>
        <v>0.23716976918531246</v>
      </c>
      <c r="S201" s="278">
        <v>0.312</v>
      </c>
      <c r="T201" s="1"/>
      <c r="U201" s="1"/>
      <c r="V201" s="1"/>
      <c r="W201" s="1"/>
      <c r="X201" s="1"/>
      <c r="Y201" s="1"/>
      <c r="Z201" s="1"/>
    </row>
    <row r="202" spans="1:26" ht="15.75" customHeight="1" outlineLevel="1">
      <c r="A202" s="1"/>
      <c r="B202" s="1"/>
      <c r="C202" s="1"/>
      <c r="D202" s="72"/>
      <c r="E202" s="72"/>
      <c r="F202" s="72"/>
      <c r="G202" s="72"/>
      <c r="H202" s="72"/>
      <c r="I202" s="72"/>
      <c r="J202" s="72"/>
      <c r="K202" s="72"/>
      <c r="L202" s="72"/>
      <c r="M202" s="72"/>
      <c r="N202" s="72"/>
      <c r="O202" s="72"/>
      <c r="P202" s="72"/>
      <c r="Q202" s="72"/>
      <c r="R202" s="72"/>
      <c r="S202" s="72"/>
      <c r="T202" s="1"/>
      <c r="U202" s="1"/>
      <c r="V202" s="1"/>
      <c r="W202" s="1"/>
      <c r="X202" s="1"/>
      <c r="Y202" s="1"/>
      <c r="Z202" s="1"/>
    </row>
    <row r="203" spans="1:26" ht="15.75" customHeight="1" outlineLevel="1">
      <c r="A203" s="1"/>
      <c r="B203" s="1"/>
      <c r="C203" s="1" t="s">
        <v>245</v>
      </c>
      <c r="D203" s="201" t="s">
        <v>175</v>
      </c>
      <c r="E203" s="242">
        <f t="shared" ref="E203:S203" si="54">-E200*Tax_Rate</f>
        <v>-277.82833957757799</v>
      </c>
      <c r="F203" s="242">
        <f t="shared" si="54"/>
        <v>-123.8727933000001</v>
      </c>
      <c r="G203" s="242">
        <f t="shared" si="54"/>
        <v>-293.0889160559999</v>
      </c>
      <c r="H203" s="242">
        <f t="shared" si="54"/>
        <v>-479.36824373500002</v>
      </c>
      <c r="I203" s="242">
        <f t="shared" si="54"/>
        <v>-290.86971467294183</v>
      </c>
      <c r="J203" s="242">
        <f t="shared" si="54"/>
        <v>-269.10594562326213</v>
      </c>
      <c r="K203" s="242">
        <f t="shared" si="54"/>
        <v>-273.0416486162519</v>
      </c>
      <c r="L203" s="242">
        <f t="shared" si="54"/>
        <v>-275.24242237163361</v>
      </c>
      <c r="M203" s="242">
        <f t="shared" si="54"/>
        <v>-277.60122916859223</v>
      </c>
      <c r="N203" s="242">
        <f t="shared" si="54"/>
        <v>-277.85075442716618</v>
      </c>
      <c r="O203" s="242">
        <f t="shared" si="54"/>
        <v>-291.65475092946889</v>
      </c>
      <c r="P203" s="242">
        <f t="shared" si="54"/>
        <v>-289.92684493166593</v>
      </c>
      <c r="Q203" s="242">
        <f t="shared" si="54"/>
        <v>-291.272480979151</v>
      </c>
      <c r="R203" s="242">
        <f t="shared" si="54"/>
        <v>-287.45382028882909</v>
      </c>
      <c r="S203" s="242">
        <f t="shared" si="54"/>
        <v>-389.49382126286105</v>
      </c>
      <c r="T203" s="1"/>
      <c r="U203" s="1"/>
      <c r="V203" s="1"/>
      <c r="W203" s="1"/>
      <c r="X203" s="1"/>
      <c r="Y203" s="1"/>
      <c r="Z203" s="1"/>
    </row>
    <row r="204" spans="1:26" ht="15.75" customHeight="1" outlineLevel="1">
      <c r="A204" s="1"/>
      <c r="B204" s="1"/>
      <c r="C204" s="1"/>
      <c r="D204" s="72"/>
      <c r="E204" s="242"/>
      <c r="F204" s="242"/>
      <c r="G204" s="242"/>
      <c r="H204" s="242"/>
      <c r="I204" s="242"/>
      <c r="J204" s="242"/>
      <c r="K204" s="242"/>
      <c r="L204" s="242"/>
      <c r="M204" s="242"/>
      <c r="N204" s="242"/>
      <c r="O204" s="242"/>
      <c r="P204" s="242"/>
      <c r="Q204" s="242"/>
      <c r="R204" s="242"/>
      <c r="S204" s="242"/>
      <c r="T204" s="1"/>
      <c r="U204" s="1"/>
      <c r="V204" s="1"/>
      <c r="W204" s="1"/>
      <c r="X204" s="1"/>
      <c r="Y204" s="1"/>
      <c r="Z204" s="1"/>
    </row>
    <row r="205" spans="1:26" ht="15.75" customHeight="1" outlineLevel="1">
      <c r="A205" s="1"/>
      <c r="B205" s="1"/>
      <c r="C205" s="3" t="s">
        <v>246</v>
      </c>
      <c r="D205" s="201" t="s">
        <v>175</v>
      </c>
      <c r="E205" s="291">
        <f t="shared" ref="E205:S205" si="55">+E200+E203</f>
        <v>1169.9483127287172</v>
      </c>
      <c r="F205" s="291">
        <f t="shared" si="55"/>
        <v>521.63420670000039</v>
      </c>
      <c r="G205" s="291">
        <f t="shared" si="55"/>
        <v>1234.2113239439996</v>
      </c>
      <c r="H205" s="291">
        <f t="shared" si="55"/>
        <v>2018.6424062650001</v>
      </c>
      <c r="I205" s="291">
        <f t="shared" si="55"/>
        <v>1224.8661616842328</v>
      </c>
      <c r="J205" s="291">
        <f t="shared" si="55"/>
        <v>1133.2178981665354</v>
      </c>
      <c r="K205" s="291">
        <f t="shared" si="55"/>
        <v>1149.7913301031433</v>
      </c>
      <c r="L205" s="291">
        <f t="shared" si="55"/>
        <v>1159.0588927489168</v>
      </c>
      <c r="M205" s="291">
        <f t="shared" si="55"/>
        <v>1168.9919400267815</v>
      </c>
      <c r="N205" s="291">
        <f t="shared" si="55"/>
        <v>1170.0427027232572</v>
      </c>
      <c r="O205" s="291">
        <f t="shared" si="55"/>
        <v>1228.1719865873049</v>
      </c>
      <c r="P205" s="291">
        <f t="shared" si="55"/>
        <v>1220.8956924923359</v>
      </c>
      <c r="Q205" s="291">
        <f t="shared" si="55"/>
        <v>1226.5622296990721</v>
      </c>
      <c r="R205" s="291">
        <f t="shared" si="55"/>
        <v>1210.4816684492068</v>
      </c>
      <c r="S205" s="291">
        <f t="shared" si="55"/>
        <v>1640.1769513419388</v>
      </c>
      <c r="T205" s="1"/>
      <c r="U205" s="1"/>
      <c r="V205" s="1"/>
      <c r="W205" s="1"/>
      <c r="X205" s="1"/>
      <c r="Y205" s="1"/>
      <c r="Z205" s="1"/>
    </row>
    <row r="206" spans="1:26" ht="15.75" customHeight="1" outlineLevel="1">
      <c r="A206" s="1"/>
      <c r="B206" s="1"/>
      <c r="C206" s="1"/>
      <c r="D206" s="72"/>
      <c r="E206" s="72"/>
      <c r="F206" s="72"/>
      <c r="G206" s="72"/>
      <c r="H206" s="72"/>
      <c r="I206" s="72"/>
      <c r="J206" s="72"/>
      <c r="K206" s="72"/>
      <c r="L206" s="72"/>
      <c r="M206" s="72"/>
      <c r="N206" s="72"/>
      <c r="O206" s="72"/>
      <c r="P206" s="72"/>
      <c r="Q206" s="72"/>
      <c r="R206" s="72"/>
      <c r="S206" s="72"/>
      <c r="T206" s="1"/>
      <c r="U206" s="1"/>
      <c r="V206" s="1"/>
      <c r="W206" s="1"/>
      <c r="X206" s="1"/>
      <c r="Y206" s="1"/>
      <c r="Z206" s="1"/>
    </row>
    <row r="207" spans="1:26" ht="15.75" customHeight="1" outlineLevel="1">
      <c r="A207" s="1"/>
      <c r="B207" s="1"/>
      <c r="C207" s="3" t="s">
        <v>247</v>
      </c>
      <c r="D207" s="72"/>
      <c r="E207" s="72"/>
      <c r="F207" s="292"/>
      <c r="G207" s="292"/>
      <c r="H207" s="292"/>
      <c r="I207" s="72"/>
      <c r="J207" s="72"/>
      <c r="K207" s="72"/>
      <c r="L207" s="72"/>
      <c r="M207" s="72"/>
      <c r="N207" s="72"/>
      <c r="O207" s="72"/>
      <c r="P207" s="72"/>
      <c r="Q207" s="72"/>
      <c r="R207" s="72"/>
      <c r="S207" s="72"/>
      <c r="T207" s="1"/>
      <c r="U207" s="1"/>
      <c r="V207" s="1"/>
      <c r="W207" s="1"/>
      <c r="X207" s="1"/>
      <c r="Y207" s="1"/>
      <c r="Z207" s="1"/>
    </row>
    <row r="208" spans="1:26" ht="15.75" customHeight="1" outlineLevel="1">
      <c r="A208" s="1"/>
      <c r="B208" s="1"/>
      <c r="C208" s="19" t="s">
        <v>242</v>
      </c>
      <c r="D208" s="201" t="s">
        <v>175</v>
      </c>
      <c r="E208" s="242"/>
      <c r="F208" s="242"/>
      <c r="G208" s="242"/>
      <c r="H208" s="242"/>
      <c r="I208" s="242"/>
      <c r="J208" s="242"/>
      <c r="K208" s="242"/>
      <c r="L208" s="242"/>
      <c r="M208" s="242"/>
      <c r="N208" s="242"/>
      <c r="O208" s="242"/>
      <c r="P208" s="242"/>
      <c r="Q208" s="242"/>
      <c r="R208" s="242"/>
      <c r="S208" s="293">
        <v>0</v>
      </c>
      <c r="T208" s="1"/>
      <c r="U208" s="1"/>
      <c r="V208" s="1"/>
      <c r="W208" s="1"/>
      <c r="X208" s="1"/>
      <c r="Y208" s="1"/>
      <c r="Z208" s="1"/>
    </row>
    <row r="209" spans="1:26" ht="15.75" customHeight="1" outlineLevel="1">
      <c r="A209" s="1"/>
      <c r="B209" s="1"/>
      <c r="C209" s="19" t="s">
        <v>248</v>
      </c>
      <c r="D209" s="201" t="s">
        <v>175</v>
      </c>
      <c r="E209" s="121"/>
      <c r="F209" s="121"/>
      <c r="G209" s="121"/>
      <c r="H209" s="121"/>
      <c r="I209" s="242"/>
      <c r="J209" s="242"/>
      <c r="K209" s="242"/>
      <c r="L209" s="242"/>
      <c r="M209" s="242"/>
      <c r="N209" s="242"/>
      <c r="O209" s="242"/>
      <c r="P209" s="242"/>
      <c r="Q209" s="242"/>
      <c r="R209" s="242"/>
      <c r="S209" s="242">
        <f>(R209/R187)*S187</f>
        <v>0</v>
      </c>
      <c r="T209" s="1"/>
      <c r="U209" s="1"/>
      <c r="V209" s="1"/>
      <c r="W209" s="1"/>
      <c r="X209" s="1"/>
      <c r="Y209" s="1"/>
      <c r="Z209" s="1"/>
    </row>
    <row r="210" spans="1:26" ht="15.75" customHeight="1" outlineLevel="1">
      <c r="A210" s="1"/>
      <c r="B210" s="1"/>
      <c r="C210" s="19" t="s">
        <v>249</v>
      </c>
      <c r="D210" s="201" t="s">
        <v>175</v>
      </c>
      <c r="E210" s="121"/>
      <c r="F210" s="121"/>
      <c r="G210" s="121"/>
      <c r="H210" s="121"/>
      <c r="I210" s="242"/>
      <c r="J210" s="242"/>
      <c r="K210" s="242"/>
      <c r="L210" s="242"/>
      <c r="M210" s="242"/>
      <c r="N210" s="242"/>
      <c r="O210" s="242"/>
      <c r="P210" s="242"/>
      <c r="Q210" s="242"/>
      <c r="R210" s="242"/>
      <c r="S210" s="242">
        <f>-S187*Q119*Tax_Rate</f>
        <v>24.967552645055196</v>
      </c>
      <c r="T210" s="1"/>
      <c r="U210" s="1"/>
      <c r="V210" s="1"/>
      <c r="W210" s="1"/>
      <c r="X210" s="1"/>
      <c r="Y210" s="1"/>
      <c r="Z210" s="1"/>
    </row>
    <row r="211" spans="1:26" ht="15.75" customHeight="1" outlineLevel="1">
      <c r="A211" s="1"/>
      <c r="B211" s="1"/>
      <c r="C211" s="19" t="s">
        <v>250</v>
      </c>
      <c r="D211" s="201" t="s">
        <v>175</v>
      </c>
      <c r="E211" s="121"/>
      <c r="F211" s="121"/>
      <c r="G211" s="121"/>
      <c r="H211" s="121"/>
      <c r="I211" s="242"/>
      <c r="J211" s="242"/>
      <c r="K211" s="242"/>
      <c r="L211" s="242"/>
      <c r="M211" s="242"/>
      <c r="N211" s="242"/>
      <c r="O211" s="242"/>
      <c r="P211" s="242"/>
      <c r="Q211" s="242"/>
      <c r="R211" s="242"/>
      <c r="S211" s="242">
        <f>+R211</f>
        <v>0</v>
      </c>
      <c r="T211" s="1"/>
      <c r="U211" s="1"/>
      <c r="V211" s="1"/>
      <c r="W211" s="1"/>
      <c r="X211" s="1"/>
      <c r="Y211" s="1"/>
      <c r="Z211" s="1"/>
    </row>
    <row r="212" spans="1:26" ht="15.75" customHeight="1" outlineLevel="1">
      <c r="A212" s="1"/>
      <c r="B212" s="1"/>
      <c r="C212" s="84" t="s">
        <v>251</v>
      </c>
      <c r="D212" s="294" t="s">
        <v>175</v>
      </c>
      <c r="E212" s="277">
        <f t="shared" ref="E212:S212" si="56">SUM(E208:E211)</f>
        <v>0</v>
      </c>
      <c r="F212" s="277">
        <f t="shared" si="56"/>
        <v>0</v>
      </c>
      <c r="G212" s="277">
        <f t="shared" si="56"/>
        <v>0</v>
      </c>
      <c r="H212" s="277">
        <f t="shared" si="56"/>
        <v>0</v>
      </c>
      <c r="I212" s="277">
        <f t="shared" si="56"/>
        <v>0</v>
      </c>
      <c r="J212" s="277">
        <f t="shared" si="56"/>
        <v>0</v>
      </c>
      <c r="K212" s="277">
        <f t="shared" si="56"/>
        <v>0</v>
      </c>
      <c r="L212" s="277">
        <f t="shared" si="56"/>
        <v>0</v>
      </c>
      <c r="M212" s="277">
        <f t="shared" si="56"/>
        <v>0</v>
      </c>
      <c r="N212" s="277">
        <f t="shared" si="56"/>
        <v>0</v>
      </c>
      <c r="O212" s="277">
        <f t="shared" si="56"/>
        <v>0</v>
      </c>
      <c r="P212" s="277">
        <f t="shared" si="56"/>
        <v>0</v>
      </c>
      <c r="Q212" s="277">
        <f t="shared" si="56"/>
        <v>0</v>
      </c>
      <c r="R212" s="277">
        <f t="shared" si="56"/>
        <v>0</v>
      </c>
      <c r="S212" s="277">
        <f t="shared" si="56"/>
        <v>24.967552645055196</v>
      </c>
      <c r="T212" s="1"/>
      <c r="U212" s="1"/>
      <c r="V212" s="1"/>
      <c r="W212" s="1"/>
      <c r="X212" s="1"/>
      <c r="Y212" s="1"/>
      <c r="Z212" s="1"/>
    </row>
    <row r="213" spans="1:26" ht="15.75" customHeight="1" outlineLevel="1">
      <c r="A213" s="1"/>
      <c r="B213" s="1"/>
      <c r="C213" s="1"/>
      <c r="D213" s="72"/>
      <c r="E213" s="242"/>
      <c r="F213" s="242"/>
      <c r="G213" s="242"/>
      <c r="H213" s="242"/>
      <c r="I213" s="242"/>
      <c r="J213" s="242"/>
      <c r="K213" s="242"/>
      <c r="L213" s="242"/>
      <c r="M213" s="242"/>
      <c r="N213" s="242"/>
      <c r="O213" s="242"/>
      <c r="P213" s="242"/>
      <c r="Q213" s="242"/>
      <c r="R213" s="242"/>
      <c r="S213" s="242"/>
      <c r="T213" s="1"/>
      <c r="U213" s="1"/>
      <c r="V213" s="1"/>
      <c r="W213" s="1"/>
      <c r="X213" s="1"/>
      <c r="Y213" s="1"/>
      <c r="Z213" s="1"/>
    </row>
    <row r="214" spans="1:26" ht="15.75" customHeight="1" outlineLevel="2">
      <c r="A214" s="1"/>
      <c r="B214" s="1"/>
      <c r="C214" s="3" t="s">
        <v>252</v>
      </c>
      <c r="D214" s="72"/>
      <c r="E214" s="242"/>
      <c r="F214" s="242"/>
      <c r="G214" s="242"/>
      <c r="H214" s="242"/>
      <c r="I214" s="242"/>
      <c r="J214" s="242"/>
      <c r="K214" s="242"/>
      <c r="L214" s="242"/>
      <c r="M214" s="242"/>
      <c r="N214" s="242"/>
      <c r="O214" s="242"/>
      <c r="P214" s="242"/>
      <c r="Q214" s="242"/>
      <c r="R214" s="242"/>
      <c r="S214" s="242"/>
      <c r="T214" s="1"/>
      <c r="U214" s="1"/>
      <c r="V214" s="1"/>
      <c r="W214" s="1"/>
      <c r="X214" s="1"/>
      <c r="Y214" s="1"/>
      <c r="Z214" s="1"/>
    </row>
    <row r="215" spans="1:26" ht="15.75" customHeight="1" outlineLevel="2">
      <c r="A215" s="1"/>
      <c r="B215" s="1"/>
      <c r="C215" s="19" t="s">
        <v>253</v>
      </c>
      <c r="D215" s="201" t="s">
        <v>175</v>
      </c>
      <c r="E215" s="121"/>
      <c r="F215" s="121"/>
      <c r="G215" s="121"/>
      <c r="H215" s="121"/>
      <c r="I215" s="242"/>
      <c r="J215" s="242"/>
      <c r="K215" s="242"/>
      <c r="L215" s="242"/>
      <c r="M215" s="242"/>
      <c r="N215" s="242"/>
      <c r="O215" s="242"/>
      <c r="P215" s="242"/>
      <c r="Q215" s="242"/>
      <c r="R215" s="242"/>
      <c r="S215" s="242"/>
      <c r="T215" s="1"/>
      <c r="U215" s="1"/>
      <c r="V215" s="1"/>
      <c r="W215" s="1"/>
      <c r="X215" s="1"/>
      <c r="Y215" s="1"/>
      <c r="Z215" s="1"/>
    </row>
    <row r="216" spans="1:26" ht="15.75" customHeight="1" outlineLevel="2">
      <c r="A216" s="1"/>
      <c r="B216" s="1"/>
      <c r="C216" s="19" t="s">
        <v>254</v>
      </c>
      <c r="D216" s="201" t="s">
        <v>175</v>
      </c>
      <c r="E216" s="121"/>
      <c r="F216" s="121"/>
      <c r="G216" s="121"/>
      <c r="H216" s="121"/>
      <c r="I216" s="242"/>
      <c r="J216" s="242"/>
      <c r="K216" s="242"/>
      <c r="L216" s="242"/>
      <c r="M216" s="242"/>
      <c r="N216" s="242"/>
      <c r="O216" s="242"/>
      <c r="P216" s="242"/>
      <c r="Q216" s="242"/>
      <c r="R216" s="242"/>
      <c r="S216" s="242"/>
      <c r="T216" s="1"/>
      <c r="U216" s="1"/>
      <c r="V216" s="1"/>
      <c r="W216" s="1"/>
      <c r="X216" s="1"/>
      <c r="Y216" s="1"/>
      <c r="Z216" s="1"/>
    </row>
    <row r="217" spans="1:26" ht="15.75" customHeight="1" outlineLevel="2">
      <c r="A217" s="1"/>
      <c r="B217" s="1"/>
      <c r="C217" s="19" t="s">
        <v>255</v>
      </c>
      <c r="D217" s="201" t="s">
        <v>175</v>
      </c>
      <c r="E217" s="121"/>
      <c r="F217" s="121"/>
      <c r="G217" s="121"/>
      <c r="H217" s="121"/>
      <c r="I217" s="242"/>
      <c r="J217" s="242"/>
      <c r="K217" s="242"/>
      <c r="L217" s="242"/>
      <c r="M217" s="242"/>
      <c r="N217" s="242"/>
      <c r="O217" s="242"/>
      <c r="P217" s="242"/>
      <c r="Q217" s="242"/>
      <c r="R217" s="242"/>
      <c r="S217" s="242"/>
      <c r="T217" s="1"/>
      <c r="U217" s="1"/>
      <c r="V217" s="1"/>
      <c r="W217" s="1"/>
      <c r="X217" s="1"/>
      <c r="Y217" s="1"/>
      <c r="Z217" s="1"/>
    </row>
    <row r="218" spans="1:26" ht="15.75" customHeight="1" outlineLevel="2">
      <c r="A218" s="1"/>
      <c r="B218" s="1"/>
      <c r="C218" s="19" t="s">
        <v>256</v>
      </c>
      <c r="D218" s="201" t="s">
        <v>175</v>
      </c>
      <c r="E218" s="121"/>
      <c r="F218" s="121"/>
      <c r="G218" s="121"/>
      <c r="H218" s="121"/>
      <c r="I218" s="242"/>
      <c r="J218" s="242"/>
      <c r="K218" s="242"/>
      <c r="L218" s="242"/>
      <c r="M218" s="242"/>
      <c r="N218" s="242"/>
      <c r="O218" s="242"/>
      <c r="P218" s="242"/>
      <c r="Q218" s="242"/>
      <c r="R218" s="242"/>
      <c r="S218" s="242"/>
      <c r="T218" s="1"/>
      <c r="U218" s="1"/>
      <c r="V218" s="1"/>
      <c r="W218" s="1"/>
      <c r="X218" s="1"/>
      <c r="Y218" s="1"/>
      <c r="Z218" s="1"/>
    </row>
    <row r="219" spans="1:26" ht="15.75" customHeight="1" outlineLevel="2">
      <c r="A219" s="1"/>
      <c r="B219" s="1"/>
      <c r="C219" s="19" t="s">
        <v>257</v>
      </c>
      <c r="D219" s="201" t="s">
        <v>175</v>
      </c>
      <c r="E219" s="121"/>
      <c r="F219" s="121"/>
      <c r="G219" s="121"/>
      <c r="H219" s="121"/>
      <c r="I219" s="242"/>
      <c r="J219" s="242"/>
      <c r="K219" s="242"/>
      <c r="L219" s="242"/>
      <c r="M219" s="242"/>
      <c r="N219" s="242"/>
      <c r="O219" s="242"/>
      <c r="P219" s="242"/>
      <c r="Q219" s="242"/>
      <c r="R219" s="242"/>
      <c r="S219" s="242"/>
      <c r="T219" s="1"/>
      <c r="U219" s="1"/>
      <c r="V219" s="1"/>
      <c r="W219" s="1"/>
      <c r="X219" s="1"/>
      <c r="Y219" s="1"/>
      <c r="Z219" s="1"/>
    </row>
    <row r="220" spans="1:26" ht="15.75" customHeight="1" outlineLevel="2">
      <c r="A220" s="1"/>
      <c r="B220" s="1"/>
      <c r="C220" s="19" t="s">
        <v>258</v>
      </c>
      <c r="D220" s="201" t="s">
        <v>175</v>
      </c>
      <c r="E220" s="121"/>
      <c r="F220" s="121"/>
      <c r="G220" s="121"/>
      <c r="H220" s="121"/>
      <c r="I220" s="242"/>
      <c r="J220" s="242"/>
      <c r="K220" s="242"/>
      <c r="L220" s="242"/>
      <c r="M220" s="242"/>
      <c r="N220" s="242"/>
      <c r="O220" s="242"/>
      <c r="P220" s="242"/>
      <c r="Q220" s="242"/>
      <c r="R220" s="242"/>
      <c r="S220" s="242"/>
      <c r="T220" s="1"/>
      <c r="U220" s="1"/>
      <c r="V220" s="1"/>
      <c r="W220" s="1"/>
      <c r="X220" s="1"/>
      <c r="Y220" s="1"/>
      <c r="Z220" s="1"/>
    </row>
    <row r="221" spans="1:26" ht="15.75" customHeight="1" outlineLevel="2">
      <c r="A221" s="1"/>
      <c r="B221" s="1"/>
      <c r="C221" s="19" t="s">
        <v>259</v>
      </c>
      <c r="D221" s="201" t="s">
        <v>175</v>
      </c>
      <c r="E221" s="121"/>
      <c r="F221" s="121"/>
      <c r="G221" s="121"/>
      <c r="H221" s="121"/>
      <c r="I221" s="242"/>
      <c r="J221" s="242"/>
      <c r="K221" s="242"/>
      <c r="L221" s="242"/>
      <c r="M221" s="242"/>
      <c r="N221" s="242"/>
      <c r="O221" s="242"/>
      <c r="P221" s="242"/>
      <c r="Q221" s="242"/>
      <c r="R221" s="242"/>
      <c r="S221" s="242"/>
      <c r="T221" s="1"/>
      <c r="U221" s="1"/>
      <c r="V221" s="1"/>
      <c r="W221" s="1"/>
      <c r="X221" s="1"/>
      <c r="Y221" s="1"/>
      <c r="Z221" s="1"/>
    </row>
    <row r="222" spans="1:26" ht="15.75" customHeight="1" outlineLevel="2">
      <c r="A222" s="1"/>
      <c r="B222" s="1"/>
      <c r="C222" s="19" t="s">
        <v>260</v>
      </c>
      <c r="D222" s="201" t="s">
        <v>175</v>
      </c>
      <c r="E222" s="121"/>
      <c r="F222" s="121"/>
      <c r="G222" s="121"/>
      <c r="H222" s="121"/>
      <c r="I222" s="242"/>
      <c r="J222" s="242"/>
      <c r="K222" s="242"/>
      <c r="L222" s="242"/>
      <c r="M222" s="242"/>
      <c r="N222" s="242"/>
      <c r="O222" s="242"/>
      <c r="P222" s="242"/>
      <c r="Q222" s="242"/>
      <c r="R222" s="242"/>
      <c r="S222" s="242"/>
      <c r="T222" s="1"/>
      <c r="U222" s="1"/>
      <c r="V222" s="1"/>
      <c r="W222" s="1"/>
      <c r="X222" s="1"/>
      <c r="Y222" s="1"/>
      <c r="Z222" s="1"/>
    </row>
    <row r="223" spans="1:26" ht="15.75" customHeight="1" outlineLevel="2">
      <c r="A223" s="1"/>
      <c r="B223" s="1"/>
      <c r="C223" s="266" t="s">
        <v>261</v>
      </c>
      <c r="D223" s="287" t="s">
        <v>175</v>
      </c>
      <c r="E223" s="288"/>
      <c r="F223" s="288"/>
      <c r="G223" s="288"/>
      <c r="H223" s="288"/>
      <c r="I223" s="295"/>
      <c r="J223" s="295"/>
      <c r="K223" s="295"/>
      <c r="L223" s="295"/>
      <c r="M223" s="295"/>
      <c r="N223" s="295"/>
      <c r="O223" s="295"/>
      <c r="P223" s="295"/>
      <c r="Q223" s="295"/>
      <c r="R223" s="295"/>
      <c r="S223" s="295"/>
      <c r="T223" s="1"/>
      <c r="U223" s="1"/>
      <c r="V223" s="1"/>
      <c r="W223" s="1"/>
      <c r="X223" s="1"/>
      <c r="Y223" s="1"/>
      <c r="Z223" s="1"/>
    </row>
    <row r="224" spans="1:26" ht="15.75" customHeight="1" outlineLevel="1">
      <c r="A224" s="1"/>
      <c r="B224" s="1"/>
      <c r="C224" s="3" t="s">
        <v>262</v>
      </c>
      <c r="D224" s="201" t="s">
        <v>175</v>
      </c>
      <c r="E224" s="291">
        <f t="shared" ref="E224:H224" si="57">SUM(E215:E223)</f>
        <v>0</v>
      </c>
      <c r="F224" s="291">
        <f t="shared" si="57"/>
        <v>0</v>
      </c>
      <c r="G224" s="291">
        <f t="shared" si="57"/>
        <v>0</v>
      </c>
      <c r="H224" s="291">
        <f t="shared" si="57"/>
        <v>0</v>
      </c>
      <c r="I224" s="291" t="e">
        <f>(I187-H187)*#REF!</f>
        <v>#REF!</v>
      </c>
      <c r="J224" s="291" t="e">
        <f>(J187-I187)*#REF!</f>
        <v>#REF!</v>
      </c>
      <c r="K224" s="291" t="e">
        <f>(K187-J187)*#REF!</f>
        <v>#REF!</v>
      </c>
      <c r="L224" s="291" t="e">
        <f>(L187-K187)*#REF!</f>
        <v>#REF!</v>
      </c>
      <c r="M224" s="291" t="e">
        <f>(M187-L187)*#REF!</f>
        <v>#REF!</v>
      </c>
      <c r="N224" s="291" t="e">
        <f>(N187-M187)*#REF!</f>
        <v>#REF!</v>
      </c>
      <c r="O224" s="291" t="e">
        <f>(O187-N187)*#REF!</f>
        <v>#REF!</v>
      </c>
      <c r="P224" s="291" t="e">
        <f>(P187-O187)*#REF!</f>
        <v>#REF!</v>
      </c>
      <c r="Q224" s="291" t="e">
        <f>(Q187-P187)*#REF!</f>
        <v>#REF!</v>
      </c>
      <c r="R224" s="291" t="e">
        <f>(R187-Q187)*#REF!</f>
        <v>#REF!</v>
      </c>
      <c r="S224" s="291">
        <f>(S187-R187)*S225</f>
        <v>-22.737163247999995</v>
      </c>
      <c r="T224" s="1"/>
      <c r="U224" s="1"/>
      <c r="V224" s="1"/>
      <c r="W224" s="1"/>
      <c r="X224" s="1"/>
      <c r="Y224" s="1"/>
      <c r="Z224" s="1"/>
    </row>
    <row r="225" spans="1:26" ht="15.75" customHeight="1" outlineLevel="1">
      <c r="A225" s="1"/>
      <c r="B225" s="1"/>
      <c r="C225" s="236" t="s">
        <v>263</v>
      </c>
      <c r="D225" s="201" t="s">
        <v>177</v>
      </c>
      <c r="E225" s="183">
        <f>+E224/(E187-585.98)</f>
        <v>0</v>
      </c>
      <c r="F225" s="183">
        <f>+F224/(F187-E187)</f>
        <v>0</v>
      </c>
      <c r="G225" s="183">
        <f>+G224/(G187-F187)</f>
        <v>0</v>
      </c>
      <c r="H225" s="183">
        <f>+H224/(H187-G187)</f>
        <v>0</v>
      </c>
      <c r="I225" s="183" t="e">
        <f>+I224/(I187-H187)</f>
        <v>#REF!</v>
      </c>
      <c r="J225" s="183" t="e">
        <f>+J224/(J187-I187)</f>
        <v>#REF!</v>
      </c>
      <c r="K225" s="183" t="e">
        <f>+K224/(K187-J187)</f>
        <v>#REF!</v>
      </c>
      <c r="L225" s="183" t="e">
        <f>+L224/(L187-K187)</f>
        <v>#REF!</v>
      </c>
      <c r="M225" s="183" t="e">
        <f>+M224/(M187-L187)</f>
        <v>#REF!</v>
      </c>
      <c r="N225" s="183" t="e">
        <f>+N224/(N187-M187)</f>
        <v>#REF!</v>
      </c>
      <c r="O225" s="183" t="e">
        <f>+O224/(O187-N187)</f>
        <v>#REF!</v>
      </c>
      <c r="P225" s="183" t="e">
        <f>+P224/(P187-O187)</f>
        <v>#REF!</v>
      </c>
      <c r="Q225" s="183" t="e">
        <f>+Q224/(Q187-P187)</f>
        <v>#REF!</v>
      </c>
      <c r="R225" s="183" t="e">
        <f>+R224/(R187-Q187)</f>
        <v>#REF!</v>
      </c>
      <c r="S225" s="278">
        <v>-0.12</v>
      </c>
      <c r="T225" s="1"/>
      <c r="U225" s="1"/>
      <c r="V225" s="1"/>
      <c r="W225" s="1"/>
      <c r="X225" s="1"/>
      <c r="Y225" s="1"/>
      <c r="Z225" s="1"/>
    </row>
    <row r="226" spans="1:26" ht="15.75" customHeight="1" outlineLevel="1">
      <c r="A226" s="1"/>
      <c r="B226" s="1"/>
      <c r="C226" s="1"/>
      <c r="D226" s="72"/>
      <c r="E226" s="242"/>
      <c r="F226" s="242"/>
      <c r="G226" s="242"/>
      <c r="H226" s="242"/>
      <c r="I226" s="242"/>
      <c r="J226" s="242"/>
      <c r="K226" s="242"/>
      <c r="L226" s="242"/>
      <c r="M226" s="242"/>
      <c r="N226" s="242"/>
      <c r="O226" s="242"/>
      <c r="P226" s="242"/>
      <c r="Q226" s="242"/>
      <c r="R226" s="242"/>
      <c r="S226" s="242"/>
      <c r="T226" s="1"/>
      <c r="U226" s="1"/>
      <c r="V226" s="1"/>
      <c r="W226" s="1"/>
      <c r="X226" s="1"/>
      <c r="Y226" s="1"/>
      <c r="Z226" s="1"/>
    </row>
    <row r="227" spans="1:26" ht="15.75" customHeight="1" outlineLevel="1">
      <c r="A227" s="1"/>
      <c r="B227" s="1"/>
      <c r="C227" s="3" t="s">
        <v>264</v>
      </c>
      <c r="D227" s="201" t="s">
        <v>175</v>
      </c>
      <c r="E227" s="296">
        <f>+E118</f>
        <v>-136</v>
      </c>
      <c r="F227" s="296">
        <f t="shared" ref="F227:R227" si="58">+F118</f>
        <v>-155</v>
      </c>
      <c r="G227" s="296">
        <f t="shared" si="58"/>
        <v>-131</v>
      </c>
      <c r="H227" s="296">
        <f t="shared" si="58"/>
        <v>-116</v>
      </c>
      <c r="I227" s="291">
        <f t="shared" si="58"/>
        <v>-111.12634728</v>
      </c>
      <c r="J227" s="291">
        <f t="shared" si="58"/>
        <v>-107.86409275</v>
      </c>
      <c r="K227" s="291">
        <f t="shared" si="58"/>
        <v>-119.00274712000001</v>
      </c>
      <c r="L227" s="291">
        <f t="shared" si="58"/>
        <v>-123.11882758499999</v>
      </c>
      <c r="M227" s="291">
        <f t="shared" si="58"/>
        <v>-127.35789400000002</v>
      </c>
      <c r="N227" s="291">
        <f t="shared" si="58"/>
        <v>-127.4723712</v>
      </c>
      <c r="O227" s="291">
        <f t="shared" si="58"/>
        <v>-128.163614</v>
      </c>
      <c r="P227" s="291">
        <f t="shared" si="58"/>
        <v>-127.40430980000001</v>
      </c>
      <c r="Q227" s="291">
        <f t="shared" si="58"/>
        <v>-127.9956308</v>
      </c>
      <c r="R227" s="291">
        <f t="shared" si="58"/>
        <v>-126.3175736</v>
      </c>
      <c r="S227" s="291">
        <f>-S228*S187</f>
        <v>-117.09639072719999</v>
      </c>
      <c r="T227" s="1"/>
      <c r="U227" s="1"/>
      <c r="V227" s="1"/>
      <c r="W227" s="1"/>
      <c r="X227" s="1"/>
      <c r="Y227" s="1"/>
      <c r="Z227" s="1"/>
    </row>
    <row r="228" spans="1:26" ht="15.75" customHeight="1" outlineLevel="1">
      <c r="A228" s="1"/>
      <c r="B228" s="1"/>
      <c r="C228" s="236" t="s">
        <v>265</v>
      </c>
      <c r="D228" s="201" t="s">
        <v>177</v>
      </c>
      <c r="E228" s="183">
        <f>-E227/E187</f>
        <v>2.0427705964819996E-2</v>
      </c>
      <c r="F228" s="183">
        <f>-F227/F187</f>
        <v>2.4395975325123588E-2</v>
      </c>
      <c r="G228" s="183">
        <f>-G227/G187</f>
        <v>1.8638930541760693E-2</v>
      </c>
      <c r="H228" s="183">
        <f>-H227/H187</f>
        <v>1.6004391494651018E-2</v>
      </c>
      <c r="I228" s="183">
        <f>-I227/I187</f>
        <v>1.7999999999999999E-2</v>
      </c>
      <c r="J228" s="183">
        <f>-J227/J187</f>
        <v>1.8499999999999999E-2</v>
      </c>
      <c r="K228" s="183">
        <f>-K227/K187</f>
        <v>1.9E-2</v>
      </c>
      <c r="L228" s="183">
        <f>-L227/L187</f>
        <v>1.95E-2</v>
      </c>
      <c r="M228" s="183">
        <f>-M227/M187</f>
        <v>0.02</v>
      </c>
      <c r="N228" s="183">
        <f>-N227/N187</f>
        <v>0.02</v>
      </c>
      <c r="O228" s="183">
        <f>-O227/O187</f>
        <v>0.02</v>
      </c>
      <c r="P228" s="183">
        <f>-P227/P187</f>
        <v>0.02</v>
      </c>
      <c r="Q228" s="183">
        <f>-Q227/Q187</f>
        <v>0.02</v>
      </c>
      <c r="R228" s="183">
        <f>-R227/R187</f>
        <v>0.02</v>
      </c>
      <c r="S228" s="278">
        <v>1.7999999999999999E-2</v>
      </c>
      <c r="T228" s="1"/>
      <c r="U228" s="1"/>
      <c r="V228" s="1"/>
      <c r="W228" s="1"/>
      <c r="X228" s="1"/>
      <c r="Y228" s="1"/>
      <c r="Z228" s="1"/>
    </row>
    <row r="229" spans="1:26" ht="15.75" customHeight="1" outlineLevel="1">
      <c r="A229" s="1"/>
      <c r="B229" s="1"/>
      <c r="C229" s="1"/>
      <c r="D229" s="72"/>
      <c r="E229" s="242"/>
      <c r="F229" s="242"/>
      <c r="G229" s="242"/>
      <c r="H229" s="242"/>
      <c r="I229" s="242"/>
      <c r="J229" s="242"/>
      <c r="K229" s="242"/>
      <c r="L229" s="242"/>
      <c r="M229" s="242"/>
      <c r="N229" s="242"/>
      <c r="O229" s="242"/>
      <c r="P229" s="242"/>
      <c r="Q229" s="242"/>
      <c r="R229" s="242"/>
      <c r="S229" s="242"/>
      <c r="T229" s="1"/>
      <c r="U229" s="1"/>
      <c r="V229" s="1"/>
      <c r="W229" s="1"/>
      <c r="X229" s="1"/>
      <c r="Y229" s="1"/>
      <c r="Z229" s="1"/>
    </row>
    <row r="230" spans="1:26" ht="15.75" customHeight="1" outlineLevel="1">
      <c r="A230" s="1"/>
      <c r="B230" s="1"/>
      <c r="C230" s="297" t="s">
        <v>266</v>
      </c>
      <c r="D230" s="298" t="s">
        <v>175</v>
      </c>
      <c r="E230" s="299">
        <f t="shared" ref="E230:S230" si="59">+E205+E212+E224+E227</f>
        <v>1033.9483127287172</v>
      </c>
      <c r="F230" s="299">
        <f t="shared" si="59"/>
        <v>366.63420670000039</v>
      </c>
      <c r="G230" s="299">
        <f t="shared" si="59"/>
        <v>1103.2113239439996</v>
      </c>
      <c r="H230" s="299">
        <f t="shared" si="59"/>
        <v>1902.6424062650001</v>
      </c>
      <c r="I230" s="299" t="e">
        <f t="shared" si="59"/>
        <v>#REF!</v>
      </c>
      <c r="J230" s="299" t="e">
        <f t="shared" si="59"/>
        <v>#REF!</v>
      </c>
      <c r="K230" s="299" t="e">
        <f t="shared" si="59"/>
        <v>#REF!</v>
      </c>
      <c r="L230" s="299" t="e">
        <f t="shared" si="59"/>
        <v>#REF!</v>
      </c>
      <c r="M230" s="299" t="e">
        <f t="shared" si="59"/>
        <v>#REF!</v>
      </c>
      <c r="N230" s="299" t="e">
        <f t="shared" si="59"/>
        <v>#REF!</v>
      </c>
      <c r="O230" s="299" t="e">
        <f t="shared" si="59"/>
        <v>#REF!</v>
      </c>
      <c r="P230" s="299" t="e">
        <f t="shared" si="59"/>
        <v>#REF!</v>
      </c>
      <c r="Q230" s="299" t="e">
        <f t="shared" si="59"/>
        <v>#REF!</v>
      </c>
      <c r="R230" s="299" t="e">
        <f t="shared" si="59"/>
        <v>#REF!</v>
      </c>
      <c r="S230" s="299">
        <f t="shared" si="59"/>
        <v>1525.3109500117939</v>
      </c>
      <c r="T230" s="1"/>
      <c r="U230" s="1"/>
      <c r="V230" s="1"/>
      <c r="W230" s="1"/>
      <c r="X230" s="1"/>
      <c r="Y230" s="1"/>
      <c r="Z230" s="1"/>
    </row>
    <row r="231" spans="1:26" ht="15.75" customHeight="1" outlineLevel="1">
      <c r="A231" s="1"/>
      <c r="B231" s="1"/>
      <c r="C231" s="3" t="s">
        <v>267</v>
      </c>
      <c r="D231" s="201" t="s">
        <v>175</v>
      </c>
      <c r="E231" s="291"/>
      <c r="F231" s="291"/>
      <c r="G231" s="291"/>
      <c r="H231" s="291"/>
      <c r="I231" s="291" t="e">
        <f>+I230-'H1-Results'!I37</f>
        <v>#REF!</v>
      </c>
      <c r="J231" s="291" t="e">
        <f t="shared" ref="J231:S231" si="60">+J230</f>
        <v>#REF!</v>
      </c>
      <c r="K231" s="291" t="e">
        <f t="shared" si="60"/>
        <v>#REF!</v>
      </c>
      <c r="L231" s="291" t="e">
        <f t="shared" si="60"/>
        <v>#REF!</v>
      </c>
      <c r="M231" s="291" t="e">
        <f t="shared" si="60"/>
        <v>#REF!</v>
      </c>
      <c r="N231" s="291" t="e">
        <f t="shared" si="60"/>
        <v>#REF!</v>
      </c>
      <c r="O231" s="291" t="e">
        <f t="shared" si="60"/>
        <v>#REF!</v>
      </c>
      <c r="P231" s="291" t="e">
        <f t="shared" si="60"/>
        <v>#REF!</v>
      </c>
      <c r="Q231" s="291" t="e">
        <f t="shared" si="60"/>
        <v>#REF!</v>
      </c>
      <c r="R231" s="291" t="e">
        <f t="shared" si="60"/>
        <v>#REF!</v>
      </c>
      <c r="S231" s="291">
        <f t="shared" si="60"/>
        <v>1525.3109500117939</v>
      </c>
      <c r="T231" s="1"/>
      <c r="U231" s="1"/>
      <c r="V231" s="1"/>
      <c r="W231" s="1"/>
      <c r="X231" s="1"/>
      <c r="Y231" s="1"/>
      <c r="Z231" s="1"/>
    </row>
    <row r="232" spans="1:26" ht="15.75" customHeight="1" outlineLevel="1">
      <c r="A232" s="1"/>
      <c r="B232" s="1"/>
      <c r="C232" s="3"/>
      <c r="D232" s="201"/>
      <c r="E232" s="291"/>
      <c r="F232" s="291"/>
      <c r="G232" s="291"/>
      <c r="H232" s="291"/>
      <c r="I232" s="291"/>
      <c r="J232" s="291"/>
      <c r="K232" s="291"/>
      <c r="L232" s="291"/>
      <c r="M232" s="291"/>
      <c r="N232" s="291"/>
      <c r="O232" s="291"/>
      <c r="P232" s="291"/>
      <c r="Q232" s="291"/>
      <c r="R232" s="291"/>
      <c r="S232" s="291"/>
      <c r="T232" s="1"/>
      <c r="U232" s="1"/>
      <c r="V232" s="1"/>
      <c r="W232" s="1"/>
      <c r="X232" s="1"/>
      <c r="Y232" s="1"/>
      <c r="Z232" s="1"/>
    </row>
    <row r="233" spans="1:26" ht="15.75" customHeight="1" outlineLevel="1">
      <c r="A233" s="1"/>
      <c r="B233" s="1"/>
      <c r="C233" s="3" t="s">
        <v>268</v>
      </c>
      <c r="D233" s="201" t="s">
        <v>175</v>
      </c>
      <c r="E233" s="72"/>
      <c r="F233" s="72"/>
      <c r="G233" s="1"/>
      <c r="H233" s="1"/>
      <c r="I233" s="291" t="e">
        <f>+I231*#REF!</f>
        <v>#REF!</v>
      </c>
      <c r="J233" s="291" t="e">
        <f>+J231*#REF!</f>
        <v>#REF!</v>
      </c>
      <c r="K233" s="291" t="e">
        <f>+K231*#REF!</f>
        <v>#REF!</v>
      </c>
      <c r="L233" s="291" t="e">
        <f>+L231*#REF!</f>
        <v>#REF!</v>
      </c>
      <c r="M233" s="291" t="e">
        <f>+M231*#REF!</f>
        <v>#REF!</v>
      </c>
      <c r="N233" s="291" t="e">
        <f>+N231*#REF!</f>
        <v>#REF!</v>
      </c>
      <c r="O233" s="291" t="e">
        <f>+O231*#REF!</f>
        <v>#REF!</v>
      </c>
      <c r="P233" s="291" t="e">
        <f>+P231*#REF!</f>
        <v>#REF!</v>
      </c>
      <c r="Q233" s="291" t="e">
        <f>+Q231*#REF!</f>
        <v>#REF!</v>
      </c>
      <c r="R233" s="291" t="e">
        <f>+R231*#REF!</f>
        <v>#REF!</v>
      </c>
      <c r="S233" s="291"/>
      <c r="T233" s="1"/>
      <c r="U233" s="1"/>
      <c r="V233" s="1"/>
      <c r="W233" s="1"/>
      <c r="X233" s="1"/>
      <c r="Y233" s="1"/>
      <c r="Z233" s="1"/>
    </row>
    <row r="234" spans="1:26" ht="15.75" customHeight="1" outlineLevel="1">
      <c r="A234" s="1"/>
      <c r="B234" s="1"/>
      <c r="C234" s="1"/>
      <c r="D234" s="72"/>
      <c r="E234" s="72"/>
      <c r="F234" s="72"/>
      <c r="G234" s="1"/>
      <c r="H234" s="1"/>
      <c r="I234" s="300"/>
      <c r="J234" s="300"/>
      <c r="K234" s="300"/>
      <c r="L234" s="300"/>
      <c r="M234" s="300"/>
      <c r="N234" s="300"/>
      <c r="O234" s="300"/>
      <c r="P234" s="300"/>
      <c r="Q234" s="300"/>
      <c r="R234" s="300"/>
      <c r="S234" s="300"/>
      <c r="T234" s="1"/>
      <c r="U234" s="1"/>
      <c r="V234" s="1"/>
      <c r="W234" s="1"/>
      <c r="X234" s="1"/>
      <c r="Y234" s="1"/>
      <c r="Z234" s="1"/>
    </row>
    <row r="235" spans="1:26" ht="15.75" customHeight="1" outlineLevel="1">
      <c r="A235" s="1"/>
      <c r="B235" s="1"/>
      <c r="C235" s="1" t="s">
        <v>269</v>
      </c>
      <c r="D235" s="201" t="s">
        <v>177</v>
      </c>
      <c r="E235" s="72"/>
      <c r="F235" s="72"/>
      <c r="G235" s="1"/>
      <c r="H235" s="1"/>
      <c r="I235" s="301">
        <f>+Initial_Discount_Rate</f>
        <v>0</v>
      </c>
      <c r="J235" s="301" t="e">
        <f t="shared" ref="J235:R235" si="61">+I235+(Final_Discount_Rate-Initial_Discount_Rate)/Num_Years</f>
        <v>#DIV/0!</v>
      </c>
      <c r="K235" s="301" t="e">
        <f t="shared" si="61"/>
        <v>#DIV/0!</v>
      </c>
      <c r="L235" s="301" t="e">
        <f t="shared" si="61"/>
        <v>#DIV/0!</v>
      </c>
      <c r="M235" s="301" t="e">
        <f t="shared" si="61"/>
        <v>#DIV/0!</v>
      </c>
      <c r="N235" s="301" t="e">
        <f t="shared" si="61"/>
        <v>#DIV/0!</v>
      </c>
      <c r="O235" s="301" t="e">
        <f t="shared" si="61"/>
        <v>#DIV/0!</v>
      </c>
      <c r="P235" s="301" t="e">
        <f t="shared" si="61"/>
        <v>#DIV/0!</v>
      </c>
      <c r="Q235" s="301" t="e">
        <f t="shared" si="61"/>
        <v>#DIV/0!</v>
      </c>
      <c r="R235" s="301" t="e">
        <f t="shared" si="61"/>
        <v>#DIV/0!</v>
      </c>
      <c r="S235" s="301">
        <f>+Final_Discount_Rate</f>
        <v>0</v>
      </c>
      <c r="T235" s="1"/>
      <c r="U235" s="1"/>
      <c r="V235" s="1"/>
      <c r="W235" s="1"/>
      <c r="X235" s="1"/>
      <c r="Y235" s="1"/>
      <c r="Z235" s="1"/>
    </row>
    <row r="236" spans="1:26" ht="15.75" customHeight="1" outlineLevel="1">
      <c r="A236" s="1"/>
      <c r="B236" s="1"/>
      <c r="C236" s="1" t="s">
        <v>270</v>
      </c>
      <c r="D236" s="201" t="s">
        <v>271</v>
      </c>
      <c r="E236" s="72"/>
      <c r="F236" s="72"/>
      <c r="G236" s="1"/>
      <c r="H236" s="1"/>
      <c r="I236" s="300">
        <f>1/((1+I$235)^I238)</f>
        <v>1</v>
      </c>
      <c r="J236" s="300" t="e">
        <f t="shared" ref="J236:S236" si="62">+I236*1/(1+J$235)</f>
        <v>#DIV/0!</v>
      </c>
      <c r="K236" s="300" t="e">
        <f t="shared" si="62"/>
        <v>#DIV/0!</v>
      </c>
      <c r="L236" s="300" t="e">
        <f t="shared" si="62"/>
        <v>#DIV/0!</v>
      </c>
      <c r="M236" s="300" t="e">
        <f t="shared" si="62"/>
        <v>#DIV/0!</v>
      </c>
      <c r="N236" s="300" t="e">
        <f t="shared" si="62"/>
        <v>#DIV/0!</v>
      </c>
      <c r="O236" s="300" t="e">
        <f t="shared" si="62"/>
        <v>#DIV/0!</v>
      </c>
      <c r="P236" s="300" t="e">
        <f t="shared" si="62"/>
        <v>#DIV/0!</v>
      </c>
      <c r="Q236" s="300" t="e">
        <f t="shared" si="62"/>
        <v>#DIV/0!</v>
      </c>
      <c r="R236" s="300" t="e">
        <f t="shared" si="62"/>
        <v>#DIV/0!</v>
      </c>
      <c r="S236" s="300" t="e">
        <f t="shared" si="62"/>
        <v>#DIV/0!</v>
      </c>
      <c r="T236" s="1"/>
      <c r="U236" s="1"/>
      <c r="V236" s="1"/>
      <c r="W236" s="1"/>
      <c r="X236" s="1"/>
      <c r="Y236" s="1"/>
      <c r="Z236" s="1"/>
    </row>
    <row r="237" spans="1:26" ht="15.75" customHeight="1" outlineLevel="1">
      <c r="A237" s="1"/>
      <c r="B237" s="1"/>
      <c r="C237" s="1"/>
      <c r="D237" s="72"/>
      <c r="E237" s="72"/>
      <c r="F237" s="72"/>
      <c r="G237" s="1"/>
      <c r="H237" s="1"/>
      <c r="I237" s="1"/>
      <c r="J237" s="21"/>
      <c r="K237" s="1"/>
      <c r="L237" s="1"/>
      <c r="M237" s="1"/>
      <c r="N237" s="1"/>
      <c r="O237" s="1"/>
      <c r="P237" s="1"/>
      <c r="Q237" s="1"/>
      <c r="R237" s="1"/>
      <c r="S237" s="1"/>
      <c r="T237" s="1"/>
      <c r="U237" s="1"/>
      <c r="V237" s="1"/>
      <c r="W237" s="1"/>
      <c r="X237" s="1"/>
      <c r="Y237" s="1"/>
      <c r="Z237" s="1"/>
    </row>
    <row r="238" spans="1:26" ht="15.75" customHeight="1" outlineLevel="1">
      <c r="A238" s="1"/>
      <c r="B238" s="1"/>
      <c r="C238" s="1" t="s">
        <v>273</v>
      </c>
      <c r="D238" s="201" t="s">
        <v>271</v>
      </c>
      <c r="E238" s="72"/>
      <c r="F238" s="72"/>
      <c r="G238" s="1"/>
      <c r="H238" s="1"/>
      <c r="I238" s="302">
        <f>+Stub_Period</f>
        <v>0</v>
      </c>
      <c r="J238" s="302">
        <f t="shared" ref="J238:S238" si="63">+I238+1</f>
        <v>1</v>
      </c>
      <c r="K238" s="302">
        <f t="shared" si="63"/>
        <v>2</v>
      </c>
      <c r="L238" s="302">
        <f t="shared" si="63"/>
        <v>3</v>
      </c>
      <c r="M238" s="302">
        <f t="shared" si="63"/>
        <v>4</v>
      </c>
      <c r="N238" s="302">
        <f t="shared" si="63"/>
        <v>5</v>
      </c>
      <c r="O238" s="302">
        <f t="shared" si="63"/>
        <v>6</v>
      </c>
      <c r="P238" s="302">
        <f t="shared" si="63"/>
        <v>7</v>
      </c>
      <c r="Q238" s="302">
        <f t="shared" si="63"/>
        <v>8</v>
      </c>
      <c r="R238" s="302">
        <f t="shared" si="63"/>
        <v>9</v>
      </c>
      <c r="S238" s="302">
        <f t="shared" si="63"/>
        <v>10</v>
      </c>
      <c r="T238" s="1"/>
      <c r="U238" s="1"/>
      <c r="V238" s="1"/>
      <c r="W238" s="1"/>
      <c r="X238" s="1"/>
      <c r="Y238" s="1"/>
      <c r="Z238" s="1"/>
    </row>
    <row r="239" spans="1:26" ht="15.75" customHeight="1" outlineLevel="1">
      <c r="A239" s="1"/>
      <c r="B239" s="1"/>
      <c r="C239" s="1"/>
      <c r="D239" s="72"/>
      <c r="E239" s="72"/>
      <c r="F239" s="72"/>
      <c r="G239" s="1"/>
      <c r="H239" s="1"/>
      <c r="I239" s="1"/>
      <c r="J239" s="1"/>
      <c r="K239" s="1"/>
      <c r="L239" s="1"/>
      <c r="M239" s="1"/>
      <c r="N239" s="1"/>
      <c r="O239" s="1"/>
      <c r="P239" s="1"/>
      <c r="Q239" s="1"/>
      <c r="R239" s="1"/>
      <c r="S239" s="1"/>
      <c r="T239" s="1"/>
      <c r="U239" s="1"/>
      <c r="V239" s="1"/>
      <c r="W239" s="1"/>
      <c r="X239" s="1"/>
      <c r="Y239" s="1"/>
      <c r="Z239" s="1"/>
    </row>
    <row r="240" spans="1:26" ht="15.75" customHeight="1" outlineLevel="1">
      <c r="A240" s="1"/>
      <c r="B240" s="1"/>
      <c r="C240" s="72" t="s">
        <v>280</v>
      </c>
      <c r="D240" s="201" t="s">
        <v>177</v>
      </c>
      <c r="E240" s="183" t="str">
        <f>IFERROR(+E230/D230-1,"N/A")</f>
        <v>N/A</v>
      </c>
      <c r="F240" s="183">
        <f>IFERROR(+F230/E230-1,"N/A")</f>
        <v>-0.64540373809169682</v>
      </c>
      <c r="G240" s="183">
        <f>IFERROR(+G230/F230-1,"N/A")</f>
        <v>2.0090245366731581</v>
      </c>
      <c r="H240" s="183">
        <f>IFERROR(+H230/G230-1,"N/A")</f>
        <v>0.72464002586831744</v>
      </c>
      <c r="I240" s="183" t="str">
        <f>IFERROR(+I230/H230-1,"N/A")</f>
        <v>N/A</v>
      </c>
      <c r="J240" s="183" t="str">
        <f>IFERROR(+J230/I230-1,"N/A")</f>
        <v>N/A</v>
      </c>
      <c r="K240" s="183" t="str">
        <f>IFERROR(+K230/J230-1,"N/A")</f>
        <v>N/A</v>
      </c>
      <c r="L240" s="183" t="str">
        <f>IFERROR(+L230/K230-1,"N/A")</f>
        <v>N/A</v>
      </c>
      <c r="M240" s="183" t="str">
        <f>IFERROR(+M230/L230-1,"N/A")</f>
        <v>N/A</v>
      </c>
      <c r="N240" s="183" t="str">
        <f>IFERROR(+N230/M230-1,"N/A")</f>
        <v>N/A</v>
      </c>
      <c r="O240" s="183" t="str">
        <f>IFERROR(+O230/N230-1,"N/A")</f>
        <v>N/A</v>
      </c>
      <c r="P240" s="183" t="str">
        <f>IFERROR(+P230/O230-1,"N/A")</f>
        <v>N/A</v>
      </c>
      <c r="Q240" s="183" t="str">
        <f>IFERROR(+Q230/P230-1,"N/A")</f>
        <v>N/A</v>
      </c>
      <c r="R240" s="183" t="str">
        <f>IFERROR(+R230/Q230-1,"N/A")</f>
        <v>N/A</v>
      </c>
      <c r="S240" s="183" t="str">
        <f>IFERROR(+S230/R230-1,"N/A")</f>
        <v>N/A</v>
      </c>
      <c r="T240" s="1"/>
      <c r="U240" s="1"/>
      <c r="V240" s="1"/>
      <c r="W240" s="1"/>
      <c r="X240" s="1"/>
      <c r="Y240" s="1"/>
      <c r="Z240" s="1"/>
    </row>
    <row r="241" spans="1:26" ht="15.75" customHeight="1" outlineLevel="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outlineLevel="1">
      <c r="A242" s="1"/>
      <c r="B242" s="1"/>
      <c r="C242" s="304" t="s">
        <v>285</v>
      </c>
      <c r="D242" s="305" t="s">
        <v>175</v>
      </c>
      <c r="E242" s="306">
        <f>+E200+E208+E209</f>
        <v>1447.7766523062951</v>
      </c>
      <c r="F242" s="306">
        <f>+F200+F208+F209</f>
        <v>645.50700000000052</v>
      </c>
      <c r="G242" s="306">
        <f>+G200+G208+G209</f>
        <v>1527.3002399999996</v>
      </c>
      <c r="H242" s="306">
        <f>+H200+H208+H209</f>
        <v>2498.0106500000002</v>
      </c>
      <c r="I242" s="306">
        <f>+I200+I208+I209</f>
        <v>1515.7358763571747</v>
      </c>
      <c r="J242" s="306">
        <f>+J200+J208+J209</f>
        <v>1402.3238437897976</v>
      </c>
      <c r="K242" s="306">
        <f>+K200+K208+K209</f>
        <v>1422.8329787193952</v>
      </c>
      <c r="L242" s="306">
        <f>+L200+L208+L209</f>
        <v>1434.3013151205505</v>
      </c>
      <c r="M242" s="306">
        <f>+M200+M208+M209</f>
        <v>1446.5931691953738</v>
      </c>
      <c r="N242" s="306">
        <f>+N200+N208+N209</f>
        <v>1447.8934571504233</v>
      </c>
      <c r="O242" s="306">
        <f>+O200+O208+O209</f>
        <v>1519.8267375167738</v>
      </c>
      <c r="P242" s="306">
        <f>+P200+P208+P209</f>
        <v>1510.8225374240019</v>
      </c>
      <c r="Q242" s="306">
        <f>+Q200+Q208+Q209</f>
        <v>1517.834710678223</v>
      </c>
      <c r="R242" s="306">
        <f>+R200+R208+R209</f>
        <v>1497.9354887380359</v>
      </c>
      <c r="S242" s="306">
        <f>+S200+S208+S209</f>
        <v>2029.6707726047998</v>
      </c>
      <c r="T242" s="1"/>
      <c r="U242" s="1"/>
      <c r="V242" s="1"/>
      <c r="W242" s="1"/>
      <c r="X242" s="1"/>
      <c r="Y242" s="1"/>
      <c r="Z242" s="1"/>
    </row>
    <row r="243" spans="1:26" ht="15.75" customHeight="1" outlineLevel="1">
      <c r="A243" s="1"/>
      <c r="B243" s="1"/>
      <c r="C243" s="236" t="s">
        <v>287</v>
      </c>
      <c r="D243" s="201" t="s">
        <v>177</v>
      </c>
      <c r="E243" s="183" t="str">
        <f t="shared" ref="E243:S243" si="64">IFERROR(+E242/D242-1,"N/A")</f>
        <v>N/A</v>
      </c>
      <c r="F243" s="183">
        <f t="shared" si="64"/>
        <v>-0.55413910082628171</v>
      </c>
      <c r="G243" s="183">
        <f t="shared" si="64"/>
        <v>1.3660475254334941</v>
      </c>
      <c r="H243" s="183">
        <f t="shared" si="64"/>
        <v>0.63557274763474192</v>
      </c>
      <c r="I243" s="183">
        <f t="shared" si="64"/>
        <v>-0.39322281257801095</v>
      </c>
      <c r="J243" s="183">
        <f t="shared" si="64"/>
        <v>-7.4823083847526561E-2</v>
      </c>
      <c r="K243" s="183">
        <f t="shared" si="64"/>
        <v>1.4625106048379966E-2</v>
      </c>
      <c r="L243" s="183">
        <f t="shared" si="64"/>
        <v>8.0602126691478038E-3</v>
      </c>
      <c r="M243" s="183">
        <f t="shared" si="64"/>
        <v>8.5699245655297407E-3</v>
      </c>
      <c r="N243" s="183">
        <f t="shared" si="64"/>
        <v>8.9886222521906589E-4</v>
      </c>
      <c r="O243" s="183">
        <f t="shared" si="64"/>
        <v>4.9681335329687437E-2</v>
      </c>
      <c r="P243" s="183">
        <f t="shared" si="64"/>
        <v>-5.9244911742267758E-3</v>
      </c>
      <c r="Q243" s="183">
        <f t="shared" si="64"/>
        <v>4.6412951094687571E-3</v>
      </c>
      <c r="R243" s="183">
        <f t="shared" si="64"/>
        <v>-1.3110269385851248E-2</v>
      </c>
      <c r="S243" s="183">
        <f t="shared" si="64"/>
        <v>0.35497876101108616</v>
      </c>
      <c r="T243" s="1"/>
      <c r="U243" s="1"/>
      <c r="V243" s="1"/>
      <c r="W243" s="1"/>
      <c r="X243" s="1"/>
      <c r="Y243" s="1"/>
      <c r="Z243" s="1"/>
    </row>
    <row r="244" spans="1:26" ht="15.75" customHeight="1" outlineLevel="1">
      <c r="A244" s="1"/>
      <c r="B244" s="1"/>
      <c r="C244" s="1"/>
      <c r="D244" s="72"/>
      <c r="E244" s="72"/>
      <c r="F244" s="72"/>
      <c r="G244" s="1"/>
      <c r="H244" s="1"/>
      <c r="I244" s="1"/>
      <c r="J244" s="1"/>
      <c r="K244" s="1"/>
      <c r="L244" s="1"/>
      <c r="M244" s="1"/>
      <c r="N244" s="1"/>
      <c r="O244" s="1"/>
      <c r="P244" s="1"/>
      <c r="Q244" s="1"/>
      <c r="R244" s="1"/>
      <c r="S244" s="1"/>
      <c r="T244" s="1"/>
      <c r="U244" s="1"/>
      <c r="V244" s="1"/>
      <c r="W244" s="1"/>
      <c r="X244" s="1"/>
      <c r="Y244" s="1"/>
      <c r="Z244" s="1"/>
    </row>
    <row r="245" spans="1:26" ht="15.75" customHeight="1" outlineLevel="1">
      <c r="A245" s="1"/>
      <c r="B245" s="1"/>
      <c r="C245" s="304" t="s">
        <v>288</v>
      </c>
      <c r="D245" s="305" t="s">
        <v>175</v>
      </c>
      <c r="E245" s="306" t="e">
        <f>(+E200+#REF!)*(1-Tax_Rate)</f>
        <v>#REF!</v>
      </c>
      <c r="F245" s="306" t="e">
        <f>(+F200+#REF!)*(1-Tax_Rate)</f>
        <v>#REF!</v>
      </c>
      <c r="G245" s="306" t="e">
        <f>(+G200+#REF!)*(1-Tax_Rate)</f>
        <v>#REF!</v>
      </c>
      <c r="H245" s="306" t="e">
        <f>(+H200+#REF!)*(1-Tax_Rate)</f>
        <v>#REF!</v>
      </c>
      <c r="I245" s="306" t="e">
        <f>(I200+#REF!)*(1-Tax_Rate)</f>
        <v>#REF!</v>
      </c>
      <c r="J245" s="306" t="e">
        <f>(J200+#REF!)*(1-Tax_Rate)</f>
        <v>#REF!</v>
      </c>
      <c r="K245" s="306" t="e">
        <f>(K200+#REF!)*(1-Tax_Rate)</f>
        <v>#REF!</v>
      </c>
      <c r="L245" s="306" t="e">
        <f>(L200+#REF!)*(1-Tax_Rate)</f>
        <v>#REF!</v>
      </c>
      <c r="M245" s="306" t="e">
        <f>(M200+#REF!)*(1-Tax_Rate)</f>
        <v>#REF!</v>
      </c>
      <c r="N245" s="306" t="e">
        <f>(N200+#REF!)*(1-Tax_Rate)</f>
        <v>#REF!</v>
      </c>
      <c r="O245" s="306" t="e">
        <f>(O200+#REF!)*(1-Tax_Rate)</f>
        <v>#REF!</v>
      </c>
      <c r="P245" s="306" t="e">
        <f>(P200+#REF!)*(1-Tax_Rate)</f>
        <v>#REF!</v>
      </c>
      <c r="Q245" s="306" t="e">
        <f>(Q200+#REF!)*(1-Tax_Rate)</f>
        <v>#REF!</v>
      </c>
      <c r="R245" s="306" t="e">
        <f>(R200+#REF!)*(1-Tax_Rate)</f>
        <v>#REF!</v>
      </c>
      <c r="S245" s="306" t="e">
        <f>(S200+#REF!)*(1-Tax_Rate)</f>
        <v>#REF!</v>
      </c>
      <c r="T245" s="1"/>
      <c r="U245" s="1"/>
      <c r="V245" s="1"/>
      <c r="W245" s="1"/>
      <c r="X245" s="1"/>
      <c r="Y245" s="1"/>
      <c r="Z245" s="1"/>
    </row>
    <row r="246" spans="1:26" ht="15.75" customHeight="1" outlineLevel="1">
      <c r="A246" s="1"/>
      <c r="B246" s="1"/>
      <c r="C246" s="236" t="s">
        <v>289</v>
      </c>
      <c r="D246" s="201" t="s">
        <v>177</v>
      </c>
      <c r="E246" s="183" t="str">
        <f t="shared" ref="E246:S246" si="65">IFERROR(+E245/D245-1,"N/A")</f>
        <v>N/A</v>
      </c>
      <c r="F246" s="183" t="str">
        <f t="shared" si="65"/>
        <v>N/A</v>
      </c>
      <c r="G246" s="183" t="str">
        <f t="shared" si="65"/>
        <v>N/A</v>
      </c>
      <c r="H246" s="183" t="str">
        <f t="shared" si="65"/>
        <v>N/A</v>
      </c>
      <c r="I246" s="183" t="str">
        <f t="shared" si="65"/>
        <v>N/A</v>
      </c>
      <c r="J246" s="183" t="str">
        <f t="shared" si="65"/>
        <v>N/A</v>
      </c>
      <c r="K246" s="183" t="str">
        <f t="shared" si="65"/>
        <v>N/A</v>
      </c>
      <c r="L246" s="183" t="str">
        <f t="shared" si="65"/>
        <v>N/A</v>
      </c>
      <c r="M246" s="183" t="str">
        <f t="shared" si="65"/>
        <v>N/A</v>
      </c>
      <c r="N246" s="183" t="str">
        <f t="shared" si="65"/>
        <v>N/A</v>
      </c>
      <c r="O246" s="183" t="str">
        <f t="shared" si="65"/>
        <v>N/A</v>
      </c>
      <c r="P246" s="183" t="str">
        <f t="shared" si="65"/>
        <v>N/A</v>
      </c>
      <c r="Q246" s="183" t="str">
        <f t="shared" si="65"/>
        <v>N/A</v>
      </c>
      <c r="R246" s="183" t="str">
        <f t="shared" si="65"/>
        <v>N/A</v>
      </c>
      <c r="S246" s="183" t="str">
        <f t="shared" si="65"/>
        <v>N/A</v>
      </c>
      <c r="T246" s="1"/>
      <c r="U246" s="1"/>
      <c r="V246" s="1"/>
      <c r="W246" s="1"/>
      <c r="X246" s="1"/>
      <c r="Y246" s="1"/>
      <c r="Z246" s="1"/>
    </row>
    <row r="247" spans="1:26" ht="15.75" customHeight="1">
      <c r="A247" s="1"/>
      <c r="B247" s="1"/>
      <c r="C247" s="1"/>
      <c r="D247" s="72"/>
      <c r="E247" s="72"/>
      <c r="F247" s="72"/>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89" t="s">
        <v>290</v>
      </c>
      <c r="C248" s="189"/>
      <c r="D248" s="254"/>
      <c r="E248" s="255"/>
      <c r="F248" s="255"/>
      <c r="G248" s="256"/>
      <c r="H248" s="256"/>
      <c r="I248" s="256"/>
      <c r="J248" s="256"/>
      <c r="K248" s="256"/>
      <c r="L248" s="256"/>
      <c r="M248" s="256"/>
      <c r="N248" s="256"/>
      <c r="O248" s="256"/>
      <c r="P248" s="256"/>
      <c r="Q248" s="256"/>
      <c r="R248" s="256"/>
      <c r="S248" s="1"/>
      <c r="T248" s="1"/>
      <c r="U248" s="1"/>
      <c r="V248" s="1"/>
      <c r="W248" s="1"/>
      <c r="X248" s="1"/>
      <c r="Y248" s="1"/>
      <c r="Z248" s="1"/>
    </row>
    <row r="249" spans="1:26" ht="15.75" customHeight="1" outlineLevel="1">
      <c r="A249" s="1"/>
      <c r="B249" s="1"/>
      <c r="C249" s="1"/>
      <c r="D249" s="72"/>
      <c r="E249" s="72"/>
      <c r="F249" s="72"/>
      <c r="G249" s="1"/>
      <c r="H249" s="1"/>
      <c r="I249" s="1"/>
      <c r="J249" s="1"/>
      <c r="K249" s="1"/>
      <c r="L249" s="1"/>
      <c r="M249" s="1"/>
      <c r="N249" s="1"/>
      <c r="O249" s="1"/>
      <c r="P249" s="1"/>
      <c r="Q249" s="1"/>
      <c r="R249" s="1"/>
      <c r="S249" s="1"/>
      <c r="T249" s="1"/>
      <c r="U249" s="1"/>
      <c r="V249" s="1"/>
      <c r="W249" s="1"/>
      <c r="X249" s="1"/>
      <c r="Y249" s="1"/>
      <c r="Z249" s="1"/>
    </row>
    <row r="250" spans="1:26" ht="15.75" customHeight="1" outlineLevel="1">
      <c r="A250" s="1"/>
      <c r="B250" s="1"/>
      <c r="C250" s="3" t="s">
        <v>291</v>
      </c>
      <c r="D250" s="72"/>
      <c r="E250" s="72"/>
      <c r="F250" s="1"/>
      <c r="G250" s="1"/>
      <c r="H250" s="1"/>
      <c r="I250" s="1"/>
      <c r="J250" s="1"/>
      <c r="K250" s="1"/>
      <c r="L250" s="1"/>
      <c r="M250" s="1"/>
      <c r="N250" s="1"/>
      <c r="O250" s="1"/>
      <c r="P250" s="1"/>
      <c r="Q250" s="1"/>
      <c r="R250" s="1"/>
      <c r="S250" s="1"/>
      <c r="T250" s="1"/>
      <c r="U250" s="1"/>
      <c r="V250" s="1"/>
      <c r="W250" s="1"/>
      <c r="X250" s="1"/>
      <c r="Y250" s="1"/>
      <c r="Z250" s="1"/>
    </row>
    <row r="251" spans="1:26" ht="15.75" customHeight="1" outlineLevel="1">
      <c r="A251" s="1"/>
      <c r="B251" s="1"/>
      <c r="C251" s="72"/>
      <c r="D251" s="72"/>
      <c r="E251" s="72"/>
      <c r="F251" s="1"/>
      <c r="G251" s="1"/>
      <c r="H251" s="1"/>
      <c r="I251" s="1"/>
      <c r="J251" s="1"/>
      <c r="K251" s="1"/>
      <c r="L251" s="1"/>
      <c r="M251" s="1"/>
      <c r="N251" s="1"/>
      <c r="O251" s="1"/>
      <c r="P251" s="1"/>
      <c r="Q251" s="1"/>
      <c r="R251" s="1"/>
      <c r="S251" s="1"/>
      <c r="T251" s="1"/>
      <c r="U251" s="1"/>
      <c r="V251" s="1"/>
      <c r="W251" s="1"/>
      <c r="X251" s="1"/>
      <c r="Y251" s="1"/>
      <c r="Z251" s="1"/>
    </row>
    <row r="252" spans="1:26" ht="15.75" customHeight="1" outlineLevel="1">
      <c r="A252" s="1"/>
      <c r="B252" s="1"/>
      <c r="C252" s="307"/>
      <c r="D252" s="308"/>
      <c r="E252" s="374" t="s">
        <v>292</v>
      </c>
      <c r="F252" s="369"/>
      <c r="G252" s="369"/>
      <c r="H252" s="369"/>
      <c r="I252" s="369"/>
      <c r="J252" s="369"/>
      <c r="K252" s="369"/>
      <c r="L252" s="369"/>
      <c r="M252" s="370"/>
      <c r="N252" s="1"/>
      <c r="O252" s="1"/>
      <c r="P252" s="1"/>
      <c r="Q252" s="1"/>
      <c r="R252" s="1"/>
      <c r="S252" s="1"/>
      <c r="T252" s="1"/>
      <c r="U252" s="1"/>
      <c r="V252" s="1"/>
      <c r="W252" s="1"/>
      <c r="X252" s="1"/>
      <c r="Y252" s="1"/>
      <c r="Z252" s="1"/>
    </row>
    <row r="253" spans="1:26" ht="15.75" customHeight="1" outlineLevel="1">
      <c r="A253" s="1"/>
      <c r="B253" s="1"/>
      <c r="C253" s="309"/>
      <c r="D253" s="310" t="str">
        <f ca="1">+$N$171</f>
        <v>#REF!</v>
      </c>
      <c r="E253" s="311">
        <v>5.0000000000000001E-3</v>
      </c>
      <c r="F253" s="311">
        <f t="shared" ref="F253:M253" si="66">+E253+0.25%</f>
        <v>7.4999999999999997E-3</v>
      </c>
      <c r="G253" s="311">
        <f t="shared" si="66"/>
        <v>0.01</v>
      </c>
      <c r="H253" s="311">
        <f t="shared" si="66"/>
        <v>1.2500000000000001E-2</v>
      </c>
      <c r="I253" s="311">
        <f t="shared" si="66"/>
        <v>1.5000000000000001E-2</v>
      </c>
      <c r="J253" s="311">
        <f t="shared" si="66"/>
        <v>1.7500000000000002E-2</v>
      </c>
      <c r="K253" s="311">
        <f t="shared" si="66"/>
        <v>0.02</v>
      </c>
      <c r="L253" s="311">
        <f t="shared" si="66"/>
        <v>2.2499999999999999E-2</v>
      </c>
      <c r="M253" s="312">
        <f t="shared" si="66"/>
        <v>2.4999999999999998E-2</v>
      </c>
      <c r="N253" s="1"/>
      <c r="O253" s="1"/>
      <c r="P253" s="1"/>
      <c r="Q253" s="1"/>
      <c r="R253" s="1"/>
      <c r="S253" s="1"/>
      <c r="T253" s="1"/>
      <c r="U253" s="1"/>
      <c r="V253" s="1"/>
      <c r="W253" s="1"/>
      <c r="X253" s="1"/>
      <c r="Y253" s="1"/>
      <c r="Z253" s="1"/>
    </row>
    <row r="254" spans="1:26" ht="15.75" customHeight="1" outlineLevel="1">
      <c r="A254" s="1"/>
      <c r="B254" s="1"/>
      <c r="C254" s="375" t="s">
        <v>293</v>
      </c>
      <c r="D254" s="313">
        <v>0.1</v>
      </c>
      <c r="E254" s="314">
        <v>77.344388897729019</v>
      </c>
      <c r="F254" s="31">
        <v>77.344388897729019</v>
      </c>
      <c r="G254" s="31">
        <v>77.344388897729019</v>
      </c>
      <c r="H254" s="31">
        <v>77.344388897729019</v>
      </c>
      <c r="I254" s="31">
        <v>77.344388897729019</v>
      </c>
      <c r="J254" s="31">
        <v>77.344388897729019</v>
      </c>
      <c r="K254" s="31">
        <v>77.344388897729019</v>
      </c>
      <c r="L254" s="31">
        <v>77.344388897729019</v>
      </c>
      <c r="M254" s="18">
        <v>77.344388897729019</v>
      </c>
      <c r="N254" s="1"/>
      <c r="O254" s="1"/>
      <c r="P254" s="1"/>
      <c r="Q254" s="1"/>
      <c r="R254" s="1"/>
      <c r="S254" s="1"/>
      <c r="T254" s="1"/>
      <c r="U254" s="1"/>
      <c r="V254" s="1"/>
      <c r="W254" s="1"/>
      <c r="X254" s="1"/>
      <c r="Y254" s="1"/>
      <c r="Z254" s="1"/>
    </row>
    <row r="255" spans="1:26" ht="15.75" customHeight="1" outlineLevel="1">
      <c r="A255" s="1"/>
      <c r="B255" s="1"/>
      <c r="C255" s="376"/>
      <c r="D255" s="313">
        <f t="shared" ref="D255:D262" si="67">+D254+0.2%</f>
        <v>0.10200000000000001</v>
      </c>
      <c r="E255" s="315">
        <v>77.344388897729019</v>
      </c>
      <c r="F255" s="21">
        <v>77.344388897729019</v>
      </c>
      <c r="G255" s="21">
        <v>77.344388897729019</v>
      </c>
      <c r="H255" s="21">
        <v>77.344388897729019</v>
      </c>
      <c r="I255" s="21">
        <v>77.344388897729019</v>
      </c>
      <c r="J255" s="21">
        <v>77.344388897729019</v>
      </c>
      <c r="K255" s="21">
        <v>77.344388897729019</v>
      </c>
      <c r="L255" s="21">
        <v>77.344388897729019</v>
      </c>
      <c r="M255" s="21">
        <v>77.344388897729019</v>
      </c>
      <c r="N255" s="1"/>
      <c r="O255" s="1"/>
      <c r="P255" s="1"/>
      <c r="Q255" s="1"/>
      <c r="R255" s="1"/>
      <c r="S255" s="1"/>
      <c r="T255" s="1"/>
      <c r="U255" s="1"/>
      <c r="V255" s="1"/>
      <c r="W255" s="1"/>
      <c r="X255" s="1"/>
      <c r="Y255" s="1"/>
      <c r="Z255" s="1"/>
    </row>
    <row r="256" spans="1:26" ht="15.75" customHeight="1" outlineLevel="1">
      <c r="A256" s="1"/>
      <c r="B256" s="1"/>
      <c r="C256" s="376"/>
      <c r="D256" s="313">
        <f t="shared" si="67"/>
        <v>0.10400000000000001</v>
      </c>
      <c r="E256" s="315">
        <v>77.344388897729019</v>
      </c>
      <c r="F256" s="21">
        <v>77.344388897729019</v>
      </c>
      <c r="G256" s="21">
        <v>77.344388897729019</v>
      </c>
      <c r="H256" s="21">
        <v>77.344388897729019</v>
      </c>
      <c r="I256" s="21">
        <v>77.344388897729019</v>
      </c>
      <c r="J256" s="21">
        <v>77.344388897729019</v>
      </c>
      <c r="K256" s="21">
        <v>77.344388897729019</v>
      </c>
      <c r="L256" s="21">
        <v>77.344388897729019</v>
      </c>
      <c r="M256" s="21">
        <v>77.344388897729019</v>
      </c>
      <c r="N256" s="1"/>
      <c r="O256" s="1"/>
      <c r="P256" s="1"/>
      <c r="Q256" s="1"/>
      <c r="R256" s="1"/>
      <c r="S256" s="1"/>
      <c r="T256" s="1"/>
      <c r="U256" s="1"/>
      <c r="V256" s="1"/>
      <c r="W256" s="1"/>
      <c r="X256" s="1"/>
      <c r="Y256" s="1"/>
      <c r="Z256" s="1"/>
    </row>
    <row r="257" spans="1:26" ht="15.75" customHeight="1" outlineLevel="1">
      <c r="A257" s="1"/>
      <c r="B257" s="1"/>
      <c r="C257" s="376"/>
      <c r="D257" s="313">
        <f t="shared" si="67"/>
        <v>0.10600000000000001</v>
      </c>
      <c r="E257" s="315">
        <v>77.344388897729019</v>
      </c>
      <c r="F257" s="21">
        <v>77.344388897729019</v>
      </c>
      <c r="G257" s="21">
        <v>77.344388897729019</v>
      </c>
      <c r="H257" s="21">
        <v>77.344388897729019</v>
      </c>
      <c r="I257" s="21">
        <v>77.344388897729019</v>
      </c>
      <c r="J257" s="21">
        <v>77.344388897729019</v>
      </c>
      <c r="K257" s="21">
        <v>77.344388897729019</v>
      </c>
      <c r="L257" s="21">
        <v>77.344388897729019</v>
      </c>
      <c r="M257" s="21">
        <v>77.344388897729019</v>
      </c>
      <c r="N257" s="1"/>
      <c r="O257" s="1"/>
      <c r="P257" s="1"/>
      <c r="Q257" s="1"/>
      <c r="R257" s="1"/>
      <c r="S257" s="1"/>
      <c r="T257" s="1"/>
      <c r="U257" s="1"/>
      <c r="V257" s="1"/>
      <c r="W257" s="1"/>
      <c r="X257" s="1"/>
      <c r="Y257" s="1"/>
      <c r="Z257" s="1"/>
    </row>
    <row r="258" spans="1:26" ht="15.75" customHeight="1" outlineLevel="1">
      <c r="A258" s="1"/>
      <c r="B258" s="1"/>
      <c r="C258" s="376"/>
      <c r="D258" s="313">
        <f t="shared" si="67"/>
        <v>0.10800000000000001</v>
      </c>
      <c r="E258" s="315">
        <v>77.344388897729019</v>
      </c>
      <c r="F258" s="21">
        <v>77.344388897729019</v>
      </c>
      <c r="G258" s="21">
        <v>77.344388897729019</v>
      </c>
      <c r="H258" s="21">
        <v>77.344388897729019</v>
      </c>
      <c r="I258" s="21">
        <v>77.344388897729019</v>
      </c>
      <c r="J258" s="21">
        <v>77.344388897729019</v>
      </c>
      <c r="K258" s="21">
        <v>77.344388897729019</v>
      </c>
      <c r="L258" s="21">
        <v>77.344388897729019</v>
      </c>
      <c r="M258" s="21">
        <v>77.344388897729019</v>
      </c>
      <c r="N258" s="1"/>
      <c r="O258" s="1"/>
      <c r="P258" s="1"/>
      <c r="Q258" s="1"/>
      <c r="R258" s="1"/>
      <c r="S258" s="1"/>
      <c r="T258" s="1"/>
      <c r="U258" s="1"/>
      <c r="V258" s="1"/>
      <c r="W258" s="1"/>
      <c r="X258" s="1"/>
      <c r="Y258" s="1"/>
      <c r="Z258" s="1"/>
    </row>
    <row r="259" spans="1:26" ht="15.75" customHeight="1" outlineLevel="1">
      <c r="A259" s="1"/>
      <c r="B259" s="1"/>
      <c r="C259" s="376"/>
      <c r="D259" s="313">
        <f t="shared" si="67"/>
        <v>0.11000000000000001</v>
      </c>
      <c r="E259" s="315">
        <v>77.344388897729019</v>
      </c>
      <c r="F259" s="21">
        <v>77.344388897729019</v>
      </c>
      <c r="G259" s="21">
        <v>77.344388897729019</v>
      </c>
      <c r="H259" s="21">
        <v>77.344388897729019</v>
      </c>
      <c r="I259" s="21">
        <v>77.344388897729019</v>
      </c>
      <c r="J259" s="21">
        <v>77.344388897729019</v>
      </c>
      <c r="K259" s="21">
        <v>77.344388897729019</v>
      </c>
      <c r="L259" s="21">
        <v>77.344388897729019</v>
      </c>
      <c r="M259" s="21">
        <v>77.344388897729019</v>
      </c>
      <c r="N259" s="1"/>
      <c r="O259" s="1"/>
      <c r="P259" s="1"/>
      <c r="Q259" s="1"/>
      <c r="R259" s="1"/>
      <c r="S259" s="1"/>
      <c r="T259" s="1"/>
      <c r="U259" s="1"/>
      <c r="V259" s="1"/>
      <c r="W259" s="1"/>
      <c r="X259" s="1"/>
      <c r="Y259" s="1"/>
      <c r="Z259" s="1"/>
    </row>
    <row r="260" spans="1:26" ht="15.75" customHeight="1" outlineLevel="1">
      <c r="A260" s="1"/>
      <c r="B260" s="1"/>
      <c r="C260" s="376"/>
      <c r="D260" s="313">
        <f t="shared" si="67"/>
        <v>0.11200000000000002</v>
      </c>
      <c r="E260" s="315">
        <v>77.344388897729019</v>
      </c>
      <c r="F260" s="21">
        <v>77.344388897729019</v>
      </c>
      <c r="G260" s="21">
        <v>77.344388897729019</v>
      </c>
      <c r="H260" s="21">
        <v>77.344388897729019</v>
      </c>
      <c r="I260" s="21">
        <v>77.344388897729019</v>
      </c>
      <c r="J260" s="21">
        <v>77.344388897729019</v>
      </c>
      <c r="K260" s="21">
        <v>77.344388897729019</v>
      </c>
      <c r="L260" s="21">
        <v>77.344388897729019</v>
      </c>
      <c r="M260" s="21">
        <v>77.344388897729019</v>
      </c>
      <c r="N260" s="1"/>
      <c r="O260" s="1"/>
      <c r="P260" s="1"/>
      <c r="Q260" s="1"/>
      <c r="R260" s="1"/>
      <c r="S260" s="1"/>
      <c r="T260" s="1"/>
      <c r="U260" s="1"/>
      <c r="V260" s="1"/>
      <c r="W260" s="1"/>
      <c r="X260" s="1"/>
      <c r="Y260" s="1"/>
      <c r="Z260" s="1"/>
    </row>
    <row r="261" spans="1:26" ht="15.75" customHeight="1" outlineLevel="1">
      <c r="A261" s="1"/>
      <c r="B261" s="1"/>
      <c r="C261" s="376"/>
      <c r="D261" s="313">
        <f t="shared" si="67"/>
        <v>0.11400000000000002</v>
      </c>
      <c r="E261" s="315">
        <v>77.344388897729019</v>
      </c>
      <c r="F261" s="21">
        <v>77.344388897729019</v>
      </c>
      <c r="G261" s="21">
        <v>77.344388897729019</v>
      </c>
      <c r="H261" s="21">
        <v>77.344388897729019</v>
      </c>
      <c r="I261" s="21">
        <v>77.344388897729019</v>
      </c>
      <c r="J261" s="21">
        <v>77.344388897729019</v>
      </c>
      <c r="K261" s="21">
        <v>77.344388897729019</v>
      </c>
      <c r="L261" s="21">
        <v>77.344388897729019</v>
      </c>
      <c r="M261" s="21">
        <v>77.344388897729019</v>
      </c>
      <c r="N261" s="1"/>
      <c r="O261" s="1"/>
      <c r="P261" s="1"/>
      <c r="Q261" s="1"/>
      <c r="R261" s="1"/>
      <c r="S261" s="1"/>
      <c r="T261" s="1"/>
      <c r="U261" s="1"/>
      <c r="V261" s="1"/>
      <c r="W261" s="1"/>
      <c r="X261" s="1"/>
      <c r="Y261" s="1"/>
      <c r="Z261" s="1"/>
    </row>
    <row r="262" spans="1:26" ht="15.75" customHeight="1" outlineLevel="1">
      <c r="A262" s="1"/>
      <c r="B262" s="1"/>
      <c r="C262" s="377"/>
      <c r="D262" s="316">
        <f t="shared" si="67"/>
        <v>0.11600000000000002</v>
      </c>
      <c r="E262" s="315">
        <v>77.344388897729019</v>
      </c>
      <c r="F262" s="21">
        <v>77.344388897729019</v>
      </c>
      <c r="G262" s="21">
        <v>77.344388897729019</v>
      </c>
      <c r="H262" s="21">
        <v>77.344388897729019</v>
      </c>
      <c r="I262" s="21">
        <v>77.344388897729019</v>
      </c>
      <c r="J262" s="21">
        <v>77.344388897729019</v>
      </c>
      <c r="K262" s="21">
        <v>77.344388897729019</v>
      </c>
      <c r="L262" s="21">
        <v>77.344388897729019</v>
      </c>
      <c r="M262" s="21">
        <v>77.344388897729019</v>
      </c>
      <c r="N262" s="1"/>
      <c r="O262" s="1"/>
      <c r="P262" s="1"/>
      <c r="Q262" s="1"/>
      <c r="R262" s="1"/>
      <c r="S262" s="1"/>
      <c r="T262" s="1"/>
      <c r="U262" s="1"/>
      <c r="V262" s="1"/>
      <c r="W262" s="1"/>
      <c r="X262" s="1"/>
      <c r="Y262" s="1"/>
      <c r="Z262" s="1"/>
    </row>
    <row r="263" spans="1:26" ht="15.75" customHeight="1" outlineLevel="1">
      <c r="A263" s="1"/>
      <c r="B263" s="1"/>
      <c r="C263" s="72"/>
      <c r="D263" s="72"/>
      <c r="E263" s="72"/>
      <c r="F263" s="1"/>
      <c r="G263" s="1"/>
      <c r="H263" s="1"/>
      <c r="I263" s="1"/>
      <c r="J263" s="1"/>
      <c r="K263" s="1"/>
      <c r="L263" s="1"/>
      <c r="M263" s="1"/>
      <c r="N263" s="1"/>
      <c r="O263" s="1"/>
      <c r="P263" s="1"/>
      <c r="Q263" s="1"/>
      <c r="R263" s="1"/>
      <c r="S263" s="1"/>
      <c r="T263" s="1"/>
      <c r="U263" s="1"/>
      <c r="V263" s="1"/>
      <c r="W263" s="1"/>
      <c r="X263" s="1"/>
      <c r="Y263" s="1"/>
      <c r="Z263" s="1"/>
    </row>
    <row r="264" spans="1:26" ht="15.75" customHeight="1" outlineLevel="1">
      <c r="A264" s="1"/>
      <c r="B264" s="1"/>
      <c r="C264" s="3" t="s">
        <v>294</v>
      </c>
      <c r="D264" s="72"/>
      <c r="E264" s="72"/>
      <c r="F264" s="1"/>
      <c r="G264" s="1"/>
      <c r="H264" s="1"/>
      <c r="I264" s="1"/>
      <c r="J264" s="1"/>
      <c r="K264" s="1"/>
      <c r="L264" s="1"/>
      <c r="M264" s="1"/>
      <c r="N264" s="1"/>
      <c r="O264" s="1"/>
      <c r="P264" s="1"/>
      <c r="Q264" s="1"/>
      <c r="R264" s="1"/>
      <c r="S264" s="1"/>
      <c r="T264" s="1"/>
      <c r="U264" s="1"/>
      <c r="V264" s="1"/>
      <c r="W264" s="1"/>
      <c r="X264" s="1"/>
      <c r="Y264" s="1"/>
      <c r="Z264" s="1"/>
    </row>
    <row r="265" spans="1:26" ht="15.75" customHeight="1" outlineLevel="1">
      <c r="A265" s="1"/>
      <c r="B265" s="1"/>
      <c r="C265" s="72"/>
      <c r="D265" s="72"/>
      <c r="E265" s="72"/>
      <c r="F265" s="1"/>
      <c r="G265" s="1"/>
      <c r="H265" s="1"/>
      <c r="I265" s="1"/>
      <c r="J265" s="1"/>
      <c r="K265" s="1"/>
      <c r="L265" s="1"/>
      <c r="M265" s="1"/>
      <c r="N265" s="1"/>
      <c r="O265" s="1"/>
      <c r="P265" s="1"/>
      <c r="Q265" s="1"/>
      <c r="R265" s="1"/>
      <c r="S265" s="1"/>
      <c r="T265" s="1"/>
      <c r="U265" s="1"/>
      <c r="V265" s="1"/>
      <c r="W265" s="1"/>
      <c r="X265" s="1"/>
      <c r="Y265" s="1"/>
      <c r="Z265" s="1"/>
    </row>
    <row r="266" spans="1:26" ht="15.75" customHeight="1" outlineLevel="1">
      <c r="A266" s="1"/>
      <c r="B266" s="1"/>
      <c r="C266" s="307"/>
      <c r="D266" s="308"/>
      <c r="E266" s="374" t="s">
        <v>295</v>
      </c>
      <c r="F266" s="369"/>
      <c r="G266" s="369"/>
      <c r="H266" s="369"/>
      <c r="I266" s="369"/>
      <c r="J266" s="369"/>
      <c r="K266" s="369"/>
      <c r="L266" s="369"/>
      <c r="M266" s="370"/>
      <c r="N266" s="1"/>
      <c r="O266" s="1"/>
      <c r="P266" s="1"/>
      <c r="Q266" s="1"/>
      <c r="R266" s="1"/>
      <c r="S266" s="1"/>
      <c r="T266" s="1"/>
      <c r="U266" s="1"/>
      <c r="V266" s="1"/>
      <c r="W266" s="1"/>
      <c r="X266" s="1"/>
      <c r="Y266" s="1"/>
      <c r="Z266" s="1"/>
    </row>
    <row r="267" spans="1:26" ht="15.75" customHeight="1" outlineLevel="1">
      <c r="A267" s="1"/>
      <c r="B267" s="1"/>
      <c r="C267" s="309"/>
      <c r="D267" s="310" t="str">
        <f ca="1">+$I$171</f>
        <v>#REF!</v>
      </c>
      <c r="E267" s="317">
        <v>10</v>
      </c>
      <c r="F267" s="317">
        <f t="shared" ref="F267:M267" si="68">+E267+0.55</f>
        <v>10.55</v>
      </c>
      <c r="G267" s="317">
        <f t="shared" si="68"/>
        <v>11.100000000000001</v>
      </c>
      <c r="H267" s="317">
        <f t="shared" si="68"/>
        <v>11.650000000000002</v>
      </c>
      <c r="I267" s="317">
        <f t="shared" si="68"/>
        <v>12.200000000000003</v>
      </c>
      <c r="J267" s="317">
        <f t="shared" si="68"/>
        <v>12.750000000000004</v>
      </c>
      <c r="K267" s="317">
        <f t="shared" si="68"/>
        <v>13.300000000000004</v>
      </c>
      <c r="L267" s="317">
        <f t="shared" si="68"/>
        <v>13.850000000000005</v>
      </c>
      <c r="M267" s="318">
        <f t="shared" si="68"/>
        <v>14.400000000000006</v>
      </c>
      <c r="N267" s="1"/>
      <c r="O267" s="1"/>
      <c r="P267" s="1"/>
      <c r="Q267" s="1"/>
      <c r="R267" s="1"/>
      <c r="S267" s="1"/>
      <c r="T267" s="1"/>
      <c r="U267" s="1"/>
      <c r="V267" s="1"/>
      <c r="W267" s="1"/>
      <c r="X267" s="1"/>
      <c r="Y267" s="1"/>
      <c r="Z267" s="1"/>
    </row>
    <row r="268" spans="1:26" ht="15.75" customHeight="1" outlineLevel="1">
      <c r="A268" s="1"/>
      <c r="B268" s="1"/>
      <c r="C268" s="375" t="s">
        <v>293</v>
      </c>
      <c r="D268" s="313">
        <f t="shared" ref="D268:D276" si="69">+D254</f>
        <v>0.1</v>
      </c>
      <c r="E268" s="314">
        <v>77.344388897729019</v>
      </c>
      <c r="F268" s="31">
        <v>77.344388897729019</v>
      </c>
      <c r="G268" s="31">
        <v>77.344388897729019</v>
      </c>
      <c r="H268" s="31">
        <v>77.344388897729019</v>
      </c>
      <c r="I268" s="31">
        <v>77.344388897729019</v>
      </c>
      <c r="J268" s="31">
        <v>77.344388897729019</v>
      </c>
      <c r="K268" s="31">
        <v>77.344388897729019</v>
      </c>
      <c r="L268" s="31">
        <v>77.344388897729019</v>
      </c>
      <c r="M268" s="18">
        <v>77.344388897729019</v>
      </c>
      <c r="N268" s="1"/>
      <c r="O268" s="1"/>
      <c r="P268" s="1"/>
      <c r="Q268" s="1"/>
      <c r="R268" s="1"/>
      <c r="S268" s="1"/>
      <c r="T268" s="1"/>
      <c r="U268" s="1"/>
      <c r="V268" s="1"/>
      <c r="W268" s="1"/>
      <c r="X268" s="1"/>
      <c r="Y268" s="1"/>
      <c r="Z268" s="1"/>
    </row>
    <row r="269" spans="1:26" ht="15.75" customHeight="1" outlineLevel="1">
      <c r="A269" s="1"/>
      <c r="B269" s="1"/>
      <c r="C269" s="376"/>
      <c r="D269" s="313">
        <f t="shared" si="69"/>
        <v>0.10200000000000001</v>
      </c>
      <c r="E269" s="315">
        <v>77.344388897729019</v>
      </c>
      <c r="F269" s="21">
        <v>77.344388897729019</v>
      </c>
      <c r="G269" s="21">
        <v>77.344388897729019</v>
      </c>
      <c r="H269" s="21">
        <v>77.344388897729019</v>
      </c>
      <c r="I269" s="21">
        <v>77.344388897729019</v>
      </c>
      <c r="J269" s="21">
        <v>77.344388897729019</v>
      </c>
      <c r="K269" s="21">
        <v>77.344388897729019</v>
      </c>
      <c r="L269" s="21">
        <v>77.344388897729019</v>
      </c>
      <c r="M269" s="21">
        <v>77.344388897729019</v>
      </c>
      <c r="N269" s="1"/>
      <c r="O269" s="1"/>
      <c r="P269" s="1"/>
      <c r="Q269" s="1"/>
      <c r="R269" s="1"/>
      <c r="S269" s="1"/>
      <c r="T269" s="1"/>
      <c r="U269" s="1"/>
      <c r="V269" s="1"/>
      <c r="W269" s="1"/>
      <c r="X269" s="1"/>
      <c r="Y269" s="1"/>
      <c r="Z269" s="1"/>
    </row>
    <row r="270" spans="1:26" ht="15.75" customHeight="1" outlineLevel="1">
      <c r="A270" s="1"/>
      <c r="B270" s="1"/>
      <c r="C270" s="376"/>
      <c r="D270" s="313">
        <f t="shared" si="69"/>
        <v>0.10400000000000001</v>
      </c>
      <c r="E270" s="315">
        <v>77.344388897729019</v>
      </c>
      <c r="F270" s="21">
        <v>77.344388897729019</v>
      </c>
      <c r="G270" s="21">
        <v>77.344388897729019</v>
      </c>
      <c r="H270" s="21">
        <v>77.344388897729019</v>
      </c>
      <c r="I270" s="21">
        <v>77.344388897729019</v>
      </c>
      <c r="J270" s="21">
        <v>77.344388897729019</v>
      </c>
      <c r="K270" s="21">
        <v>77.344388897729019</v>
      </c>
      <c r="L270" s="21">
        <v>77.344388897729019</v>
      </c>
      <c r="M270" s="21">
        <v>77.344388897729019</v>
      </c>
      <c r="N270" s="1"/>
      <c r="O270" s="1"/>
      <c r="P270" s="1"/>
      <c r="Q270" s="1"/>
      <c r="R270" s="1"/>
      <c r="S270" s="1"/>
      <c r="T270" s="1"/>
      <c r="U270" s="1"/>
      <c r="V270" s="1"/>
      <c r="W270" s="1"/>
      <c r="X270" s="1"/>
      <c r="Y270" s="1"/>
      <c r="Z270" s="1"/>
    </row>
    <row r="271" spans="1:26" ht="15.75" customHeight="1" outlineLevel="1">
      <c r="A271" s="1"/>
      <c r="B271" s="1"/>
      <c r="C271" s="376"/>
      <c r="D271" s="313">
        <f t="shared" si="69"/>
        <v>0.10600000000000001</v>
      </c>
      <c r="E271" s="315">
        <v>77.344388897729019</v>
      </c>
      <c r="F271" s="21">
        <v>77.344388897729019</v>
      </c>
      <c r="G271" s="21">
        <v>77.344388897729019</v>
      </c>
      <c r="H271" s="21">
        <v>77.344388897729019</v>
      </c>
      <c r="I271" s="21">
        <v>77.344388897729019</v>
      </c>
      <c r="J271" s="21">
        <v>77.344388897729019</v>
      </c>
      <c r="K271" s="21">
        <v>77.344388897729019</v>
      </c>
      <c r="L271" s="21">
        <v>77.344388897729019</v>
      </c>
      <c r="M271" s="21">
        <v>77.344388897729019</v>
      </c>
      <c r="N271" s="1"/>
      <c r="O271" s="1"/>
      <c r="P271" s="1"/>
      <c r="Q271" s="1"/>
      <c r="R271" s="1"/>
      <c r="S271" s="1"/>
      <c r="T271" s="1"/>
      <c r="U271" s="1"/>
      <c r="V271" s="1"/>
      <c r="W271" s="1"/>
      <c r="X271" s="1"/>
      <c r="Y271" s="1"/>
      <c r="Z271" s="1"/>
    </row>
    <row r="272" spans="1:26" ht="15.75" customHeight="1" outlineLevel="1">
      <c r="A272" s="1"/>
      <c r="B272" s="1"/>
      <c r="C272" s="376"/>
      <c r="D272" s="313">
        <f t="shared" si="69"/>
        <v>0.10800000000000001</v>
      </c>
      <c r="E272" s="315">
        <v>77.344388897729019</v>
      </c>
      <c r="F272" s="21">
        <v>77.344388897729019</v>
      </c>
      <c r="G272" s="21">
        <v>77.344388897729019</v>
      </c>
      <c r="H272" s="21">
        <v>77.344388897729019</v>
      </c>
      <c r="I272" s="21">
        <v>77.344388897729019</v>
      </c>
      <c r="J272" s="21">
        <v>77.344388897729019</v>
      </c>
      <c r="K272" s="21">
        <v>77.344388897729019</v>
      </c>
      <c r="L272" s="21">
        <v>77.344388897729019</v>
      </c>
      <c r="M272" s="21">
        <v>77.344388897729019</v>
      </c>
      <c r="N272" s="1"/>
      <c r="O272" s="1"/>
      <c r="P272" s="1"/>
      <c r="Q272" s="1"/>
      <c r="R272" s="1"/>
      <c r="S272" s="1"/>
      <c r="T272" s="1"/>
      <c r="U272" s="1"/>
      <c r="V272" s="1"/>
      <c r="W272" s="1"/>
      <c r="X272" s="1"/>
      <c r="Y272" s="1"/>
      <c r="Z272" s="1"/>
    </row>
    <row r="273" spans="1:26" ht="15.75" customHeight="1" outlineLevel="1">
      <c r="A273" s="1"/>
      <c r="B273" s="1"/>
      <c r="C273" s="376"/>
      <c r="D273" s="313">
        <f t="shared" si="69"/>
        <v>0.11000000000000001</v>
      </c>
      <c r="E273" s="315">
        <v>77.344388897729019</v>
      </c>
      <c r="F273" s="21">
        <v>77.344388897729019</v>
      </c>
      <c r="G273" s="21">
        <v>77.344388897729019</v>
      </c>
      <c r="H273" s="21">
        <v>77.344388897729019</v>
      </c>
      <c r="I273" s="21">
        <v>77.344388897729019</v>
      </c>
      <c r="J273" s="21">
        <v>77.344388897729019</v>
      </c>
      <c r="K273" s="21">
        <v>77.344388897729019</v>
      </c>
      <c r="L273" s="21">
        <v>77.344388897729019</v>
      </c>
      <c r="M273" s="21">
        <v>77.344388897729019</v>
      </c>
      <c r="N273" s="1"/>
      <c r="O273" s="1"/>
      <c r="P273" s="1"/>
      <c r="Q273" s="1"/>
      <c r="R273" s="1"/>
      <c r="S273" s="1"/>
      <c r="T273" s="1"/>
      <c r="U273" s="1"/>
      <c r="V273" s="1"/>
      <c r="W273" s="1"/>
      <c r="X273" s="1"/>
      <c r="Y273" s="1"/>
      <c r="Z273" s="1"/>
    </row>
    <row r="274" spans="1:26" ht="15.75" customHeight="1" outlineLevel="1">
      <c r="A274" s="1"/>
      <c r="B274" s="1"/>
      <c r="C274" s="376"/>
      <c r="D274" s="313">
        <f t="shared" si="69"/>
        <v>0.11200000000000002</v>
      </c>
      <c r="E274" s="315">
        <v>77.344388897729019</v>
      </c>
      <c r="F274" s="21">
        <v>77.344388897729019</v>
      </c>
      <c r="G274" s="21">
        <v>77.344388897729019</v>
      </c>
      <c r="H274" s="21">
        <v>77.344388897729019</v>
      </c>
      <c r="I274" s="21">
        <v>77.344388897729019</v>
      </c>
      <c r="J274" s="21">
        <v>77.344388897729019</v>
      </c>
      <c r="K274" s="21">
        <v>77.344388897729019</v>
      </c>
      <c r="L274" s="21">
        <v>77.344388897729019</v>
      </c>
      <c r="M274" s="21">
        <v>77.344388897729019</v>
      </c>
      <c r="N274" s="1"/>
      <c r="O274" s="1"/>
      <c r="P274" s="1"/>
      <c r="Q274" s="1"/>
      <c r="R274" s="1"/>
      <c r="S274" s="1"/>
      <c r="T274" s="1"/>
      <c r="U274" s="1"/>
      <c r="V274" s="1"/>
      <c r="W274" s="1"/>
      <c r="X274" s="1"/>
      <c r="Y274" s="1"/>
      <c r="Z274" s="1"/>
    </row>
    <row r="275" spans="1:26" ht="15.75" customHeight="1" outlineLevel="1">
      <c r="A275" s="1"/>
      <c r="B275" s="1"/>
      <c r="C275" s="376"/>
      <c r="D275" s="313">
        <f t="shared" si="69"/>
        <v>0.11400000000000002</v>
      </c>
      <c r="E275" s="315">
        <v>77.344388897729019</v>
      </c>
      <c r="F275" s="21">
        <v>77.344388897729019</v>
      </c>
      <c r="G275" s="21">
        <v>77.344388897729019</v>
      </c>
      <c r="H275" s="21">
        <v>77.344388897729019</v>
      </c>
      <c r="I275" s="21">
        <v>77.344388897729019</v>
      </c>
      <c r="J275" s="21">
        <v>77.344388897729019</v>
      </c>
      <c r="K275" s="21">
        <v>77.344388897729019</v>
      </c>
      <c r="L275" s="21">
        <v>77.344388897729019</v>
      </c>
      <c r="M275" s="21">
        <v>77.344388897729019</v>
      </c>
      <c r="N275" s="1"/>
      <c r="O275" s="1"/>
      <c r="P275" s="1"/>
      <c r="Q275" s="1"/>
      <c r="R275" s="1"/>
      <c r="S275" s="1"/>
      <c r="T275" s="1"/>
      <c r="U275" s="1"/>
      <c r="V275" s="1"/>
      <c r="W275" s="1"/>
      <c r="X275" s="1"/>
      <c r="Y275" s="1"/>
      <c r="Z275" s="1"/>
    </row>
    <row r="276" spans="1:26" ht="15.75" customHeight="1" outlineLevel="1">
      <c r="A276" s="1"/>
      <c r="B276" s="1"/>
      <c r="C276" s="377"/>
      <c r="D276" s="316">
        <f t="shared" si="69"/>
        <v>0.11600000000000002</v>
      </c>
      <c r="E276" s="315">
        <v>77.344388897729019</v>
      </c>
      <c r="F276" s="21">
        <v>77.344388897729019</v>
      </c>
      <c r="G276" s="21">
        <v>77.344388897729019</v>
      </c>
      <c r="H276" s="21">
        <v>77.344388897729019</v>
      </c>
      <c r="I276" s="21">
        <v>77.344388897729019</v>
      </c>
      <c r="J276" s="21">
        <v>77.344388897729019</v>
      </c>
      <c r="K276" s="21">
        <v>77.344388897729019</v>
      </c>
      <c r="L276" s="21">
        <v>77.344388897729019</v>
      </c>
      <c r="M276" s="21">
        <v>77.344388897729019</v>
      </c>
      <c r="N276" s="1"/>
      <c r="O276" s="1"/>
      <c r="P276" s="1"/>
      <c r="Q276" s="1"/>
      <c r="R276" s="1"/>
      <c r="S276" s="1"/>
      <c r="T276" s="1"/>
      <c r="U276" s="1"/>
      <c r="V276" s="1"/>
      <c r="W276" s="1"/>
      <c r="X276" s="1"/>
      <c r="Y276" s="1"/>
      <c r="Z276" s="1"/>
    </row>
    <row r="277" spans="1:26" ht="15.75" customHeight="1" outlineLevel="1">
      <c r="A277" s="1"/>
      <c r="B277" s="1"/>
      <c r="C277" s="1"/>
      <c r="D277" s="72"/>
      <c r="E277" s="72"/>
      <c r="F277" s="72"/>
      <c r="G277" s="1"/>
      <c r="H277" s="1"/>
      <c r="I277" s="1"/>
      <c r="J277" s="1"/>
      <c r="K277" s="1"/>
      <c r="L277" s="1"/>
      <c r="M277" s="1"/>
      <c r="N277" s="1"/>
      <c r="O277" s="1"/>
      <c r="P277" s="1"/>
      <c r="Q277" s="1"/>
      <c r="R277" s="1"/>
      <c r="S277" s="1"/>
      <c r="T277" s="1"/>
      <c r="U277" s="1"/>
      <c r="V277" s="1"/>
      <c r="W277" s="1"/>
      <c r="X277" s="1"/>
      <c r="Y277" s="1"/>
      <c r="Z277" s="1"/>
    </row>
    <row r="278" spans="1:26" ht="15.75" customHeight="1" outlineLevel="1">
      <c r="A278" s="1"/>
      <c r="B278" s="1"/>
      <c r="C278" s="1"/>
      <c r="D278" s="72"/>
      <c r="E278" s="72"/>
      <c r="F278" s="72"/>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72"/>
      <c r="E279" s="72"/>
      <c r="F279" s="72"/>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72"/>
      <c r="E280" s="72"/>
      <c r="F280" s="72"/>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72"/>
      <c r="E281" s="72"/>
      <c r="F281" s="72"/>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72"/>
      <c r="E282" s="72"/>
      <c r="F282" s="72"/>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72"/>
      <c r="E283" s="72"/>
      <c r="F283" s="72"/>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72"/>
      <c r="E284" s="72"/>
      <c r="F284" s="72"/>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72"/>
      <c r="E285" s="72"/>
      <c r="F285" s="72"/>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72"/>
      <c r="E286" s="72"/>
      <c r="F286" s="72"/>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72"/>
      <c r="E287" s="72"/>
      <c r="F287" s="72"/>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72"/>
      <c r="E288" s="72"/>
      <c r="F288" s="72"/>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72"/>
      <c r="E289" s="72"/>
      <c r="F289" s="72"/>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72"/>
      <c r="E290" s="72"/>
      <c r="F290" s="72"/>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72"/>
      <c r="E291" s="72"/>
      <c r="F291" s="72"/>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72"/>
      <c r="E292" s="72"/>
      <c r="F292" s="72"/>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72"/>
      <c r="E293" s="72"/>
      <c r="F293" s="72"/>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72"/>
      <c r="E294" s="72"/>
      <c r="F294" s="72"/>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72"/>
      <c r="E295" s="72"/>
      <c r="F295" s="72"/>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72"/>
      <c r="E296" s="72"/>
      <c r="F296" s="72"/>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72"/>
      <c r="E297" s="72"/>
      <c r="F297" s="72"/>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72"/>
      <c r="E298" s="72"/>
      <c r="F298" s="72"/>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72"/>
      <c r="E299" s="72"/>
      <c r="F299" s="72"/>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72"/>
      <c r="E300" s="72"/>
      <c r="F300" s="72"/>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72"/>
      <c r="E301" s="72"/>
      <c r="F301" s="72"/>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72"/>
      <c r="E302" s="72"/>
      <c r="F302" s="72"/>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72"/>
      <c r="E303" s="72"/>
      <c r="F303" s="72"/>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72"/>
      <c r="E304" s="72"/>
      <c r="F304" s="72"/>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72"/>
      <c r="E305" s="72"/>
      <c r="F305" s="72"/>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72"/>
      <c r="E306" s="72"/>
      <c r="F306" s="72"/>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72"/>
      <c r="E307" s="72"/>
      <c r="F307" s="72"/>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72"/>
      <c r="E308" s="72"/>
      <c r="F308" s="72"/>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72"/>
      <c r="E309" s="72"/>
      <c r="F309" s="72"/>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72"/>
      <c r="E310" s="72"/>
      <c r="F310" s="72"/>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72"/>
      <c r="E311" s="72"/>
      <c r="F311" s="72"/>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72"/>
      <c r="E312" s="72"/>
      <c r="F312" s="72"/>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72"/>
      <c r="E313" s="72"/>
      <c r="F313" s="72"/>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72"/>
      <c r="E314" s="72"/>
      <c r="F314" s="72"/>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72"/>
      <c r="E315" s="72"/>
      <c r="F315" s="72"/>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72"/>
      <c r="E316" s="72"/>
      <c r="F316" s="72"/>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72"/>
      <c r="E317" s="72"/>
      <c r="F317" s="72"/>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72"/>
      <c r="E318" s="72"/>
      <c r="F318" s="72"/>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72"/>
      <c r="E319" s="72"/>
      <c r="F319" s="72"/>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72"/>
      <c r="E320" s="72"/>
      <c r="F320" s="72"/>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72"/>
      <c r="E321" s="72"/>
      <c r="F321" s="72"/>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72"/>
      <c r="E322" s="72"/>
      <c r="F322" s="72"/>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72"/>
      <c r="E323" s="72"/>
      <c r="F323" s="72"/>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72"/>
      <c r="E324" s="72"/>
      <c r="F324" s="72"/>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72"/>
      <c r="E325" s="72"/>
      <c r="F325" s="72"/>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72"/>
      <c r="E326" s="72"/>
      <c r="F326" s="72"/>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72"/>
      <c r="E327" s="72"/>
      <c r="F327" s="72"/>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72"/>
      <c r="E328" s="72"/>
      <c r="F328" s="72"/>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72"/>
      <c r="E329" s="72"/>
      <c r="F329" s="72"/>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72"/>
      <c r="E330" s="72"/>
      <c r="F330" s="72"/>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72"/>
      <c r="E331" s="72"/>
      <c r="F331" s="72"/>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72"/>
      <c r="E332" s="72"/>
      <c r="F332" s="72"/>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72"/>
      <c r="E333" s="72"/>
      <c r="F333" s="72"/>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72"/>
      <c r="E334" s="72"/>
      <c r="F334" s="72"/>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72"/>
      <c r="E335" s="72"/>
      <c r="F335" s="72"/>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72"/>
      <c r="E336" s="72"/>
      <c r="F336" s="72"/>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72"/>
      <c r="E337" s="72"/>
      <c r="F337" s="72"/>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72"/>
      <c r="E338" s="72"/>
      <c r="F338" s="72"/>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72"/>
      <c r="E339" s="72"/>
      <c r="F339" s="72"/>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72"/>
      <c r="E340" s="72"/>
      <c r="F340" s="72"/>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72"/>
      <c r="E341" s="72"/>
      <c r="F341" s="72"/>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72"/>
      <c r="E342" s="72"/>
      <c r="F342" s="72"/>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72"/>
      <c r="E343" s="72"/>
      <c r="F343" s="72"/>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72"/>
      <c r="E344" s="72"/>
      <c r="F344" s="72"/>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72"/>
      <c r="E345" s="72"/>
      <c r="F345" s="72"/>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72"/>
      <c r="E346" s="72"/>
      <c r="F346" s="72"/>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72"/>
      <c r="E347" s="72"/>
      <c r="F347" s="72"/>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72"/>
      <c r="E348" s="72"/>
      <c r="F348" s="72"/>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72"/>
      <c r="E349" s="72"/>
      <c r="F349" s="72"/>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72"/>
      <c r="E350" s="72"/>
      <c r="F350" s="72"/>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72"/>
      <c r="E351" s="72"/>
      <c r="F351" s="72"/>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72"/>
      <c r="E352" s="72"/>
      <c r="F352" s="72"/>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72"/>
      <c r="E353" s="72"/>
      <c r="F353" s="72"/>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72"/>
      <c r="E354" s="72"/>
      <c r="F354" s="72"/>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72"/>
      <c r="E355" s="72"/>
      <c r="F355" s="72"/>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72"/>
      <c r="E356" s="72"/>
      <c r="F356" s="72"/>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72"/>
      <c r="E357" s="72"/>
      <c r="F357" s="72"/>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72"/>
      <c r="E358" s="72"/>
      <c r="F358" s="72"/>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72"/>
      <c r="E359" s="72"/>
      <c r="F359" s="72"/>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72"/>
      <c r="E360" s="72"/>
      <c r="F360" s="72"/>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72"/>
      <c r="E361" s="72"/>
      <c r="F361" s="72"/>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72"/>
      <c r="E362" s="72"/>
      <c r="F362" s="72"/>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72"/>
      <c r="E363" s="72"/>
      <c r="F363" s="72"/>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72"/>
      <c r="E364" s="72"/>
      <c r="F364" s="72"/>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72"/>
      <c r="E365" s="72"/>
      <c r="F365" s="72"/>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72"/>
      <c r="E366" s="72"/>
      <c r="F366" s="72"/>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72"/>
      <c r="E367" s="72"/>
      <c r="F367" s="72"/>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72"/>
      <c r="E368" s="72"/>
      <c r="F368" s="72"/>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72"/>
      <c r="E369" s="72"/>
      <c r="F369" s="72"/>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72"/>
      <c r="E370" s="72"/>
      <c r="F370" s="72"/>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72"/>
      <c r="E371" s="72"/>
      <c r="F371" s="72"/>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72"/>
      <c r="E372" s="72"/>
      <c r="F372" s="72"/>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72"/>
      <c r="E373" s="72"/>
      <c r="F373" s="72"/>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72"/>
      <c r="E374" s="72"/>
      <c r="F374" s="72"/>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72"/>
      <c r="E375" s="72"/>
      <c r="F375" s="72"/>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72"/>
      <c r="E376" s="72"/>
      <c r="F376" s="72"/>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72"/>
      <c r="E377" s="72"/>
      <c r="F377" s="72"/>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72"/>
      <c r="E378" s="72"/>
      <c r="F378" s="72"/>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72"/>
      <c r="E379" s="72"/>
      <c r="F379" s="72"/>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72"/>
      <c r="E380" s="72"/>
      <c r="F380" s="72"/>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72"/>
      <c r="E381" s="72"/>
      <c r="F381" s="72"/>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72"/>
      <c r="E382" s="72"/>
      <c r="F382" s="72"/>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72"/>
      <c r="E383" s="72"/>
      <c r="F383" s="72"/>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72"/>
      <c r="E384" s="72"/>
      <c r="F384" s="72"/>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72"/>
      <c r="E385" s="72"/>
      <c r="F385" s="72"/>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72"/>
      <c r="E386" s="72"/>
      <c r="F386" s="72"/>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72"/>
      <c r="E387" s="72"/>
      <c r="F387" s="72"/>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72"/>
      <c r="E388" s="72"/>
      <c r="F388" s="72"/>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72"/>
      <c r="E389" s="72"/>
      <c r="F389" s="72"/>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72"/>
      <c r="E390" s="72"/>
      <c r="F390" s="72"/>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72"/>
      <c r="E391" s="72"/>
      <c r="F391" s="72"/>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72"/>
      <c r="E392" s="72"/>
      <c r="F392" s="72"/>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72"/>
      <c r="E393" s="72"/>
      <c r="F393" s="72"/>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72"/>
      <c r="E394" s="72"/>
      <c r="F394" s="72"/>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72"/>
      <c r="E395" s="72"/>
      <c r="F395" s="72"/>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72"/>
      <c r="E396" s="72"/>
      <c r="F396" s="72"/>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72"/>
      <c r="E397" s="72"/>
      <c r="F397" s="72"/>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72"/>
      <c r="E398" s="72"/>
      <c r="F398" s="72"/>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72"/>
      <c r="E399" s="72"/>
      <c r="F399" s="72"/>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72"/>
      <c r="E400" s="72"/>
      <c r="F400" s="72"/>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72"/>
      <c r="E401" s="72"/>
      <c r="F401" s="72"/>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72"/>
      <c r="E402" s="72"/>
      <c r="F402" s="72"/>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72"/>
      <c r="E403" s="72"/>
      <c r="F403" s="72"/>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72"/>
      <c r="E404" s="72"/>
      <c r="F404" s="72"/>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72"/>
      <c r="E405" s="72"/>
      <c r="F405" s="72"/>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72"/>
      <c r="E406" s="72"/>
      <c r="F406" s="72"/>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72"/>
      <c r="E407" s="72"/>
      <c r="F407" s="72"/>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72"/>
      <c r="E408" s="72"/>
      <c r="F408" s="72"/>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72"/>
      <c r="E409" s="72"/>
      <c r="F409" s="72"/>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72"/>
      <c r="E410" s="72"/>
      <c r="F410" s="72"/>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72"/>
      <c r="E411" s="72"/>
      <c r="F411" s="72"/>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72"/>
      <c r="E412" s="72"/>
      <c r="F412" s="72"/>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72"/>
      <c r="E413" s="72"/>
      <c r="F413" s="72"/>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72"/>
      <c r="E414" s="72"/>
      <c r="F414" s="72"/>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72"/>
      <c r="E415" s="72"/>
      <c r="F415" s="72"/>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72"/>
      <c r="E416" s="72"/>
      <c r="F416" s="72"/>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72"/>
      <c r="E417" s="72"/>
      <c r="F417" s="72"/>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72"/>
      <c r="E418" s="72"/>
      <c r="F418" s="72"/>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72"/>
      <c r="E419" s="72"/>
      <c r="F419" s="72"/>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72"/>
      <c r="E420" s="72"/>
      <c r="F420" s="72"/>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72"/>
      <c r="E421" s="72"/>
      <c r="F421" s="72"/>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72"/>
      <c r="E422" s="72"/>
      <c r="F422" s="72"/>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72"/>
      <c r="E423" s="72"/>
      <c r="F423" s="72"/>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72"/>
      <c r="E424" s="72"/>
      <c r="F424" s="72"/>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72"/>
      <c r="E425" s="72"/>
      <c r="F425" s="72"/>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72"/>
      <c r="E426" s="72"/>
      <c r="F426" s="72"/>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72"/>
      <c r="E427" s="72"/>
      <c r="F427" s="72"/>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72"/>
      <c r="E428" s="72"/>
      <c r="F428" s="72"/>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72"/>
      <c r="E429" s="72"/>
      <c r="F429" s="72"/>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72"/>
      <c r="E430" s="72"/>
      <c r="F430" s="72"/>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72"/>
      <c r="E431" s="72"/>
      <c r="F431" s="72"/>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72"/>
      <c r="E432" s="72"/>
      <c r="F432" s="72"/>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72"/>
      <c r="E433" s="72"/>
      <c r="F433" s="72"/>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72"/>
      <c r="E434" s="72"/>
      <c r="F434" s="72"/>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72"/>
      <c r="E435" s="72"/>
      <c r="F435" s="72"/>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72"/>
      <c r="E436" s="72"/>
      <c r="F436" s="72"/>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72"/>
      <c r="E437" s="72"/>
      <c r="F437" s="72"/>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72"/>
      <c r="E438" s="72"/>
      <c r="F438" s="72"/>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72"/>
      <c r="E439" s="72"/>
      <c r="F439" s="72"/>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72"/>
      <c r="E440" s="72"/>
      <c r="F440" s="72"/>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72"/>
      <c r="E441" s="72"/>
      <c r="F441" s="72"/>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72"/>
      <c r="E442" s="72"/>
      <c r="F442" s="72"/>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72"/>
      <c r="E443" s="72"/>
      <c r="F443" s="72"/>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72"/>
      <c r="E444" s="72"/>
      <c r="F444" s="72"/>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72"/>
      <c r="E445" s="72"/>
      <c r="F445" s="72"/>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72"/>
      <c r="E446" s="72"/>
      <c r="F446" s="72"/>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72"/>
      <c r="E447" s="72"/>
      <c r="F447" s="72"/>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72"/>
      <c r="E448" s="72"/>
      <c r="F448" s="72"/>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72"/>
      <c r="E449" s="72"/>
      <c r="F449" s="72"/>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72"/>
      <c r="E450" s="72"/>
      <c r="F450" s="72"/>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72"/>
      <c r="E451" s="72"/>
      <c r="F451" s="72"/>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72"/>
      <c r="E452" s="72"/>
      <c r="F452" s="72"/>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72"/>
      <c r="E453" s="72"/>
      <c r="F453" s="72"/>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72"/>
      <c r="E454" s="72"/>
      <c r="F454" s="72"/>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72"/>
      <c r="E455" s="72"/>
      <c r="F455" s="72"/>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72"/>
      <c r="E456" s="72"/>
      <c r="F456" s="72"/>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72"/>
      <c r="E457" s="72"/>
      <c r="F457" s="72"/>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72"/>
      <c r="E458" s="72"/>
      <c r="F458" s="72"/>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72"/>
      <c r="E459" s="72"/>
      <c r="F459" s="72"/>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72"/>
      <c r="E460" s="72"/>
      <c r="F460" s="72"/>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72"/>
      <c r="E461" s="72"/>
      <c r="F461" s="72"/>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72"/>
      <c r="E462" s="72"/>
      <c r="F462" s="72"/>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72"/>
      <c r="E463" s="72"/>
      <c r="F463" s="72"/>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72"/>
      <c r="E464" s="72"/>
      <c r="F464" s="72"/>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72"/>
      <c r="E465" s="72"/>
      <c r="F465" s="72"/>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72"/>
      <c r="E466" s="72"/>
      <c r="F466" s="72"/>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72"/>
      <c r="E467" s="72"/>
      <c r="F467" s="72"/>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72"/>
      <c r="E468" s="72"/>
      <c r="F468" s="72"/>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72"/>
      <c r="E469" s="72"/>
      <c r="F469" s="72"/>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72"/>
      <c r="E470" s="72"/>
      <c r="F470" s="72"/>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72"/>
      <c r="E471" s="72"/>
      <c r="F471" s="72"/>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72"/>
      <c r="E472" s="72"/>
      <c r="F472" s="72"/>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72"/>
      <c r="E473" s="72"/>
      <c r="F473" s="72"/>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72"/>
      <c r="E474" s="72"/>
      <c r="F474" s="72"/>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72"/>
      <c r="E475" s="72"/>
      <c r="F475" s="72"/>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72"/>
      <c r="E476" s="72"/>
      <c r="F476" s="72"/>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72"/>
      <c r="E477" s="72"/>
      <c r="F477" s="72"/>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72"/>
      <c r="E478" s="72"/>
      <c r="F478" s="72"/>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72"/>
      <c r="E479" s="72"/>
      <c r="F479" s="72"/>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72"/>
      <c r="E480" s="72"/>
      <c r="F480" s="72"/>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72"/>
      <c r="E481" s="72"/>
      <c r="F481" s="72"/>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72"/>
      <c r="E482" s="72"/>
      <c r="F482" s="72"/>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72"/>
      <c r="E483" s="72"/>
      <c r="F483" s="72"/>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72"/>
      <c r="E484" s="72"/>
      <c r="F484" s="72"/>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72"/>
      <c r="E485" s="72"/>
      <c r="F485" s="72"/>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72"/>
      <c r="E486" s="72"/>
      <c r="F486" s="72"/>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72"/>
      <c r="E487" s="72"/>
      <c r="F487" s="72"/>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72"/>
      <c r="E488" s="72"/>
      <c r="F488" s="72"/>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72"/>
      <c r="E489" s="72"/>
      <c r="F489" s="72"/>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72"/>
      <c r="E490" s="72"/>
      <c r="F490" s="72"/>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72"/>
      <c r="E491" s="72"/>
      <c r="F491" s="72"/>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72"/>
      <c r="E492" s="72"/>
      <c r="F492" s="72"/>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72"/>
      <c r="E493" s="72"/>
      <c r="F493" s="72"/>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72"/>
      <c r="E494" s="72"/>
      <c r="F494" s="72"/>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72"/>
      <c r="E495" s="72"/>
      <c r="F495" s="72"/>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72"/>
      <c r="E496" s="72"/>
      <c r="F496" s="72"/>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72"/>
      <c r="E497" s="72"/>
      <c r="F497" s="72"/>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72"/>
      <c r="E498" s="72"/>
      <c r="F498" s="72"/>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72"/>
      <c r="E499" s="72"/>
      <c r="F499" s="72"/>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72"/>
      <c r="E500" s="72"/>
      <c r="F500" s="72"/>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72"/>
      <c r="E501" s="72"/>
      <c r="F501" s="72"/>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72"/>
      <c r="E502" s="72"/>
      <c r="F502" s="72"/>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72"/>
      <c r="E503" s="72"/>
      <c r="F503" s="72"/>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72"/>
      <c r="E504" s="72"/>
      <c r="F504" s="72"/>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72"/>
      <c r="E505" s="72"/>
      <c r="F505" s="72"/>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72"/>
      <c r="E506" s="72"/>
      <c r="F506" s="72"/>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72"/>
      <c r="E507" s="72"/>
      <c r="F507" s="72"/>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72"/>
      <c r="E508" s="72"/>
      <c r="F508" s="72"/>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72"/>
      <c r="E509" s="72"/>
      <c r="F509" s="72"/>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72"/>
      <c r="E510" s="72"/>
      <c r="F510" s="72"/>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72"/>
      <c r="E511" s="72"/>
      <c r="F511" s="72"/>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72"/>
      <c r="E512" s="72"/>
      <c r="F512" s="72"/>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72"/>
      <c r="E513" s="72"/>
      <c r="F513" s="72"/>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72"/>
      <c r="E514" s="72"/>
      <c r="F514" s="72"/>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72"/>
      <c r="E515" s="72"/>
      <c r="F515" s="72"/>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72"/>
      <c r="E516" s="72"/>
      <c r="F516" s="72"/>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72"/>
      <c r="E517" s="72"/>
      <c r="F517" s="72"/>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72"/>
      <c r="E518" s="72"/>
      <c r="F518" s="72"/>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72"/>
      <c r="E519" s="72"/>
      <c r="F519" s="72"/>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72"/>
      <c r="E520" s="72"/>
      <c r="F520" s="72"/>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72"/>
      <c r="E521" s="72"/>
      <c r="F521" s="72"/>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72"/>
      <c r="E522" s="72"/>
      <c r="F522" s="72"/>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72"/>
      <c r="E523" s="72"/>
      <c r="F523" s="72"/>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72"/>
      <c r="E524" s="72"/>
      <c r="F524" s="72"/>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72"/>
      <c r="E525" s="72"/>
      <c r="F525" s="72"/>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72"/>
      <c r="E526" s="72"/>
      <c r="F526" s="72"/>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72"/>
      <c r="E527" s="72"/>
      <c r="F527" s="72"/>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72"/>
      <c r="E528" s="72"/>
      <c r="F528" s="72"/>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72"/>
      <c r="E529" s="72"/>
      <c r="F529" s="72"/>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72"/>
      <c r="E530" s="72"/>
      <c r="F530" s="72"/>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72"/>
      <c r="E531" s="72"/>
      <c r="F531" s="72"/>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72"/>
      <c r="E532" s="72"/>
      <c r="F532" s="72"/>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72"/>
      <c r="E533" s="72"/>
      <c r="F533" s="72"/>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72"/>
      <c r="E534" s="72"/>
      <c r="F534" s="72"/>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72"/>
      <c r="E535" s="72"/>
      <c r="F535" s="72"/>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72"/>
      <c r="E536" s="72"/>
      <c r="F536" s="72"/>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72"/>
      <c r="E537" s="72"/>
      <c r="F537" s="72"/>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72"/>
      <c r="E538" s="72"/>
      <c r="F538" s="72"/>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72"/>
      <c r="E539" s="72"/>
      <c r="F539" s="72"/>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72"/>
      <c r="E540" s="72"/>
      <c r="F540" s="72"/>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72"/>
      <c r="E541" s="72"/>
      <c r="F541" s="72"/>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72"/>
      <c r="E542" s="72"/>
      <c r="F542" s="72"/>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72"/>
      <c r="E543" s="72"/>
      <c r="F543" s="72"/>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72"/>
      <c r="E544" s="72"/>
      <c r="F544" s="72"/>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72"/>
      <c r="E545" s="72"/>
      <c r="F545" s="72"/>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72"/>
      <c r="E546" s="72"/>
      <c r="F546" s="72"/>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72"/>
      <c r="E547" s="72"/>
      <c r="F547" s="72"/>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72"/>
      <c r="E548" s="72"/>
      <c r="F548" s="72"/>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72"/>
      <c r="E549" s="72"/>
      <c r="F549" s="72"/>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72"/>
      <c r="E550" s="72"/>
      <c r="F550" s="72"/>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72"/>
      <c r="E551" s="72"/>
      <c r="F551" s="72"/>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72"/>
      <c r="E552" s="72"/>
      <c r="F552" s="72"/>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72"/>
      <c r="E553" s="72"/>
      <c r="F553" s="72"/>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72"/>
      <c r="E554" s="72"/>
      <c r="F554" s="72"/>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72"/>
      <c r="E555" s="72"/>
      <c r="F555" s="72"/>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72"/>
      <c r="E556" s="72"/>
      <c r="F556" s="72"/>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72"/>
      <c r="E557" s="72"/>
      <c r="F557" s="72"/>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72"/>
      <c r="E558" s="72"/>
      <c r="F558" s="72"/>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72"/>
      <c r="E559" s="72"/>
      <c r="F559" s="72"/>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72"/>
      <c r="E560" s="72"/>
      <c r="F560" s="72"/>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72"/>
      <c r="E561" s="72"/>
      <c r="F561" s="72"/>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72"/>
      <c r="E562" s="72"/>
      <c r="F562" s="72"/>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72"/>
      <c r="E563" s="72"/>
      <c r="F563" s="72"/>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72"/>
      <c r="E564" s="72"/>
      <c r="F564" s="72"/>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72"/>
      <c r="E565" s="72"/>
      <c r="F565" s="72"/>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72"/>
      <c r="E566" s="72"/>
      <c r="F566" s="72"/>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72"/>
      <c r="E567" s="72"/>
      <c r="F567" s="72"/>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72"/>
      <c r="E568" s="72"/>
      <c r="F568" s="72"/>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72"/>
      <c r="E569" s="72"/>
      <c r="F569" s="72"/>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72"/>
      <c r="E570" s="72"/>
      <c r="F570" s="72"/>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72"/>
      <c r="E571" s="72"/>
      <c r="F571" s="72"/>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72"/>
      <c r="E572" s="72"/>
      <c r="F572" s="72"/>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72"/>
      <c r="E573" s="72"/>
      <c r="F573" s="72"/>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72"/>
      <c r="E574" s="72"/>
      <c r="F574" s="72"/>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72"/>
      <c r="E575" s="72"/>
      <c r="F575" s="72"/>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72"/>
      <c r="E576" s="72"/>
      <c r="F576" s="72"/>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72"/>
      <c r="E577" s="72"/>
      <c r="F577" s="72"/>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72"/>
      <c r="E578" s="72"/>
      <c r="F578" s="72"/>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72"/>
      <c r="E579" s="72"/>
      <c r="F579" s="72"/>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72"/>
      <c r="E580" s="72"/>
      <c r="F580" s="72"/>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72"/>
      <c r="E581" s="72"/>
      <c r="F581" s="72"/>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72"/>
      <c r="E582" s="72"/>
      <c r="F582" s="72"/>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72"/>
      <c r="E583" s="72"/>
      <c r="F583" s="72"/>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72"/>
      <c r="E584" s="72"/>
      <c r="F584" s="72"/>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72"/>
      <c r="E585" s="72"/>
      <c r="F585" s="72"/>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72"/>
      <c r="E586" s="72"/>
      <c r="F586" s="72"/>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72"/>
      <c r="E587" s="72"/>
      <c r="F587" s="72"/>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72"/>
      <c r="E588" s="72"/>
      <c r="F588" s="72"/>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72"/>
      <c r="E589" s="72"/>
      <c r="F589" s="72"/>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72"/>
      <c r="E590" s="72"/>
      <c r="F590" s="72"/>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72"/>
      <c r="E591" s="72"/>
      <c r="F591" s="72"/>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72"/>
      <c r="E592" s="72"/>
      <c r="F592" s="72"/>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72"/>
      <c r="E593" s="72"/>
      <c r="F593" s="72"/>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72"/>
      <c r="E594" s="72"/>
      <c r="F594" s="72"/>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72"/>
      <c r="E595" s="72"/>
      <c r="F595" s="72"/>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72"/>
      <c r="E596" s="72"/>
      <c r="F596" s="72"/>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72"/>
      <c r="E597" s="72"/>
      <c r="F597" s="72"/>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72"/>
      <c r="E598" s="72"/>
      <c r="F598" s="72"/>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72"/>
      <c r="E599" s="72"/>
      <c r="F599" s="72"/>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72"/>
      <c r="E600" s="72"/>
      <c r="F600" s="72"/>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72"/>
      <c r="E601" s="72"/>
      <c r="F601" s="72"/>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72"/>
      <c r="E602" s="72"/>
      <c r="F602" s="72"/>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72"/>
      <c r="E603" s="72"/>
      <c r="F603" s="72"/>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72"/>
      <c r="E604" s="72"/>
      <c r="F604" s="72"/>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72"/>
      <c r="E605" s="72"/>
      <c r="F605" s="72"/>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72"/>
      <c r="E606" s="72"/>
      <c r="F606" s="72"/>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72"/>
      <c r="E607" s="72"/>
      <c r="F607" s="72"/>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72"/>
      <c r="E608" s="72"/>
      <c r="F608" s="72"/>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72"/>
      <c r="E609" s="72"/>
      <c r="F609" s="72"/>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72"/>
      <c r="E610" s="72"/>
      <c r="F610" s="72"/>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72"/>
      <c r="E611" s="72"/>
      <c r="F611" s="72"/>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72"/>
      <c r="E612" s="72"/>
      <c r="F612" s="72"/>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72"/>
      <c r="E613" s="72"/>
      <c r="F613" s="72"/>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72"/>
      <c r="E614" s="72"/>
      <c r="F614" s="72"/>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72"/>
      <c r="E615" s="72"/>
      <c r="F615" s="72"/>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72"/>
      <c r="E616" s="72"/>
      <c r="F616" s="72"/>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72"/>
      <c r="E617" s="72"/>
      <c r="F617" s="72"/>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72"/>
      <c r="E618" s="72"/>
      <c r="F618" s="72"/>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72"/>
      <c r="E619" s="72"/>
      <c r="F619" s="72"/>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72"/>
      <c r="E620" s="72"/>
      <c r="F620" s="72"/>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72"/>
      <c r="E621" s="72"/>
      <c r="F621" s="72"/>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72"/>
      <c r="E622" s="72"/>
      <c r="F622" s="72"/>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72"/>
      <c r="E623" s="72"/>
      <c r="F623" s="72"/>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72"/>
      <c r="E624" s="72"/>
      <c r="F624" s="72"/>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72"/>
      <c r="E625" s="72"/>
      <c r="F625" s="72"/>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72"/>
      <c r="E626" s="72"/>
      <c r="F626" s="72"/>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72"/>
      <c r="E627" s="72"/>
      <c r="F627" s="72"/>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72"/>
      <c r="E628" s="72"/>
      <c r="F628" s="72"/>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72"/>
      <c r="E629" s="72"/>
      <c r="F629" s="72"/>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72"/>
      <c r="E630" s="72"/>
      <c r="F630" s="72"/>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72"/>
      <c r="E631" s="72"/>
      <c r="F631" s="72"/>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72"/>
      <c r="E632" s="72"/>
      <c r="F632" s="72"/>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72"/>
      <c r="E633" s="72"/>
      <c r="F633" s="72"/>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72"/>
      <c r="E634" s="72"/>
      <c r="F634" s="72"/>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72"/>
      <c r="E635" s="72"/>
      <c r="F635" s="72"/>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72"/>
      <c r="E636" s="72"/>
      <c r="F636" s="72"/>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72"/>
      <c r="E637" s="72"/>
      <c r="F637" s="72"/>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72"/>
      <c r="E638" s="72"/>
      <c r="F638" s="72"/>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72"/>
      <c r="E639" s="72"/>
      <c r="F639" s="72"/>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72"/>
      <c r="E640" s="72"/>
      <c r="F640" s="72"/>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72"/>
      <c r="E641" s="72"/>
      <c r="F641" s="72"/>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72"/>
      <c r="E642" s="72"/>
      <c r="F642" s="72"/>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72"/>
      <c r="E643" s="72"/>
      <c r="F643" s="72"/>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72"/>
      <c r="E644" s="72"/>
      <c r="F644" s="72"/>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72"/>
      <c r="E645" s="72"/>
      <c r="F645" s="72"/>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72"/>
      <c r="E646" s="72"/>
      <c r="F646" s="72"/>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72"/>
      <c r="E647" s="72"/>
      <c r="F647" s="72"/>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72"/>
      <c r="E648" s="72"/>
      <c r="F648" s="72"/>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72"/>
      <c r="E649" s="72"/>
      <c r="F649" s="72"/>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72"/>
      <c r="E650" s="72"/>
      <c r="F650" s="72"/>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72"/>
      <c r="E651" s="72"/>
      <c r="F651" s="72"/>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72"/>
      <c r="E652" s="72"/>
      <c r="F652" s="72"/>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72"/>
      <c r="E653" s="72"/>
      <c r="F653" s="72"/>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72"/>
      <c r="E654" s="72"/>
      <c r="F654" s="72"/>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72"/>
      <c r="E655" s="72"/>
      <c r="F655" s="72"/>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72"/>
      <c r="E656" s="72"/>
      <c r="F656" s="72"/>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72"/>
      <c r="E657" s="72"/>
      <c r="F657" s="72"/>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72"/>
      <c r="E658" s="72"/>
      <c r="F658" s="72"/>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72"/>
      <c r="E659" s="72"/>
      <c r="F659" s="72"/>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72"/>
      <c r="E660" s="72"/>
      <c r="F660" s="72"/>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72"/>
      <c r="E661" s="72"/>
      <c r="F661" s="72"/>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72"/>
      <c r="E662" s="72"/>
      <c r="F662" s="72"/>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72"/>
      <c r="E663" s="72"/>
      <c r="F663" s="72"/>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72"/>
      <c r="E664" s="72"/>
      <c r="F664" s="72"/>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72"/>
      <c r="E665" s="72"/>
      <c r="F665" s="72"/>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72"/>
      <c r="E666" s="72"/>
      <c r="F666" s="72"/>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72"/>
      <c r="E667" s="72"/>
      <c r="F667" s="72"/>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72"/>
      <c r="E668" s="72"/>
      <c r="F668" s="72"/>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72"/>
      <c r="E669" s="72"/>
      <c r="F669" s="72"/>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72"/>
      <c r="E670" s="72"/>
      <c r="F670" s="72"/>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72"/>
      <c r="E671" s="72"/>
      <c r="F671" s="72"/>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72"/>
      <c r="E672" s="72"/>
      <c r="F672" s="72"/>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72"/>
      <c r="E673" s="72"/>
      <c r="F673" s="72"/>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72"/>
      <c r="E674" s="72"/>
      <c r="F674" s="72"/>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72"/>
      <c r="E675" s="72"/>
      <c r="F675" s="72"/>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72"/>
      <c r="E676" s="72"/>
      <c r="F676" s="72"/>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72"/>
      <c r="E677" s="72"/>
      <c r="F677" s="72"/>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72"/>
      <c r="E678" s="72"/>
      <c r="F678" s="72"/>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72"/>
      <c r="E679" s="72"/>
      <c r="F679" s="72"/>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72"/>
      <c r="E680" s="72"/>
      <c r="F680" s="72"/>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72"/>
      <c r="E681" s="72"/>
      <c r="F681" s="72"/>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72"/>
      <c r="E682" s="72"/>
      <c r="F682" s="72"/>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72"/>
      <c r="E683" s="72"/>
      <c r="F683" s="72"/>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72"/>
      <c r="E684" s="72"/>
      <c r="F684" s="72"/>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72"/>
      <c r="E685" s="72"/>
      <c r="F685" s="72"/>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72"/>
      <c r="E686" s="72"/>
      <c r="F686" s="72"/>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72"/>
      <c r="E687" s="72"/>
      <c r="F687" s="72"/>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72"/>
      <c r="E688" s="72"/>
      <c r="F688" s="72"/>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72"/>
      <c r="E689" s="72"/>
      <c r="F689" s="72"/>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72"/>
      <c r="E690" s="72"/>
      <c r="F690" s="72"/>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72"/>
      <c r="E691" s="72"/>
      <c r="F691" s="72"/>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72"/>
      <c r="E692" s="72"/>
      <c r="F692" s="72"/>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72"/>
      <c r="E693" s="72"/>
      <c r="F693" s="72"/>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72"/>
      <c r="E694" s="72"/>
      <c r="F694" s="72"/>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72"/>
      <c r="E695" s="72"/>
      <c r="F695" s="72"/>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72"/>
      <c r="E696" s="72"/>
      <c r="F696" s="72"/>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72"/>
      <c r="E697" s="72"/>
      <c r="F697" s="72"/>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72"/>
      <c r="E698" s="72"/>
      <c r="F698" s="72"/>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72"/>
      <c r="E699" s="72"/>
      <c r="F699" s="72"/>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72"/>
      <c r="E700" s="72"/>
      <c r="F700" s="72"/>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72"/>
      <c r="E701" s="72"/>
      <c r="F701" s="72"/>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72"/>
      <c r="E702" s="72"/>
      <c r="F702" s="72"/>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72"/>
      <c r="E703" s="72"/>
      <c r="F703" s="72"/>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72"/>
      <c r="E704" s="72"/>
      <c r="F704" s="72"/>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72"/>
      <c r="E705" s="72"/>
      <c r="F705" s="72"/>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72"/>
      <c r="E706" s="72"/>
      <c r="F706" s="72"/>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72"/>
      <c r="E707" s="72"/>
      <c r="F707" s="72"/>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72"/>
      <c r="E708" s="72"/>
      <c r="F708" s="72"/>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72"/>
      <c r="E709" s="72"/>
      <c r="F709" s="72"/>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72"/>
      <c r="E710" s="72"/>
      <c r="F710" s="72"/>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72"/>
      <c r="E711" s="72"/>
      <c r="F711" s="72"/>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72"/>
      <c r="E712" s="72"/>
      <c r="F712" s="72"/>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72"/>
      <c r="E713" s="72"/>
      <c r="F713" s="72"/>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72"/>
      <c r="E714" s="72"/>
      <c r="F714" s="72"/>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72"/>
      <c r="E715" s="72"/>
      <c r="F715" s="72"/>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72"/>
      <c r="E716" s="72"/>
      <c r="F716" s="72"/>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72"/>
      <c r="E717" s="72"/>
      <c r="F717" s="72"/>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72"/>
      <c r="E718" s="72"/>
      <c r="F718" s="72"/>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72"/>
      <c r="E719" s="72"/>
      <c r="F719" s="72"/>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72"/>
      <c r="E720" s="72"/>
      <c r="F720" s="72"/>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72"/>
      <c r="E721" s="72"/>
      <c r="F721" s="72"/>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72"/>
      <c r="E722" s="72"/>
      <c r="F722" s="72"/>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72"/>
      <c r="E723" s="72"/>
      <c r="F723" s="72"/>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72"/>
      <c r="E724" s="72"/>
      <c r="F724" s="72"/>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72"/>
      <c r="E725" s="72"/>
      <c r="F725" s="72"/>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72"/>
      <c r="E726" s="72"/>
      <c r="F726" s="72"/>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72"/>
      <c r="E727" s="72"/>
      <c r="F727" s="72"/>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72"/>
      <c r="E728" s="72"/>
      <c r="F728" s="72"/>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72"/>
      <c r="E729" s="72"/>
      <c r="F729" s="72"/>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72"/>
      <c r="E730" s="72"/>
      <c r="F730" s="72"/>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72"/>
      <c r="E731" s="72"/>
      <c r="F731" s="72"/>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72"/>
      <c r="E732" s="72"/>
      <c r="F732" s="72"/>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72"/>
      <c r="E733" s="72"/>
      <c r="F733" s="72"/>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72"/>
      <c r="E734" s="72"/>
      <c r="F734" s="72"/>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72"/>
      <c r="E735" s="72"/>
      <c r="F735" s="72"/>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72"/>
      <c r="E736" s="72"/>
      <c r="F736" s="72"/>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72"/>
      <c r="E737" s="72"/>
      <c r="F737" s="72"/>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72"/>
      <c r="E738" s="72"/>
      <c r="F738" s="72"/>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72"/>
      <c r="E739" s="72"/>
      <c r="F739" s="72"/>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72"/>
      <c r="E740" s="72"/>
      <c r="F740" s="72"/>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72"/>
      <c r="E741" s="72"/>
      <c r="F741" s="72"/>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72"/>
      <c r="E742" s="72"/>
      <c r="F742" s="72"/>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72"/>
      <c r="E743" s="72"/>
      <c r="F743" s="72"/>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72"/>
      <c r="E744" s="72"/>
      <c r="F744" s="72"/>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72"/>
      <c r="E745" s="72"/>
      <c r="F745" s="72"/>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72"/>
      <c r="E746" s="72"/>
      <c r="F746" s="72"/>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72"/>
      <c r="E747" s="72"/>
      <c r="F747" s="72"/>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72"/>
      <c r="E748" s="72"/>
      <c r="F748" s="72"/>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72"/>
      <c r="E749" s="72"/>
      <c r="F749" s="72"/>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72"/>
      <c r="E750" s="72"/>
      <c r="F750" s="72"/>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72"/>
      <c r="E751" s="72"/>
      <c r="F751" s="72"/>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72"/>
      <c r="E752" s="72"/>
      <c r="F752" s="72"/>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72"/>
      <c r="E753" s="72"/>
      <c r="F753" s="72"/>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72"/>
      <c r="E754" s="72"/>
      <c r="F754" s="72"/>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72"/>
      <c r="E755" s="72"/>
      <c r="F755" s="72"/>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72"/>
      <c r="E756" s="72"/>
      <c r="F756" s="72"/>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72"/>
      <c r="E757" s="72"/>
      <c r="F757" s="72"/>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72"/>
      <c r="E758" s="72"/>
      <c r="F758" s="72"/>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72"/>
      <c r="E759" s="72"/>
      <c r="F759" s="72"/>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72"/>
      <c r="E760" s="72"/>
      <c r="F760" s="72"/>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72"/>
      <c r="E761" s="72"/>
      <c r="F761" s="72"/>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72"/>
      <c r="E762" s="72"/>
      <c r="F762" s="72"/>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72"/>
      <c r="E763" s="72"/>
      <c r="F763" s="72"/>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72"/>
      <c r="E764" s="72"/>
      <c r="F764" s="72"/>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72"/>
      <c r="E765" s="72"/>
      <c r="F765" s="72"/>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72"/>
      <c r="E766" s="72"/>
      <c r="F766" s="72"/>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72"/>
      <c r="E767" s="72"/>
      <c r="F767" s="72"/>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72"/>
      <c r="E768" s="72"/>
      <c r="F768" s="72"/>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72"/>
      <c r="E769" s="72"/>
      <c r="F769" s="72"/>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72"/>
      <c r="E770" s="72"/>
      <c r="F770" s="72"/>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72"/>
      <c r="E771" s="72"/>
      <c r="F771" s="72"/>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72"/>
      <c r="E772" s="72"/>
      <c r="F772" s="72"/>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72"/>
      <c r="E773" s="72"/>
      <c r="F773" s="72"/>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72"/>
      <c r="E774" s="72"/>
      <c r="F774" s="72"/>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72"/>
      <c r="E775" s="72"/>
      <c r="F775" s="72"/>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72"/>
      <c r="E776" s="72"/>
      <c r="F776" s="72"/>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72"/>
      <c r="E777" s="72"/>
      <c r="F777" s="72"/>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72"/>
      <c r="E778" s="72"/>
      <c r="F778" s="72"/>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72"/>
      <c r="E779" s="72"/>
      <c r="F779" s="72"/>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72"/>
      <c r="E780" s="72"/>
      <c r="F780" s="72"/>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72"/>
      <c r="E781" s="72"/>
      <c r="F781" s="72"/>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72"/>
      <c r="E782" s="72"/>
      <c r="F782" s="72"/>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72"/>
      <c r="E783" s="72"/>
      <c r="F783" s="72"/>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72"/>
      <c r="E784" s="72"/>
      <c r="F784" s="72"/>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72"/>
      <c r="E785" s="72"/>
      <c r="F785" s="72"/>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72"/>
      <c r="E786" s="72"/>
      <c r="F786" s="72"/>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72"/>
      <c r="E787" s="72"/>
      <c r="F787" s="72"/>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72"/>
      <c r="E788" s="72"/>
      <c r="F788" s="72"/>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72"/>
      <c r="E789" s="72"/>
      <c r="F789" s="72"/>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72"/>
      <c r="E790" s="72"/>
      <c r="F790" s="72"/>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72"/>
      <c r="E791" s="72"/>
      <c r="F791" s="72"/>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72"/>
      <c r="E792" s="72"/>
      <c r="F792" s="72"/>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72"/>
      <c r="E793" s="72"/>
      <c r="F793" s="72"/>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72"/>
      <c r="E794" s="72"/>
      <c r="F794" s="72"/>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72"/>
      <c r="E795" s="72"/>
      <c r="F795" s="72"/>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72"/>
      <c r="E796" s="72"/>
      <c r="F796" s="72"/>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72"/>
      <c r="E797" s="72"/>
      <c r="F797" s="72"/>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72"/>
      <c r="E798" s="72"/>
      <c r="F798" s="72"/>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72"/>
      <c r="E799" s="72"/>
      <c r="F799" s="72"/>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72"/>
      <c r="E800" s="72"/>
      <c r="F800" s="72"/>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72"/>
      <c r="E801" s="72"/>
      <c r="F801" s="72"/>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72"/>
      <c r="E802" s="72"/>
      <c r="F802" s="72"/>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72"/>
      <c r="E803" s="72"/>
      <c r="F803" s="72"/>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72"/>
      <c r="E804" s="72"/>
      <c r="F804" s="72"/>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72"/>
      <c r="E805" s="72"/>
      <c r="F805" s="72"/>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72"/>
      <c r="E806" s="72"/>
      <c r="F806" s="72"/>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72"/>
      <c r="E807" s="72"/>
      <c r="F807" s="72"/>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72"/>
      <c r="E808" s="72"/>
      <c r="F808" s="72"/>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72"/>
      <c r="E809" s="72"/>
      <c r="F809" s="72"/>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72"/>
      <c r="E810" s="72"/>
      <c r="F810" s="72"/>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72"/>
      <c r="E811" s="72"/>
      <c r="F811" s="72"/>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72"/>
      <c r="E812" s="72"/>
      <c r="F812" s="72"/>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72"/>
      <c r="E813" s="72"/>
      <c r="F813" s="72"/>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72"/>
      <c r="E814" s="72"/>
      <c r="F814" s="72"/>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72"/>
      <c r="E815" s="72"/>
      <c r="F815" s="72"/>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72"/>
      <c r="E816" s="72"/>
      <c r="F816" s="72"/>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72"/>
      <c r="E817" s="72"/>
      <c r="F817" s="72"/>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72"/>
      <c r="E818" s="72"/>
      <c r="F818" s="72"/>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72"/>
      <c r="E819" s="72"/>
      <c r="F819" s="72"/>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72"/>
      <c r="E820" s="72"/>
      <c r="F820" s="72"/>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72"/>
      <c r="E821" s="72"/>
      <c r="F821" s="72"/>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72"/>
      <c r="E822" s="72"/>
      <c r="F822" s="72"/>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72"/>
      <c r="E823" s="72"/>
      <c r="F823" s="72"/>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72"/>
      <c r="E824" s="72"/>
      <c r="F824" s="72"/>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72"/>
      <c r="E825" s="72"/>
      <c r="F825" s="72"/>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72"/>
      <c r="E826" s="72"/>
      <c r="F826" s="72"/>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72"/>
      <c r="E827" s="72"/>
      <c r="F827" s="72"/>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72"/>
      <c r="E828" s="72"/>
      <c r="F828" s="72"/>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72"/>
      <c r="E829" s="72"/>
      <c r="F829" s="72"/>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72"/>
      <c r="E830" s="72"/>
      <c r="F830" s="72"/>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72"/>
      <c r="E831" s="72"/>
      <c r="F831" s="72"/>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72"/>
      <c r="E832" s="72"/>
      <c r="F832" s="72"/>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72"/>
      <c r="E833" s="72"/>
      <c r="F833" s="72"/>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72"/>
      <c r="E834" s="72"/>
      <c r="F834" s="72"/>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72"/>
      <c r="E835" s="72"/>
      <c r="F835" s="72"/>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72"/>
      <c r="E836" s="72"/>
      <c r="F836" s="72"/>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72"/>
      <c r="E837" s="72"/>
      <c r="F837" s="72"/>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72"/>
      <c r="E838" s="72"/>
      <c r="F838" s="72"/>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72"/>
      <c r="E839" s="72"/>
      <c r="F839" s="72"/>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72"/>
      <c r="E840" s="72"/>
      <c r="F840" s="72"/>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72"/>
      <c r="E841" s="72"/>
      <c r="F841" s="72"/>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72"/>
      <c r="E842" s="72"/>
      <c r="F842" s="72"/>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72"/>
      <c r="E843" s="72"/>
      <c r="F843" s="72"/>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72"/>
      <c r="E844" s="72"/>
      <c r="F844" s="72"/>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72"/>
      <c r="E845" s="72"/>
      <c r="F845" s="72"/>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72"/>
      <c r="E846" s="72"/>
      <c r="F846" s="72"/>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72"/>
      <c r="E847" s="72"/>
      <c r="F847" s="72"/>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72"/>
      <c r="E848" s="72"/>
      <c r="F848" s="72"/>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72"/>
      <c r="E849" s="72"/>
      <c r="F849" s="72"/>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72"/>
      <c r="E850" s="72"/>
      <c r="F850" s="72"/>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72"/>
      <c r="E851" s="72"/>
      <c r="F851" s="72"/>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72"/>
      <c r="E852" s="72"/>
      <c r="F852" s="72"/>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72"/>
      <c r="E853" s="72"/>
      <c r="F853" s="72"/>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72"/>
      <c r="E854" s="72"/>
      <c r="F854" s="72"/>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72"/>
      <c r="E855" s="72"/>
      <c r="F855" s="72"/>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72"/>
      <c r="E856" s="72"/>
      <c r="F856" s="72"/>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72"/>
      <c r="E857" s="72"/>
      <c r="F857" s="72"/>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72"/>
      <c r="E858" s="72"/>
      <c r="F858" s="72"/>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72"/>
      <c r="E859" s="72"/>
      <c r="F859" s="72"/>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72"/>
      <c r="E860" s="72"/>
      <c r="F860" s="72"/>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72"/>
      <c r="E861" s="72"/>
      <c r="F861" s="72"/>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72"/>
      <c r="E862" s="72"/>
      <c r="F862" s="72"/>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72"/>
      <c r="E863" s="72"/>
      <c r="F863" s="72"/>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72"/>
      <c r="E864" s="72"/>
      <c r="F864" s="72"/>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72"/>
      <c r="E865" s="72"/>
      <c r="F865" s="72"/>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72"/>
      <c r="E866" s="72"/>
      <c r="F866" s="72"/>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72"/>
      <c r="E867" s="72"/>
      <c r="F867" s="72"/>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72"/>
      <c r="E868" s="72"/>
      <c r="F868" s="72"/>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72"/>
      <c r="E869" s="72"/>
      <c r="F869" s="72"/>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72"/>
      <c r="E870" s="72"/>
      <c r="F870" s="72"/>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72"/>
      <c r="E871" s="72"/>
      <c r="F871" s="72"/>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72"/>
      <c r="E872" s="72"/>
      <c r="F872" s="72"/>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72"/>
      <c r="E873" s="72"/>
      <c r="F873" s="72"/>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72"/>
      <c r="E874" s="72"/>
      <c r="F874" s="72"/>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72"/>
      <c r="E875" s="72"/>
      <c r="F875" s="72"/>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72"/>
      <c r="E876" s="72"/>
      <c r="F876" s="72"/>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72"/>
      <c r="E877" s="72"/>
      <c r="F877" s="72"/>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72"/>
      <c r="E878" s="72"/>
      <c r="F878" s="72"/>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72"/>
      <c r="E879" s="72"/>
      <c r="F879" s="72"/>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72"/>
      <c r="E880" s="72"/>
      <c r="F880" s="72"/>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72"/>
      <c r="E881" s="72"/>
      <c r="F881" s="72"/>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72"/>
      <c r="E882" s="72"/>
      <c r="F882" s="72"/>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72"/>
      <c r="E883" s="72"/>
      <c r="F883" s="72"/>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72"/>
      <c r="E884" s="72"/>
      <c r="F884" s="72"/>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72"/>
      <c r="E885" s="72"/>
      <c r="F885" s="72"/>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72"/>
      <c r="E886" s="72"/>
      <c r="F886" s="72"/>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72"/>
      <c r="E887" s="72"/>
      <c r="F887" s="72"/>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72"/>
      <c r="E888" s="72"/>
      <c r="F888" s="72"/>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72"/>
      <c r="E889" s="72"/>
      <c r="F889" s="72"/>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72"/>
      <c r="E890" s="72"/>
      <c r="F890" s="72"/>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72"/>
      <c r="E891" s="72"/>
      <c r="F891" s="72"/>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72"/>
      <c r="E892" s="72"/>
      <c r="F892" s="72"/>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72"/>
      <c r="E893" s="72"/>
      <c r="F893" s="72"/>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72"/>
      <c r="E894" s="72"/>
      <c r="F894" s="72"/>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72"/>
      <c r="E895" s="72"/>
      <c r="F895" s="72"/>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72"/>
      <c r="E896" s="72"/>
      <c r="F896" s="72"/>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72"/>
      <c r="E897" s="72"/>
      <c r="F897" s="72"/>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72"/>
      <c r="E898" s="72"/>
      <c r="F898" s="72"/>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72"/>
      <c r="E899" s="72"/>
      <c r="F899" s="72"/>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72"/>
      <c r="E900" s="72"/>
      <c r="F900" s="72"/>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72"/>
      <c r="E901" s="72"/>
      <c r="F901" s="72"/>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72"/>
      <c r="E902" s="72"/>
      <c r="F902" s="72"/>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72"/>
      <c r="E903" s="72"/>
      <c r="F903" s="72"/>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72"/>
      <c r="E904" s="72"/>
      <c r="F904" s="72"/>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72"/>
      <c r="E905" s="72"/>
      <c r="F905" s="72"/>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72"/>
      <c r="E906" s="72"/>
      <c r="F906" s="72"/>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72"/>
      <c r="E907" s="72"/>
      <c r="F907" s="72"/>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72"/>
      <c r="E908" s="72"/>
      <c r="F908" s="72"/>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72"/>
      <c r="E909" s="72"/>
      <c r="F909" s="72"/>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72"/>
      <c r="E910" s="72"/>
      <c r="F910" s="72"/>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72"/>
      <c r="E911" s="72"/>
      <c r="F911" s="72"/>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72"/>
      <c r="E912" s="72"/>
      <c r="F912" s="72"/>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72"/>
      <c r="E913" s="72"/>
      <c r="F913" s="72"/>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72"/>
      <c r="E914" s="72"/>
      <c r="F914" s="72"/>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72"/>
      <c r="E915" s="72"/>
      <c r="F915" s="72"/>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72"/>
      <c r="E916" s="72"/>
      <c r="F916" s="72"/>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72"/>
      <c r="E917" s="72"/>
      <c r="F917" s="72"/>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72"/>
      <c r="E918" s="72"/>
      <c r="F918" s="72"/>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72"/>
      <c r="E919" s="72"/>
      <c r="F919" s="72"/>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72"/>
      <c r="E920" s="72"/>
      <c r="F920" s="72"/>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72"/>
      <c r="E921" s="72"/>
      <c r="F921" s="72"/>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72"/>
      <c r="E922" s="72"/>
      <c r="F922" s="72"/>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72"/>
      <c r="E923" s="72"/>
      <c r="F923" s="72"/>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72"/>
      <c r="E924" s="72"/>
      <c r="F924" s="72"/>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72"/>
      <c r="E925" s="72"/>
      <c r="F925" s="72"/>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72"/>
      <c r="E926" s="72"/>
      <c r="F926" s="72"/>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72"/>
      <c r="E927" s="72"/>
      <c r="F927" s="72"/>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72"/>
      <c r="E928" s="72"/>
      <c r="F928" s="72"/>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72"/>
      <c r="E929" s="72"/>
      <c r="F929" s="72"/>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72"/>
      <c r="E930" s="72"/>
      <c r="F930" s="72"/>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72"/>
      <c r="E931" s="72"/>
      <c r="F931" s="72"/>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72"/>
      <c r="E932" s="72"/>
      <c r="F932" s="72"/>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72"/>
      <c r="E933" s="72"/>
      <c r="F933" s="72"/>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72"/>
      <c r="E934" s="72"/>
      <c r="F934" s="72"/>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72"/>
      <c r="E935" s="72"/>
      <c r="F935" s="72"/>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72"/>
      <c r="E936" s="72"/>
      <c r="F936" s="72"/>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72"/>
      <c r="E937" s="72"/>
      <c r="F937" s="72"/>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72"/>
      <c r="E938" s="72"/>
      <c r="F938" s="72"/>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72"/>
      <c r="E939" s="72"/>
      <c r="F939" s="72"/>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72"/>
      <c r="E940" s="72"/>
      <c r="F940" s="72"/>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72"/>
      <c r="E941" s="72"/>
      <c r="F941" s="72"/>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72"/>
      <c r="E942" s="72"/>
      <c r="F942" s="72"/>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72"/>
      <c r="E943" s="72"/>
      <c r="F943" s="72"/>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72"/>
      <c r="E944" s="72"/>
      <c r="F944" s="72"/>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72"/>
      <c r="E945" s="72"/>
      <c r="F945" s="72"/>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72"/>
      <c r="E946" s="72"/>
      <c r="F946" s="72"/>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72"/>
      <c r="E947" s="72"/>
      <c r="F947" s="72"/>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72"/>
      <c r="E948" s="72"/>
      <c r="F948" s="72"/>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72"/>
      <c r="E949" s="72"/>
      <c r="F949" s="72"/>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72"/>
      <c r="E950" s="72"/>
      <c r="F950" s="72"/>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72"/>
      <c r="E951" s="72"/>
      <c r="F951" s="72"/>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72"/>
      <c r="E952" s="72"/>
      <c r="F952" s="72"/>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72"/>
      <c r="E953" s="72"/>
      <c r="F953" s="72"/>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72"/>
      <c r="E954" s="72"/>
      <c r="F954" s="72"/>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72"/>
      <c r="E955" s="72"/>
      <c r="F955" s="72"/>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72"/>
      <c r="E956" s="72"/>
      <c r="F956" s="72"/>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72"/>
      <c r="E957" s="72"/>
      <c r="F957" s="72"/>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72"/>
      <c r="E958" s="72"/>
      <c r="F958" s="72"/>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72"/>
      <c r="E959" s="72"/>
      <c r="F959" s="72"/>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72"/>
      <c r="E960" s="72"/>
      <c r="F960" s="72"/>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72"/>
      <c r="E961" s="72"/>
      <c r="F961" s="72"/>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72"/>
      <c r="E962" s="72"/>
      <c r="F962" s="72"/>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72"/>
      <c r="E963" s="72"/>
      <c r="F963" s="72"/>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72"/>
      <c r="E964" s="72"/>
      <c r="F964" s="72"/>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72"/>
      <c r="E965" s="72"/>
      <c r="F965" s="72"/>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72"/>
      <c r="E966" s="72"/>
      <c r="F966" s="72"/>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72"/>
      <c r="E967" s="72"/>
      <c r="F967" s="72"/>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72"/>
      <c r="E968" s="72"/>
      <c r="F968" s="72"/>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72"/>
      <c r="E969" s="72"/>
      <c r="F969" s="72"/>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72"/>
      <c r="E970" s="72"/>
      <c r="F970" s="72"/>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72"/>
      <c r="E971" s="72"/>
      <c r="F971" s="72"/>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72"/>
      <c r="E972" s="72"/>
      <c r="F972" s="72"/>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72"/>
      <c r="E973" s="72"/>
      <c r="F973" s="72"/>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72"/>
      <c r="E974" s="72"/>
      <c r="F974" s="72"/>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72"/>
      <c r="E975" s="72"/>
      <c r="F975" s="72"/>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72"/>
      <c r="E976" s="72"/>
      <c r="F976" s="72"/>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72"/>
      <c r="E977" s="72"/>
      <c r="F977" s="72"/>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72"/>
      <c r="E978" s="72"/>
      <c r="F978" s="72"/>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72"/>
      <c r="E979" s="72"/>
      <c r="F979" s="72"/>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72"/>
      <c r="E980" s="72"/>
      <c r="F980" s="72"/>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72"/>
      <c r="E981" s="72"/>
      <c r="F981" s="72"/>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72"/>
      <c r="E982" s="72"/>
      <c r="F982" s="72"/>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72"/>
      <c r="E983" s="72"/>
      <c r="F983" s="72"/>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72"/>
      <c r="E984" s="72"/>
      <c r="F984" s="72"/>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72"/>
      <c r="E985" s="72"/>
      <c r="F985" s="72"/>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72"/>
      <c r="E986" s="72"/>
      <c r="F986" s="72"/>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72"/>
      <c r="E987" s="72"/>
      <c r="F987" s="72"/>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72"/>
      <c r="E988" s="72"/>
      <c r="F988" s="72"/>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72"/>
      <c r="E989" s="72"/>
      <c r="F989" s="72"/>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72"/>
      <c r="E990" s="72"/>
      <c r="F990" s="72"/>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72"/>
      <c r="E991" s="72"/>
      <c r="F991" s="72"/>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72"/>
      <c r="E992" s="72"/>
      <c r="F992" s="72"/>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72"/>
      <c r="E993" s="72"/>
      <c r="F993" s="72"/>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72"/>
      <c r="E994" s="72"/>
      <c r="F994" s="72"/>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72"/>
      <c r="E995" s="72"/>
      <c r="F995" s="72"/>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72"/>
      <c r="E996" s="72"/>
      <c r="F996" s="72"/>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72"/>
      <c r="E997" s="72"/>
      <c r="F997" s="72"/>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72"/>
      <c r="E998" s="72"/>
      <c r="F998" s="72"/>
      <c r="G998" s="1"/>
      <c r="H998" s="1"/>
      <c r="I998" s="1"/>
      <c r="J998" s="1"/>
      <c r="K998" s="1"/>
      <c r="L998" s="1"/>
      <c r="M998" s="1"/>
      <c r="N998" s="1"/>
      <c r="O998" s="1"/>
      <c r="P998" s="1"/>
      <c r="Q998" s="1"/>
      <c r="R998" s="1"/>
      <c r="S998" s="1"/>
      <c r="T998" s="1"/>
      <c r="U998" s="1"/>
      <c r="V998" s="1"/>
      <c r="W998" s="1"/>
      <c r="X998" s="1"/>
      <c r="Y998" s="1"/>
      <c r="Z998" s="1"/>
    </row>
  </sheetData>
  <mergeCells count="6">
    <mergeCell ref="E252:M252"/>
    <mergeCell ref="C254:C262"/>
    <mergeCell ref="E266:M266"/>
    <mergeCell ref="C268:C276"/>
    <mergeCell ref="F142:I142"/>
    <mergeCell ref="K142:N142"/>
  </mergeCells>
  <dataValidations disablePrompts="1" count="2">
    <dataValidation type="list" allowBlank="1" showErrorMessage="1" sqref="D14" xr:uid="{00000000-0002-0000-0500-000000000000}">
      <formula1>$C$26:$C$28</formula1>
    </dataValidation>
    <dataValidation type="decimal" allowBlank="1" showErrorMessage="1" sqref="D16:D17" xr:uid="{00000000-0002-0000-0500-000001000000}">
      <formula1>-1</formula1>
      <formula2>1</formula2>
    </dataValidation>
  </dataValidations>
  <pageMargins left="0.7" right="0.7" top="0.75" bottom="0.75" header="0" footer="0"/>
  <pageSetup orientation="portrait" r:id="rId1"/>
  <rowBreaks count="6" manualBreakCount="6">
    <brk id="99" man="1"/>
    <brk id="180" man="1"/>
    <brk id="38" man="1"/>
    <brk id="70" man="1"/>
    <brk id="138" man="1"/>
    <brk id="247" man="1"/>
  </rowBreaks>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showGridLines="0" workbookViewId="0"/>
  </sheetViews>
  <sheetFormatPr defaultColWidth="14.42578125" defaultRowHeight="15" customHeight="1"/>
  <cols>
    <col min="1" max="2" width="2.7109375" customWidth="1"/>
    <col min="3" max="3" width="45.7109375" customWidth="1"/>
    <col min="4" max="4" width="12.7109375" customWidth="1"/>
    <col min="5" max="9" width="10.7109375" customWidth="1"/>
    <col min="10" max="10" width="2.7109375" customWidth="1"/>
    <col min="11" max="18" width="10.7109375" customWidth="1"/>
    <col min="19" max="19" width="2.7109375" customWidth="1"/>
    <col min="20" max="26" width="8.85546875" customWidth="1"/>
  </cols>
  <sheetData>
    <row r="1" spans="1:26" ht="15.75" customHeight="1">
      <c r="A1" s="1"/>
      <c r="B1" s="1"/>
      <c r="C1" s="1"/>
      <c r="D1" s="72"/>
      <c r="E1" s="72"/>
      <c r="F1" s="72"/>
      <c r="G1" s="1"/>
      <c r="H1" s="1"/>
      <c r="I1" s="1"/>
      <c r="J1" s="1"/>
      <c r="K1" s="1"/>
      <c r="L1" s="1"/>
      <c r="M1" s="1"/>
      <c r="N1" s="1"/>
      <c r="O1" s="1"/>
      <c r="P1" s="1"/>
      <c r="Q1" s="1"/>
      <c r="R1" s="1"/>
      <c r="S1" s="1"/>
      <c r="T1" s="1"/>
      <c r="U1" s="1"/>
      <c r="V1" s="1"/>
      <c r="W1" s="1"/>
      <c r="X1" s="1"/>
      <c r="Y1" s="1"/>
      <c r="Z1" s="1"/>
    </row>
    <row r="2" spans="1:26" ht="15.75" customHeight="1">
      <c r="A2" s="1"/>
      <c r="B2" s="2" t="str">
        <f>Company_Name&amp;" - H1 Financial Results"</f>
        <v>Activision Blizzard - H1 Financial Results</v>
      </c>
      <c r="C2" s="1"/>
      <c r="D2" s="72"/>
      <c r="E2" s="72"/>
      <c r="F2" s="72"/>
      <c r="G2" s="1"/>
      <c r="H2" s="1"/>
      <c r="I2" s="1"/>
      <c r="J2" s="1"/>
      <c r="K2" s="1"/>
      <c r="L2" s="1"/>
      <c r="M2" s="1"/>
      <c r="N2" s="1"/>
      <c r="O2" s="1"/>
      <c r="P2" s="1"/>
      <c r="Q2" s="1"/>
      <c r="R2" s="1"/>
      <c r="S2" s="1"/>
      <c r="T2" s="1"/>
      <c r="U2" s="1"/>
      <c r="V2" s="1"/>
      <c r="W2" s="1"/>
      <c r="X2" s="1"/>
      <c r="Y2" s="1"/>
      <c r="Z2" s="1"/>
    </row>
    <row r="3" spans="1:26" ht="15.75" customHeight="1">
      <c r="A3" s="1"/>
      <c r="B3" s="1" t="str">
        <f>+'ATVI-DCF'!$B$3</f>
        <v>($ in Millions Except Per Share and Per Unit Data)</v>
      </c>
      <c r="C3" s="1"/>
      <c r="D3" s="72"/>
      <c r="E3" s="72"/>
      <c r="F3" s="72"/>
      <c r="G3" s="1"/>
      <c r="H3" s="1"/>
      <c r="I3" s="1"/>
      <c r="J3" s="1"/>
      <c r="K3" s="1"/>
      <c r="L3" s="1"/>
      <c r="M3" s="1"/>
      <c r="N3" s="1"/>
      <c r="O3" s="1"/>
      <c r="P3" s="1"/>
      <c r="Q3" s="1"/>
      <c r="R3" s="1"/>
      <c r="S3" s="1"/>
      <c r="T3" s="1"/>
      <c r="U3" s="1"/>
      <c r="V3" s="1"/>
      <c r="W3" s="1"/>
      <c r="X3" s="1"/>
      <c r="Y3" s="1"/>
      <c r="Z3" s="1"/>
    </row>
    <row r="4" spans="1:26" ht="15.75" customHeight="1">
      <c r="A4" s="1"/>
      <c r="B4" s="1"/>
      <c r="C4" s="1"/>
      <c r="D4" s="72"/>
      <c r="E4" s="72"/>
      <c r="F4" s="72"/>
      <c r="G4" s="1"/>
      <c r="H4" s="1"/>
      <c r="I4" s="1"/>
      <c r="J4" s="1"/>
      <c r="K4" s="1"/>
      <c r="L4" s="1"/>
      <c r="M4" s="1"/>
      <c r="N4" s="1"/>
      <c r="O4" s="1"/>
      <c r="P4" s="1"/>
      <c r="Q4" s="1"/>
      <c r="R4" s="1"/>
      <c r="S4" s="1"/>
      <c r="T4" s="1"/>
      <c r="U4" s="1"/>
      <c r="V4" s="1"/>
      <c r="W4" s="1"/>
      <c r="X4" s="1"/>
      <c r="Y4" s="1"/>
      <c r="Z4" s="1"/>
    </row>
    <row r="5" spans="1:26" ht="15.75" customHeight="1">
      <c r="A5" s="1"/>
      <c r="B5" s="186"/>
      <c r="C5" s="186"/>
      <c r="D5" s="187"/>
      <c r="E5" s="187"/>
      <c r="F5" s="187"/>
      <c r="G5" s="186"/>
      <c r="H5" s="186"/>
      <c r="I5" s="186"/>
      <c r="J5" s="1"/>
      <c r="K5" s="1"/>
      <c r="L5" s="1"/>
      <c r="M5" s="1"/>
      <c r="N5" s="1"/>
      <c r="O5" s="1"/>
      <c r="P5" s="1"/>
      <c r="Q5" s="1"/>
      <c r="R5" s="1"/>
      <c r="S5" s="1"/>
      <c r="T5" s="1"/>
      <c r="U5" s="1"/>
      <c r="V5" s="1"/>
      <c r="W5" s="1"/>
      <c r="X5" s="1"/>
      <c r="Y5" s="1"/>
      <c r="Z5" s="1"/>
    </row>
    <row r="6" spans="1:26" ht="15.75" customHeight="1">
      <c r="A6" s="1"/>
      <c r="B6" s="189" t="s">
        <v>296</v>
      </c>
      <c r="C6" s="256"/>
      <c r="D6" s="255"/>
      <c r="E6" s="255"/>
      <c r="F6" s="255"/>
      <c r="G6" s="256"/>
      <c r="H6" s="256"/>
      <c r="I6" s="191" t="s">
        <v>297</v>
      </c>
      <c r="J6" s="1"/>
      <c r="K6" s="1"/>
      <c r="L6" s="1"/>
      <c r="M6" s="1"/>
      <c r="N6" s="1"/>
      <c r="O6" s="1"/>
      <c r="P6" s="1"/>
      <c r="Q6" s="1"/>
      <c r="R6" s="1"/>
      <c r="S6" s="1"/>
      <c r="T6" s="1"/>
      <c r="U6" s="1"/>
      <c r="V6" s="1"/>
      <c r="W6" s="1"/>
      <c r="X6" s="1"/>
      <c r="Y6" s="1"/>
      <c r="Z6" s="1"/>
    </row>
    <row r="7" spans="1:26" ht="15.75" customHeight="1">
      <c r="A7" s="1"/>
      <c r="B7" s="1"/>
      <c r="C7" s="3" t="s">
        <v>90</v>
      </c>
      <c r="D7" s="72"/>
      <c r="E7" s="72"/>
      <c r="F7" s="72"/>
      <c r="G7" s="1"/>
      <c r="H7" s="1"/>
      <c r="I7" s="118">
        <v>770.43899999999996</v>
      </c>
      <c r="J7" s="1"/>
      <c r="K7" s="1"/>
      <c r="L7" s="1"/>
      <c r="M7" s="1"/>
      <c r="N7" s="1"/>
      <c r="O7" s="1"/>
      <c r="P7" s="1"/>
      <c r="Q7" s="1"/>
      <c r="R7" s="1"/>
      <c r="S7" s="1"/>
      <c r="T7" s="1"/>
      <c r="U7" s="1"/>
      <c r="V7" s="1"/>
      <c r="W7" s="1"/>
      <c r="X7" s="1"/>
      <c r="Y7" s="1"/>
      <c r="Z7" s="1"/>
    </row>
    <row r="8" spans="1:26" ht="15.75" customHeight="1">
      <c r="A8" s="1"/>
      <c r="B8" s="1"/>
      <c r="C8" s="236" t="s">
        <v>298</v>
      </c>
      <c r="D8" s="72"/>
      <c r="E8" s="72"/>
      <c r="F8" s="72"/>
      <c r="G8" s="1"/>
      <c r="H8" s="1"/>
      <c r="I8" s="183">
        <f>+I7/717.171-1</f>
        <v>7.4275172866722139E-2</v>
      </c>
      <c r="J8" s="1"/>
      <c r="K8" s="1"/>
      <c r="L8" s="1"/>
      <c r="M8" s="1"/>
      <c r="N8" s="1"/>
      <c r="O8" s="1"/>
      <c r="P8" s="1"/>
      <c r="Q8" s="1"/>
      <c r="R8" s="1"/>
      <c r="S8" s="1"/>
      <c r="T8" s="1"/>
      <c r="U8" s="1"/>
      <c r="V8" s="1"/>
      <c r="W8" s="1"/>
      <c r="X8" s="1"/>
      <c r="Y8" s="1"/>
      <c r="Z8" s="1"/>
    </row>
    <row r="9" spans="1:26" ht="15.75" customHeight="1">
      <c r="A9" s="1"/>
      <c r="B9" s="1"/>
      <c r="C9" s="1" t="s">
        <v>92</v>
      </c>
      <c r="D9" s="72"/>
      <c r="E9" s="72"/>
      <c r="F9" s="72"/>
      <c r="G9" s="1"/>
      <c r="H9" s="1"/>
      <c r="I9" s="23">
        <f>+I7-53.737-276.583-85.085-51.851</f>
        <v>303.18299999999999</v>
      </c>
      <c r="J9" s="1"/>
      <c r="K9" s="1"/>
      <c r="L9" s="1"/>
      <c r="M9" s="1"/>
      <c r="N9" s="1"/>
      <c r="O9" s="1"/>
      <c r="P9" s="1"/>
      <c r="Q9" s="1"/>
      <c r="R9" s="1"/>
      <c r="S9" s="1"/>
      <c r="T9" s="1"/>
      <c r="U9" s="1"/>
      <c r="V9" s="1"/>
      <c r="W9" s="1"/>
      <c r="X9" s="1"/>
      <c r="Y9" s="1"/>
      <c r="Z9" s="1"/>
    </row>
    <row r="10" spans="1:26" ht="15.75" customHeight="1">
      <c r="A10" s="1"/>
      <c r="B10" s="1"/>
      <c r="C10" s="236" t="s">
        <v>299</v>
      </c>
      <c r="D10" s="72"/>
      <c r="E10" s="72"/>
      <c r="F10" s="72"/>
      <c r="G10" s="1"/>
      <c r="H10" s="1"/>
      <c r="I10" s="183">
        <f>+I9/I7</f>
        <v>0.39351979845257057</v>
      </c>
      <c r="J10" s="1"/>
      <c r="K10" s="1"/>
      <c r="L10" s="1"/>
      <c r="M10" s="1"/>
      <c r="N10" s="1"/>
      <c r="O10" s="1"/>
      <c r="P10" s="1"/>
      <c r="Q10" s="1"/>
      <c r="R10" s="1"/>
      <c r="S10" s="1"/>
      <c r="T10" s="1"/>
      <c r="U10" s="1"/>
      <c r="V10" s="1"/>
      <c r="W10" s="1"/>
      <c r="X10" s="1"/>
      <c r="Y10" s="1"/>
      <c r="Z10" s="1"/>
    </row>
    <row r="11" spans="1:26" ht="15.75" customHeight="1">
      <c r="A11" s="1"/>
      <c r="B11" s="1"/>
      <c r="C11" s="1"/>
      <c r="D11" s="72"/>
      <c r="E11" s="72"/>
      <c r="F11" s="72"/>
      <c r="G11" s="1"/>
      <c r="H11" s="1"/>
      <c r="I11" s="1"/>
      <c r="J11" s="1"/>
      <c r="K11" s="1"/>
      <c r="L11" s="1"/>
      <c r="M11" s="1"/>
      <c r="N11" s="1"/>
      <c r="O11" s="1"/>
      <c r="P11" s="1"/>
      <c r="Q11" s="1"/>
      <c r="R11" s="1"/>
      <c r="S11" s="1"/>
      <c r="T11" s="1"/>
      <c r="U11" s="1"/>
      <c r="V11" s="1"/>
      <c r="W11" s="1"/>
      <c r="X11" s="1"/>
      <c r="Y11" s="1"/>
      <c r="Z11" s="1"/>
    </row>
    <row r="12" spans="1:26" ht="15.75" customHeight="1">
      <c r="A12" s="1"/>
      <c r="B12" s="1"/>
      <c r="C12" s="1" t="s">
        <v>245</v>
      </c>
      <c r="D12" s="72"/>
      <c r="E12" s="72"/>
      <c r="F12" s="72"/>
      <c r="G12" s="1"/>
      <c r="H12" s="1"/>
      <c r="I12" s="242">
        <f>-I9*Tax_Rate</f>
        <v>-58.180817699999992</v>
      </c>
      <c r="J12" s="1"/>
      <c r="K12" s="1"/>
      <c r="L12" s="1"/>
      <c r="M12" s="1"/>
      <c r="N12" s="1"/>
      <c r="O12" s="1"/>
      <c r="P12" s="1"/>
      <c r="Q12" s="1"/>
      <c r="R12" s="1"/>
      <c r="S12" s="1"/>
      <c r="T12" s="1"/>
      <c r="U12" s="1"/>
      <c r="V12" s="1"/>
      <c r="W12" s="1"/>
      <c r="X12" s="1"/>
      <c r="Y12" s="1"/>
      <c r="Z12" s="1"/>
    </row>
    <row r="13" spans="1:26" ht="15.75" customHeight="1">
      <c r="A13" s="1"/>
      <c r="B13" s="1"/>
      <c r="C13" s="1"/>
      <c r="D13" s="72"/>
      <c r="E13" s="72"/>
      <c r="F13" s="72"/>
      <c r="G13" s="1"/>
      <c r="H13" s="1"/>
      <c r="I13" s="1"/>
      <c r="J13" s="1"/>
      <c r="K13" s="1"/>
      <c r="L13" s="1"/>
      <c r="M13" s="1"/>
      <c r="N13" s="1"/>
      <c r="O13" s="1"/>
      <c r="P13" s="1"/>
      <c r="Q13" s="1"/>
      <c r="R13" s="1"/>
      <c r="S13" s="1"/>
      <c r="T13" s="1"/>
      <c r="U13" s="1"/>
      <c r="V13" s="1"/>
      <c r="W13" s="1"/>
      <c r="X13" s="1"/>
      <c r="Y13" s="1"/>
      <c r="Z13" s="1"/>
    </row>
    <row r="14" spans="1:26" ht="15.75" customHeight="1">
      <c r="A14" s="1"/>
      <c r="B14" s="1"/>
      <c r="C14" s="3" t="s">
        <v>246</v>
      </c>
      <c r="D14" s="72"/>
      <c r="E14" s="72"/>
      <c r="F14" s="72"/>
      <c r="G14" s="1"/>
      <c r="H14" s="1"/>
      <c r="I14" s="291">
        <f>+I9+I12</f>
        <v>245.00218230000002</v>
      </c>
      <c r="J14" s="1"/>
      <c r="K14" s="1"/>
      <c r="L14" s="1"/>
      <c r="M14" s="1"/>
      <c r="N14" s="1"/>
      <c r="O14" s="1"/>
      <c r="P14" s="1"/>
      <c r="Q14" s="1"/>
      <c r="R14" s="1"/>
      <c r="S14" s="1"/>
      <c r="T14" s="1"/>
      <c r="U14" s="1"/>
      <c r="V14" s="1"/>
      <c r="W14" s="1"/>
      <c r="X14" s="1"/>
      <c r="Y14" s="1"/>
      <c r="Z14" s="1"/>
    </row>
    <row r="15" spans="1:26" ht="15.75" customHeight="1">
      <c r="A15" s="1"/>
      <c r="B15" s="1"/>
      <c r="C15" s="1"/>
      <c r="D15" s="72"/>
      <c r="E15" s="72"/>
      <c r="F15" s="72"/>
      <c r="G15" s="1"/>
      <c r="H15" s="1"/>
      <c r="I15" s="1"/>
      <c r="J15" s="1"/>
      <c r="K15" s="1"/>
      <c r="L15" s="1"/>
      <c r="M15" s="1"/>
      <c r="N15" s="1"/>
      <c r="O15" s="1"/>
      <c r="P15" s="1"/>
      <c r="Q15" s="1"/>
      <c r="R15" s="1"/>
      <c r="S15" s="1"/>
      <c r="T15" s="1"/>
      <c r="U15" s="1"/>
      <c r="V15" s="1"/>
      <c r="W15" s="1"/>
      <c r="X15" s="1"/>
      <c r="Y15" s="1"/>
      <c r="Z15" s="1"/>
    </row>
    <row r="16" spans="1:26" ht="15.75" customHeight="1">
      <c r="A16" s="1"/>
      <c r="B16" s="1"/>
      <c r="C16" s="3" t="s">
        <v>247</v>
      </c>
      <c r="D16" s="72"/>
      <c r="E16" s="72"/>
      <c r="F16" s="72"/>
      <c r="G16" s="1"/>
      <c r="H16" s="1"/>
      <c r="I16" s="1"/>
      <c r="J16" s="1"/>
      <c r="K16" s="1"/>
      <c r="L16" s="1"/>
      <c r="M16" s="1"/>
      <c r="N16" s="1"/>
      <c r="O16" s="1"/>
      <c r="P16" s="1"/>
      <c r="Q16" s="1"/>
      <c r="R16" s="1"/>
      <c r="S16" s="1"/>
      <c r="T16" s="1"/>
      <c r="U16" s="1"/>
      <c r="V16" s="1"/>
      <c r="W16" s="1"/>
      <c r="X16" s="1"/>
      <c r="Y16" s="1"/>
      <c r="Z16" s="1"/>
    </row>
    <row r="17" spans="1:26" ht="15.75" customHeight="1">
      <c r="A17" s="1"/>
      <c r="B17" s="1"/>
      <c r="C17" s="19" t="s">
        <v>242</v>
      </c>
      <c r="D17" s="72"/>
      <c r="E17" s="72"/>
      <c r="F17" s="72"/>
      <c r="G17" s="1"/>
      <c r="H17" s="1"/>
      <c r="I17" s="121">
        <v>51.850999999999999</v>
      </c>
      <c r="J17" s="1"/>
      <c r="K17" s="1"/>
      <c r="L17" s="1"/>
      <c r="M17" s="1"/>
      <c r="N17" s="1"/>
      <c r="O17" s="1"/>
      <c r="P17" s="1"/>
      <c r="Q17" s="1"/>
      <c r="R17" s="1"/>
      <c r="S17" s="1"/>
      <c r="T17" s="1"/>
      <c r="U17" s="1"/>
      <c r="V17" s="1"/>
      <c r="W17" s="1"/>
      <c r="X17" s="1"/>
      <c r="Y17" s="1"/>
      <c r="Z17" s="1"/>
    </row>
    <row r="18" spans="1:26" ht="15.75" customHeight="1">
      <c r="A18" s="1"/>
      <c r="B18" s="1"/>
      <c r="C18" s="19" t="s">
        <v>248</v>
      </c>
      <c r="D18" s="72"/>
      <c r="E18" s="72"/>
      <c r="F18" s="72"/>
      <c r="G18" s="1"/>
      <c r="H18" s="1"/>
      <c r="I18" s="121">
        <v>6.2229999999999999</v>
      </c>
      <c r="J18" s="1"/>
      <c r="K18" s="1"/>
      <c r="L18" s="1"/>
      <c r="M18" s="1"/>
      <c r="N18" s="1"/>
      <c r="O18" s="1"/>
      <c r="P18" s="1"/>
      <c r="Q18" s="1"/>
      <c r="R18" s="1"/>
      <c r="S18" s="1"/>
      <c r="T18" s="1"/>
      <c r="U18" s="1"/>
      <c r="V18" s="1"/>
      <c r="W18" s="1"/>
      <c r="X18" s="1"/>
      <c r="Y18" s="1"/>
      <c r="Z18" s="1"/>
    </row>
    <row r="19" spans="1:26" ht="15.75" customHeight="1">
      <c r="A19" s="1"/>
      <c r="B19" s="1"/>
      <c r="C19" s="19" t="s">
        <v>249</v>
      </c>
      <c r="D19" s="72"/>
      <c r="E19" s="72"/>
      <c r="F19" s="72"/>
      <c r="G19" s="1"/>
      <c r="H19" s="1"/>
      <c r="I19" s="121">
        <v>-29.956</v>
      </c>
      <c r="J19" s="1"/>
      <c r="K19" s="1"/>
      <c r="L19" s="1"/>
      <c r="M19" s="1"/>
      <c r="N19" s="1"/>
      <c r="O19" s="1"/>
      <c r="P19" s="1"/>
      <c r="Q19" s="1"/>
      <c r="R19" s="1"/>
      <c r="S19" s="1"/>
      <c r="T19" s="1"/>
      <c r="U19" s="1"/>
      <c r="V19" s="1"/>
      <c r="W19" s="1"/>
      <c r="X19" s="1"/>
      <c r="Y19" s="1"/>
      <c r="Z19" s="1"/>
    </row>
    <row r="20" spans="1:26" ht="15.75" customHeight="1">
      <c r="A20" s="1"/>
      <c r="B20" s="1"/>
      <c r="C20" s="266" t="s">
        <v>250</v>
      </c>
      <c r="D20" s="319"/>
      <c r="E20" s="319"/>
      <c r="F20" s="319"/>
      <c r="G20" s="267"/>
      <c r="H20" s="267"/>
      <c r="I20" s="51">
        <f>1.548+8</f>
        <v>9.548</v>
      </c>
      <c r="J20" s="1"/>
      <c r="K20" s="1"/>
      <c r="L20" s="1"/>
      <c r="M20" s="1"/>
      <c r="N20" s="1"/>
      <c r="O20" s="1"/>
      <c r="P20" s="1"/>
      <c r="Q20" s="1"/>
      <c r="R20" s="1"/>
      <c r="S20" s="1"/>
      <c r="T20" s="1"/>
      <c r="U20" s="1"/>
      <c r="V20" s="1"/>
      <c r="W20" s="1"/>
      <c r="X20" s="1"/>
      <c r="Y20" s="1"/>
      <c r="Z20" s="1"/>
    </row>
    <row r="21" spans="1:26" ht="15.75" customHeight="1">
      <c r="A21" s="1"/>
      <c r="B21" s="1"/>
      <c r="C21" s="3" t="s">
        <v>251</v>
      </c>
      <c r="D21" s="72"/>
      <c r="E21" s="72"/>
      <c r="F21" s="72"/>
      <c r="G21" s="1"/>
      <c r="H21" s="1"/>
      <c r="I21" s="269">
        <f>SUM(I17:I20)</f>
        <v>37.665999999999997</v>
      </c>
      <c r="J21" s="1"/>
      <c r="K21" s="1"/>
      <c r="L21" s="1"/>
      <c r="M21" s="1"/>
      <c r="N21" s="1"/>
      <c r="O21" s="1"/>
      <c r="P21" s="1"/>
      <c r="Q21" s="1"/>
      <c r="R21" s="1"/>
      <c r="S21" s="1"/>
      <c r="T21" s="1"/>
      <c r="U21" s="1"/>
      <c r="V21" s="1"/>
      <c r="W21" s="1"/>
      <c r="X21" s="1"/>
      <c r="Y21" s="1"/>
      <c r="Z21" s="1"/>
    </row>
    <row r="22" spans="1:26" ht="15.75" customHeight="1">
      <c r="A22" s="1"/>
      <c r="B22" s="1"/>
      <c r="C22" s="1"/>
      <c r="D22" s="72"/>
      <c r="E22" s="72"/>
      <c r="F22" s="72"/>
      <c r="G22" s="1"/>
      <c r="H22" s="1"/>
      <c r="I22" s="1"/>
      <c r="J22" s="1"/>
      <c r="K22" s="1"/>
      <c r="L22" s="1"/>
      <c r="M22" s="1"/>
      <c r="N22" s="1"/>
      <c r="O22" s="1"/>
      <c r="P22" s="1"/>
      <c r="Q22" s="1"/>
      <c r="R22" s="1"/>
      <c r="S22" s="1"/>
      <c r="T22" s="1"/>
      <c r="U22" s="1"/>
      <c r="V22" s="1"/>
      <c r="W22" s="1"/>
      <c r="X22" s="1"/>
      <c r="Y22" s="1"/>
      <c r="Z22" s="1"/>
    </row>
    <row r="23" spans="1:26" ht="15.75" customHeight="1">
      <c r="A23" s="1"/>
      <c r="B23" s="1"/>
      <c r="C23" s="3" t="s">
        <v>252</v>
      </c>
      <c r="D23" s="72"/>
      <c r="E23" s="72"/>
      <c r="F23" s="72"/>
      <c r="G23" s="1"/>
      <c r="H23" s="1"/>
      <c r="I23" s="1"/>
      <c r="J23" s="1"/>
      <c r="K23" s="1"/>
      <c r="L23" s="1"/>
      <c r="M23" s="1"/>
      <c r="N23" s="1"/>
      <c r="O23" s="1"/>
      <c r="P23" s="1"/>
      <c r="Q23" s="1"/>
      <c r="R23" s="1"/>
      <c r="S23" s="1"/>
      <c r="T23" s="1"/>
      <c r="U23" s="1"/>
      <c r="V23" s="1"/>
      <c r="W23" s="1"/>
      <c r="X23" s="1"/>
      <c r="Y23" s="1"/>
      <c r="Z23" s="1"/>
    </row>
    <row r="24" spans="1:26" ht="15.75" customHeight="1">
      <c r="A24" s="1"/>
      <c r="B24" s="1"/>
      <c r="C24" s="19" t="s">
        <v>253</v>
      </c>
      <c r="D24" s="72"/>
      <c r="E24" s="72"/>
      <c r="F24" s="72"/>
      <c r="G24" s="1"/>
      <c r="H24" s="1"/>
      <c r="I24" s="121">
        <v>-3.0379999999999998</v>
      </c>
      <c r="J24" s="1"/>
      <c r="K24" s="1"/>
      <c r="L24" s="1"/>
      <c r="M24" s="1"/>
      <c r="N24" s="1"/>
      <c r="O24" s="1"/>
      <c r="P24" s="1"/>
      <c r="Q24" s="1"/>
      <c r="R24" s="1"/>
      <c r="S24" s="1"/>
      <c r="T24" s="1"/>
      <c r="U24" s="1"/>
      <c r="V24" s="1"/>
      <c r="W24" s="1"/>
      <c r="X24" s="1"/>
      <c r="Y24" s="1"/>
      <c r="Z24" s="1"/>
    </row>
    <row r="25" spans="1:26" ht="15.75" customHeight="1">
      <c r="A25" s="1"/>
      <c r="B25" s="1"/>
      <c r="C25" s="19" t="s">
        <v>254</v>
      </c>
      <c r="D25" s="72"/>
      <c r="E25" s="72"/>
      <c r="F25" s="72"/>
      <c r="G25" s="1"/>
      <c r="H25" s="1"/>
      <c r="I25" s="121">
        <v>-5.8789999999999996</v>
      </c>
      <c r="J25" s="1"/>
      <c r="K25" s="1"/>
      <c r="L25" s="1"/>
      <c r="M25" s="1"/>
      <c r="N25" s="1"/>
      <c r="O25" s="1"/>
      <c r="P25" s="1"/>
      <c r="Q25" s="1"/>
      <c r="R25" s="1"/>
      <c r="S25" s="1"/>
      <c r="T25" s="1"/>
      <c r="U25" s="1"/>
      <c r="V25" s="1"/>
      <c r="W25" s="1"/>
      <c r="X25" s="1"/>
      <c r="Y25" s="1"/>
      <c r="Z25" s="1"/>
    </row>
    <row r="26" spans="1:26" ht="15.75" customHeight="1">
      <c r="A26" s="1"/>
      <c r="B26" s="1"/>
      <c r="C26" s="19" t="s">
        <v>255</v>
      </c>
      <c r="D26" s="72"/>
      <c r="E26" s="72"/>
      <c r="F26" s="72"/>
      <c r="G26" s="1"/>
      <c r="H26" s="1"/>
      <c r="I26" s="121">
        <v>-0.87</v>
      </c>
      <c r="J26" s="1"/>
      <c r="K26" s="1"/>
      <c r="L26" s="1"/>
      <c r="M26" s="1"/>
      <c r="N26" s="1"/>
      <c r="O26" s="1"/>
      <c r="P26" s="1"/>
      <c r="Q26" s="1"/>
      <c r="R26" s="1"/>
      <c r="S26" s="1"/>
      <c r="T26" s="1"/>
      <c r="U26" s="1"/>
      <c r="V26" s="1"/>
      <c r="W26" s="1"/>
      <c r="X26" s="1"/>
      <c r="Y26" s="1"/>
      <c r="Z26" s="1"/>
    </row>
    <row r="27" spans="1:26" ht="15.75" customHeight="1">
      <c r="A27" s="1"/>
      <c r="B27" s="1"/>
      <c r="C27" s="19" t="s">
        <v>256</v>
      </c>
      <c r="D27" s="72"/>
      <c r="E27" s="72"/>
      <c r="F27" s="72"/>
      <c r="G27" s="1"/>
      <c r="H27" s="1"/>
      <c r="I27" s="121">
        <v>-2.2669999999999999</v>
      </c>
      <c r="J27" s="1"/>
      <c r="K27" s="1"/>
      <c r="L27" s="1"/>
      <c r="M27" s="1"/>
      <c r="N27" s="1"/>
      <c r="O27" s="1"/>
      <c r="P27" s="1"/>
      <c r="Q27" s="1"/>
      <c r="R27" s="1"/>
      <c r="S27" s="1"/>
      <c r="T27" s="1"/>
      <c r="U27" s="1"/>
      <c r="V27" s="1"/>
      <c r="W27" s="1"/>
      <c r="X27" s="1"/>
      <c r="Y27" s="1"/>
      <c r="Z27" s="1"/>
    </row>
    <row r="28" spans="1:26" ht="15.75" customHeight="1">
      <c r="A28" s="1"/>
      <c r="B28" s="1"/>
      <c r="C28" s="19" t="s">
        <v>257</v>
      </c>
      <c r="D28" s="72"/>
      <c r="E28" s="72"/>
      <c r="F28" s="72"/>
      <c r="G28" s="1"/>
      <c r="H28" s="1"/>
      <c r="I28" s="121">
        <v>5.3470000000000004</v>
      </c>
      <c r="J28" s="1"/>
      <c r="K28" s="1"/>
      <c r="L28" s="1"/>
      <c r="M28" s="1"/>
      <c r="N28" s="1"/>
      <c r="O28" s="1"/>
      <c r="P28" s="1"/>
      <c r="Q28" s="1"/>
      <c r="R28" s="1"/>
      <c r="S28" s="1"/>
      <c r="T28" s="1"/>
      <c r="U28" s="1"/>
      <c r="V28" s="1"/>
      <c r="W28" s="1"/>
      <c r="X28" s="1"/>
      <c r="Y28" s="1"/>
      <c r="Z28" s="1"/>
    </row>
    <row r="29" spans="1:26" ht="15.75" customHeight="1">
      <c r="A29" s="1"/>
      <c r="B29" s="1"/>
      <c r="C29" s="19" t="s">
        <v>258</v>
      </c>
      <c r="D29" s="72"/>
      <c r="E29" s="72"/>
      <c r="F29" s="72"/>
      <c r="G29" s="1"/>
      <c r="H29" s="1"/>
      <c r="I29" s="121">
        <v>-33.072000000000003</v>
      </c>
      <c r="J29" s="1"/>
      <c r="K29" s="1"/>
      <c r="L29" s="1"/>
      <c r="M29" s="1"/>
      <c r="N29" s="1"/>
      <c r="O29" s="1"/>
      <c r="P29" s="1"/>
      <c r="Q29" s="1"/>
      <c r="R29" s="1"/>
      <c r="S29" s="1"/>
      <c r="T29" s="1"/>
      <c r="U29" s="1"/>
      <c r="V29" s="1"/>
      <c r="W29" s="1"/>
      <c r="X29" s="1"/>
      <c r="Y29" s="1"/>
      <c r="Z29" s="1"/>
    </row>
    <row r="30" spans="1:26" ht="15.75" customHeight="1">
      <c r="A30" s="1"/>
      <c r="B30" s="1"/>
      <c r="C30" s="19" t="s">
        <v>259</v>
      </c>
      <c r="D30" s="72"/>
      <c r="E30" s="72"/>
      <c r="F30" s="72"/>
      <c r="G30" s="1"/>
      <c r="H30" s="1"/>
      <c r="I30" s="121">
        <v>2.4870000000000001</v>
      </c>
      <c r="J30" s="1"/>
      <c r="K30" s="1"/>
      <c r="L30" s="1"/>
      <c r="M30" s="1"/>
      <c r="N30" s="1"/>
      <c r="O30" s="1"/>
      <c r="P30" s="1"/>
      <c r="Q30" s="1"/>
      <c r="R30" s="1"/>
      <c r="S30" s="1"/>
      <c r="T30" s="1"/>
      <c r="U30" s="1"/>
      <c r="V30" s="1"/>
      <c r="W30" s="1"/>
      <c r="X30" s="1"/>
      <c r="Y30" s="1"/>
      <c r="Z30" s="1"/>
    </row>
    <row r="31" spans="1:26" ht="15.75" customHeight="1">
      <c r="A31" s="1"/>
      <c r="B31" s="1"/>
      <c r="C31" s="19" t="s">
        <v>260</v>
      </c>
      <c r="D31" s="72"/>
      <c r="E31" s="72"/>
      <c r="F31" s="72"/>
      <c r="G31" s="1"/>
      <c r="H31" s="1"/>
      <c r="I31" s="121">
        <v>25.32</v>
      </c>
      <c r="J31" s="1"/>
      <c r="K31" s="1"/>
      <c r="L31" s="1"/>
      <c r="M31" s="1"/>
      <c r="N31" s="1"/>
      <c r="O31" s="1"/>
      <c r="P31" s="1"/>
      <c r="Q31" s="1"/>
      <c r="R31" s="1"/>
      <c r="S31" s="1"/>
      <c r="T31" s="1"/>
      <c r="U31" s="1"/>
      <c r="V31" s="1"/>
      <c r="W31" s="1"/>
      <c r="X31" s="1"/>
      <c r="Y31" s="1"/>
      <c r="Z31" s="1"/>
    </row>
    <row r="32" spans="1:26" ht="15.75" customHeight="1">
      <c r="A32" s="1"/>
      <c r="B32" s="1"/>
      <c r="C32" s="266" t="s">
        <v>261</v>
      </c>
      <c r="D32" s="319"/>
      <c r="E32" s="319"/>
      <c r="F32" s="319"/>
      <c r="G32" s="267"/>
      <c r="H32" s="267"/>
      <c r="I32" s="288">
        <v>15.532999999999999</v>
      </c>
      <c r="J32" s="1"/>
      <c r="K32" s="1"/>
      <c r="L32" s="1"/>
      <c r="M32" s="1"/>
      <c r="N32" s="1"/>
      <c r="O32" s="1"/>
      <c r="P32" s="1"/>
      <c r="Q32" s="1"/>
      <c r="R32" s="1"/>
      <c r="S32" s="1"/>
      <c r="T32" s="1"/>
      <c r="U32" s="1"/>
      <c r="V32" s="1"/>
      <c r="W32" s="1"/>
      <c r="X32" s="1"/>
      <c r="Y32" s="1"/>
      <c r="Z32" s="1"/>
    </row>
    <row r="33" spans="1:26" ht="15.75" customHeight="1">
      <c r="A33" s="1"/>
      <c r="B33" s="1"/>
      <c r="C33" s="3" t="s">
        <v>262</v>
      </c>
      <c r="D33" s="72"/>
      <c r="E33" s="72"/>
      <c r="F33" s="72"/>
      <c r="G33" s="1"/>
      <c r="H33" s="1"/>
      <c r="I33" s="269">
        <f>SUM(I24:I32)</f>
        <v>3.5609999999999982</v>
      </c>
      <c r="J33" s="1"/>
      <c r="K33" s="1"/>
      <c r="L33" s="1"/>
      <c r="M33" s="1"/>
      <c r="N33" s="1"/>
      <c r="O33" s="1"/>
      <c r="P33" s="1"/>
      <c r="Q33" s="1"/>
      <c r="R33" s="1"/>
      <c r="S33" s="1"/>
      <c r="T33" s="1"/>
      <c r="U33" s="1"/>
      <c r="V33" s="1"/>
      <c r="W33" s="1"/>
      <c r="X33" s="1"/>
      <c r="Y33" s="1"/>
      <c r="Z33" s="1"/>
    </row>
    <row r="34" spans="1:26" ht="15.75" customHeight="1">
      <c r="A34" s="1"/>
      <c r="B34" s="1"/>
      <c r="C34" s="1"/>
      <c r="D34" s="72"/>
      <c r="E34" s="72"/>
      <c r="F34" s="72"/>
      <c r="G34" s="1"/>
      <c r="H34" s="1"/>
      <c r="I34" s="21"/>
      <c r="J34" s="1"/>
      <c r="K34" s="1"/>
      <c r="L34" s="1"/>
      <c r="M34" s="1"/>
      <c r="N34" s="1"/>
      <c r="O34" s="1"/>
      <c r="P34" s="1"/>
      <c r="Q34" s="1"/>
      <c r="R34" s="1"/>
      <c r="S34" s="1"/>
      <c r="T34" s="1"/>
      <c r="U34" s="1"/>
      <c r="V34" s="1"/>
      <c r="W34" s="1"/>
      <c r="X34" s="1"/>
      <c r="Y34" s="1"/>
      <c r="Z34" s="1"/>
    </row>
    <row r="35" spans="1:26" ht="15.75" customHeight="1">
      <c r="A35" s="1"/>
      <c r="B35" s="1"/>
      <c r="C35" s="3" t="s">
        <v>264</v>
      </c>
      <c r="D35" s="72"/>
      <c r="E35" s="72"/>
      <c r="F35" s="72"/>
      <c r="G35" s="1"/>
      <c r="H35" s="1"/>
      <c r="I35" s="296">
        <v>-11.725</v>
      </c>
      <c r="J35" s="1"/>
      <c r="K35" s="1"/>
      <c r="L35" s="1"/>
      <c r="M35" s="1"/>
      <c r="N35" s="1"/>
      <c r="O35" s="1"/>
      <c r="P35" s="1"/>
      <c r="Q35" s="1"/>
      <c r="R35" s="1"/>
      <c r="S35" s="1"/>
      <c r="T35" s="1"/>
      <c r="U35" s="1"/>
      <c r="V35" s="1"/>
      <c r="W35" s="1"/>
      <c r="X35" s="1"/>
      <c r="Y35" s="1"/>
      <c r="Z35" s="1"/>
    </row>
    <row r="36" spans="1:26" ht="15.75" customHeight="1">
      <c r="A36" s="1"/>
      <c r="B36" s="1"/>
      <c r="C36" s="1"/>
      <c r="D36" s="72"/>
      <c r="E36" s="72"/>
      <c r="F36" s="72"/>
      <c r="G36" s="1"/>
      <c r="H36" s="1"/>
      <c r="I36" s="1"/>
      <c r="J36" s="1"/>
      <c r="K36" s="1"/>
      <c r="L36" s="1"/>
      <c r="M36" s="1"/>
      <c r="N36" s="1"/>
      <c r="O36" s="1"/>
      <c r="P36" s="1"/>
      <c r="Q36" s="1"/>
      <c r="R36" s="1"/>
      <c r="S36" s="1"/>
      <c r="T36" s="1"/>
      <c r="U36" s="1"/>
      <c r="V36" s="1"/>
      <c r="W36" s="1"/>
      <c r="X36" s="1"/>
      <c r="Y36" s="1"/>
      <c r="Z36" s="1"/>
    </row>
    <row r="37" spans="1:26" ht="15.75" customHeight="1">
      <c r="A37" s="1"/>
      <c r="B37" s="1"/>
      <c r="C37" s="3" t="s">
        <v>300</v>
      </c>
      <c r="D37" s="72"/>
      <c r="E37" s="72"/>
      <c r="F37" s="72"/>
      <c r="G37" s="1"/>
      <c r="H37" s="1"/>
      <c r="I37" s="269">
        <f>+I14+I21+I33+I35</f>
        <v>274.50418229999997</v>
      </c>
      <c r="J37" s="1"/>
      <c r="K37" s="1"/>
      <c r="L37" s="1"/>
      <c r="M37" s="1"/>
      <c r="N37" s="1"/>
      <c r="O37" s="1"/>
      <c r="P37" s="1"/>
      <c r="Q37" s="1"/>
      <c r="R37" s="1"/>
      <c r="S37" s="1"/>
      <c r="T37" s="1"/>
      <c r="U37" s="1"/>
      <c r="V37" s="1"/>
      <c r="W37" s="1"/>
      <c r="X37" s="1"/>
      <c r="Y37" s="1"/>
      <c r="Z37" s="1"/>
    </row>
    <row r="38" spans="1:26" ht="15.75" customHeight="1">
      <c r="A38" s="1"/>
      <c r="B38" s="1"/>
      <c r="C38" s="1"/>
      <c r="D38" s="72"/>
      <c r="E38" s="72"/>
      <c r="F38" s="72"/>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72"/>
      <c r="E39" s="72"/>
      <c r="F39" s="72"/>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72"/>
      <c r="E40" s="72"/>
      <c r="F40" s="72"/>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72"/>
      <c r="E41" s="72"/>
      <c r="F41" s="72"/>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72"/>
      <c r="E42" s="72"/>
      <c r="F42" s="72"/>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72"/>
      <c r="E43" s="72"/>
      <c r="F43" s="72"/>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72"/>
      <c r="E44" s="72"/>
      <c r="F44" s="72"/>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72"/>
      <c r="E45" s="72"/>
      <c r="F45" s="72"/>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72"/>
      <c r="E46" s="72"/>
      <c r="F46" s="72"/>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72"/>
      <c r="E47" s="72"/>
      <c r="F47" s="72"/>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72"/>
      <c r="E48" s="72"/>
      <c r="F48" s="72"/>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72"/>
      <c r="E49" s="72"/>
      <c r="F49" s="72"/>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72"/>
      <c r="E50" s="72"/>
      <c r="F50" s="72"/>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72"/>
      <c r="E51" s="72"/>
      <c r="F51" s="72"/>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72"/>
      <c r="E52" s="72"/>
      <c r="F52" s="72"/>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72"/>
      <c r="E53" s="72"/>
      <c r="F53" s="72"/>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72"/>
      <c r="E54" s="72"/>
      <c r="F54" s="72"/>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72"/>
      <c r="E55" s="72"/>
      <c r="F55" s="72"/>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72"/>
      <c r="E56" s="72"/>
      <c r="F56" s="72"/>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72"/>
      <c r="E57" s="72"/>
      <c r="F57" s="72"/>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72"/>
      <c r="E58" s="72"/>
      <c r="F58" s="72"/>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72"/>
      <c r="E59" s="72"/>
      <c r="F59" s="72"/>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72"/>
      <c r="E60" s="72"/>
      <c r="F60" s="72"/>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72"/>
      <c r="E61" s="72"/>
      <c r="F61" s="72"/>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72"/>
      <c r="E62" s="72"/>
      <c r="F62" s="72"/>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72"/>
      <c r="E63" s="72"/>
      <c r="F63" s="72"/>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72"/>
      <c r="E64" s="72"/>
      <c r="F64" s="72"/>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72"/>
      <c r="E65" s="72"/>
      <c r="F65" s="72"/>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72"/>
      <c r="E66" s="72"/>
      <c r="F66" s="72"/>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72"/>
      <c r="E67" s="72"/>
      <c r="F67" s="72"/>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72"/>
      <c r="E68" s="72"/>
      <c r="F68" s="72"/>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72"/>
      <c r="E69" s="72"/>
      <c r="F69" s="72"/>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72"/>
      <c r="E70" s="72"/>
      <c r="F70" s="72"/>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72"/>
      <c r="E71" s="72"/>
      <c r="F71" s="72"/>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72"/>
      <c r="E72" s="72"/>
      <c r="F72" s="72"/>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72"/>
      <c r="E73" s="72"/>
      <c r="F73" s="72"/>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72"/>
      <c r="E74" s="72"/>
      <c r="F74" s="72"/>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72"/>
      <c r="E75" s="72"/>
      <c r="F75" s="72"/>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72"/>
      <c r="E76" s="72"/>
      <c r="F76" s="72"/>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72"/>
      <c r="E77" s="72"/>
      <c r="F77" s="72"/>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72"/>
      <c r="E78" s="72"/>
      <c r="F78" s="72"/>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72"/>
      <c r="E79" s="72"/>
      <c r="F79" s="72"/>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72"/>
      <c r="E80" s="72"/>
      <c r="F80" s="72"/>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72"/>
      <c r="E81" s="72"/>
      <c r="F81" s="72"/>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72"/>
      <c r="E82" s="72"/>
      <c r="F82" s="72"/>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72"/>
      <c r="E83" s="72"/>
      <c r="F83" s="72"/>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72"/>
      <c r="E84" s="72"/>
      <c r="F84" s="72"/>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72"/>
      <c r="E85" s="72"/>
      <c r="F85" s="72"/>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72"/>
      <c r="E86" s="72"/>
      <c r="F86" s="72"/>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72"/>
      <c r="E87" s="72"/>
      <c r="F87" s="72"/>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72"/>
      <c r="E88" s="72"/>
      <c r="F88" s="72"/>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72"/>
      <c r="E89" s="72"/>
      <c r="F89" s="72"/>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72"/>
      <c r="E90" s="72"/>
      <c r="F90" s="72"/>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72"/>
      <c r="E91" s="72"/>
      <c r="F91" s="72"/>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72"/>
      <c r="E92" s="72"/>
      <c r="F92" s="72"/>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72"/>
      <c r="E93" s="72"/>
      <c r="F93" s="72"/>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72"/>
      <c r="E94" s="72"/>
      <c r="F94" s="72"/>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72"/>
      <c r="E95" s="72"/>
      <c r="F95" s="72"/>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72"/>
      <c r="E96" s="72"/>
      <c r="F96" s="72"/>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72"/>
      <c r="E97" s="72"/>
      <c r="F97" s="72"/>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72"/>
      <c r="E98" s="72"/>
      <c r="F98" s="72"/>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72"/>
      <c r="E99" s="72"/>
      <c r="F99" s="72"/>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72"/>
      <c r="E100" s="72"/>
      <c r="F100" s="72"/>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72"/>
      <c r="E101" s="72"/>
      <c r="F101" s="72"/>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72"/>
      <c r="E102" s="72"/>
      <c r="F102" s="72"/>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72"/>
      <c r="E103" s="72"/>
      <c r="F103" s="72"/>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72"/>
      <c r="E104" s="72"/>
      <c r="F104" s="72"/>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72"/>
      <c r="E105" s="72"/>
      <c r="F105" s="72"/>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72"/>
      <c r="E106" s="72"/>
      <c r="F106" s="72"/>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72"/>
      <c r="E107" s="72"/>
      <c r="F107" s="72"/>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72"/>
      <c r="E108" s="72"/>
      <c r="F108" s="72"/>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72"/>
      <c r="E109" s="72"/>
      <c r="F109" s="72"/>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72"/>
      <c r="E110" s="72"/>
      <c r="F110" s="72"/>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72"/>
      <c r="E111" s="72"/>
      <c r="F111" s="72"/>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72"/>
      <c r="E112" s="72"/>
      <c r="F112" s="72"/>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72"/>
      <c r="E113" s="72"/>
      <c r="F113" s="72"/>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72"/>
      <c r="E114" s="72"/>
      <c r="F114" s="72"/>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72"/>
      <c r="E115" s="72"/>
      <c r="F115" s="72"/>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72"/>
      <c r="E116" s="72"/>
      <c r="F116" s="72"/>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72"/>
      <c r="E117" s="72"/>
      <c r="F117" s="72"/>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72"/>
      <c r="E118" s="72"/>
      <c r="F118" s="72"/>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72"/>
      <c r="E119" s="72"/>
      <c r="F119" s="72"/>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72"/>
      <c r="E120" s="72"/>
      <c r="F120" s="72"/>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72"/>
      <c r="E121" s="72"/>
      <c r="F121" s="72"/>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72"/>
      <c r="E122" s="72"/>
      <c r="F122" s="72"/>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72"/>
      <c r="E123" s="72"/>
      <c r="F123" s="72"/>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72"/>
      <c r="E124" s="72"/>
      <c r="F124" s="72"/>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72"/>
      <c r="E125" s="72"/>
      <c r="F125" s="72"/>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72"/>
      <c r="E126" s="72"/>
      <c r="F126" s="72"/>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72"/>
      <c r="E127" s="72"/>
      <c r="F127" s="72"/>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72"/>
      <c r="E128" s="72"/>
      <c r="F128" s="72"/>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72"/>
      <c r="E129" s="72"/>
      <c r="F129" s="72"/>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72"/>
      <c r="E130" s="72"/>
      <c r="F130" s="72"/>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72"/>
      <c r="E131" s="72"/>
      <c r="F131" s="72"/>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72"/>
      <c r="E132" s="72"/>
      <c r="F132" s="72"/>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72"/>
      <c r="E133" s="72"/>
      <c r="F133" s="72"/>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72"/>
      <c r="E134" s="72"/>
      <c r="F134" s="72"/>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72"/>
      <c r="E135" s="72"/>
      <c r="F135" s="72"/>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72"/>
      <c r="E136" s="72"/>
      <c r="F136" s="72"/>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72"/>
      <c r="E137" s="72"/>
      <c r="F137" s="72"/>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72"/>
      <c r="E138" s="72"/>
      <c r="F138" s="72"/>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72"/>
      <c r="E139" s="72"/>
      <c r="F139" s="72"/>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72"/>
      <c r="E140" s="72"/>
      <c r="F140" s="72"/>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72"/>
      <c r="E141" s="72"/>
      <c r="F141" s="72"/>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72"/>
      <c r="E142" s="72"/>
      <c r="F142" s="72"/>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72"/>
      <c r="E143" s="72"/>
      <c r="F143" s="72"/>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72"/>
      <c r="E144" s="72"/>
      <c r="F144" s="72"/>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72"/>
      <c r="E145" s="72"/>
      <c r="F145" s="72"/>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72"/>
      <c r="E146" s="72"/>
      <c r="F146" s="72"/>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72"/>
      <c r="E147" s="72"/>
      <c r="F147" s="72"/>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72"/>
      <c r="E148" s="72"/>
      <c r="F148" s="72"/>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72"/>
      <c r="E149" s="72"/>
      <c r="F149" s="72"/>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72"/>
      <c r="E150" s="72"/>
      <c r="F150" s="72"/>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72"/>
      <c r="E151" s="72"/>
      <c r="F151" s="72"/>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72"/>
      <c r="E152" s="72"/>
      <c r="F152" s="72"/>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72"/>
      <c r="E153" s="72"/>
      <c r="F153" s="72"/>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72"/>
      <c r="E154" s="72"/>
      <c r="F154" s="72"/>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72"/>
      <c r="E155" s="72"/>
      <c r="F155" s="72"/>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72"/>
      <c r="E156" s="72"/>
      <c r="F156" s="72"/>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72"/>
      <c r="E157" s="72"/>
      <c r="F157" s="72"/>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72"/>
      <c r="E158" s="72"/>
      <c r="F158" s="72"/>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72"/>
      <c r="E159" s="72"/>
      <c r="F159" s="72"/>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72"/>
      <c r="E160" s="72"/>
      <c r="F160" s="72"/>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72"/>
      <c r="E161" s="72"/>
      <c r="F161" s="72"/>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72"/>
      <c r="E162" s="72"/>
      <c r="F162" s="72"/>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72"/>
      <c r="E163" s="72"/>
      <c r="F163" s="72"/>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72"/>
      <c r="E164" s="72"/>
      <c r="F164" s="72"/>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72"/>
      <c r="E165" s="72"/>
      <c r="F165" s="72"/>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72"/>
      <c r="E166" s="72"/>
      <c r="F166" s="72"/>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72"/>
      <c r="E167" s="72"/>
      <c r="F167" s="72"/>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72"/>
      <c r="E168" s="72"/>
      <c r="F168" s="72"/>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72"/>
      <c r="E169" s="72"/>
      <c r="F169" s="72"/>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72"/>
      <c r="E170" s="72"/>
      <c r="F170" s="72"/>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72"/>
      <c r="E171" s="72"/>
      <c r="F171" s="72"/>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72"/>
      <c r="E172" s="72"/>
      <c r="F172" s="72"/>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72"/>
      <c r="E173" s="72"/>
      <c r="F173" s="72"/>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72"/>
      <c r="E174" s="72"/>
      <c r="F174" s="72"/>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72"/>
      <c r="E175" s="72"/>
      <c r="F175" s="72"/>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72"/>
      <c r="E176" s="72"/>
      <c r="F176" s="72"/>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72"/>
      <c r="E177" s="72"/>
      <c r="F177" s="72"/>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72"/>
      <c r="E178" s="72"/>
      <c r="F178" s="72"/>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72"/>
      <c r="E179" s="72"/>
      <c r="F179" s="72"/>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72"/>
      <c r="E180" s="72"/>
      <c r="F180" s="72"/>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72"/>
      <c r="E181" s="72"/>
      <c r="F181" s="72"/>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72"/>
      <c r="E182" s="72"/>
      <c r="F182" s="72"/>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72"/>
      <c r="E183" s="72"/>
      <c r="F183" s="72"/>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72"/>
      <c r="E184" s="72"/>
      <c r="F184" s="72"/>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72"/>
      <c r="E185" s="72"/>
      <c r="F185" s="72"/>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72"/>
      <c r="E186" s="72"/>
      <c r="F186" s="72"/>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72"/>
      <c r="E187" s="72"/>
      <c r="F187" s="72"/>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72"/>
      <c r="E188" s="72"/>
      <c r="F188" s="72"/>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72"/>
      <c r="E189" s="72"/>
      <c r="F189" s="72"/>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72"/>
      <c r="E190" s="72"/>
      <c r="F190" s="72"/>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72"/>
      <c r="E191" s="72"/>
      <c r="F191" s="72"/>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72"/>
      <c r="E192" s="72"/>
      <c r="F192" s="72"/>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72"/>
      <c r="E193" s="72"/>
      <c r="F193" s="72"/>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72"/>
      <c r="E194" s="72"/>
      <c r="F194" s="72"/>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72"/>
      <c r="E195" s="72"/>
      <c r="F195" s="72"/>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72"/>
      <c r="E196" s="72"/>
      <c r="F196" s="72"/>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72"/>
      <c r="E197" s="72"/>
      <c r="F197" s="72"/>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72"/>
      <c r="E198" s="72"/>
      <c r="F198" s="72"/>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72"/>
      <c r="E199" s="72"/>
      <c r="F199" s="72"/>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72"/>
      <c r="E200" s="72"/>
      <c r="F200" s="72"/>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72"/>
      <c r="E201" s="72"/>
      <c r="F201" s="72"/>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72"/>
      <c r="E202" s="72"/>
      <c r="F202" s="72"/>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72"/>
      <c r="E203" s="72"/>
      <c r="F203" s="72"/>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72"/>
      <c r="E204" s="72"/>
      <c r="F204" s="72"/>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72"/>
      <c r="E205" s="72"/>
      <c r="F205" s="72"/>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72"/>
      <c r="E206" s="72"/>
      <c r="F206" s="72"/>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72"/>
      <c r="E207" s="72"/>
      <c r="F207" s="72"/>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72"/>
      <c r="E208" s="72"/>
      <c r="F208" s="72"/>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72"/>
      <c r="E209" s="72"/>
      <c r="F209" s="72"/>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72"/>
      <c r="E210" s="72"/>
      <c r="F210" s="72"/>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72"/>
      <c r="E211" s="72"/>
      <c r="F211" s="72"/>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72"/>
      <c r="E212" s="72"/>
      <c r="F212" s="72"/>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72"/>
      <c r="E213" s="72"/>
      <c r="F213" s="72"/>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72"/>
      <c r="E214" s="72"/>
      <c r="F214" s="72"/>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72"/>
      <c r="E215" s="72"/>
      <c r="F215" s="72"/>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72"/>
      <c r="E216" s="72"/>
      <c r="F216" s="72"/>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72"/>
      <c r="E217" s="72"/>
      <c r="F217" s="72"/>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72"/>
      <c r="E218" s="72"/>
      <c r="F218" s="72"/>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72"/>
      <c r="E219" s="72"/>
      <c r="F219" s="72"/>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72"/>
      <c r="E220" s="72"/>
      <c r="F220" s="72"/>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72"/>
      <c r="E221" s="72"/>
      <c r="F221" s="72"/>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72"/>
      <c r="E222" s="72"/>
      <c r="F222" s="72"/>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72"/>
      <c r="E223" s="72"/>
      <c r="F223" s="72"/>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72"/>
      <c r="E224" s="72"/>
      <c r="F224" s="72"/>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72"/>
      <c r="E225" s="72"/>
      <c r="F225" s="72"/>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72"/>
      <c r="E226" s="72"/>
      <c r="F226" s="72"/>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72"/>
      <c r="E227" s="72"/>
      <c r="F227" s="72"/>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72"/>
      <c r="E228" s="72"/>
      <c r="F228" s="72"/>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72"/>
      <c r="E229" s="72"/>
      <c r="F229" s="72"/>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72"/>
      <c r="E230" s="72"/>
      <c r="F230" s="72"/>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72"/>
      <c r="E231" s="72"/>
      <c r="F231" s="72"/>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72"/>
      <c r="E232" s="72"/>
      <c r="F232" s="72"/>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72"/>
      <c r="E233" s="72"/>
      <c r="F233" s="72"/>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72"/>
      <c r="E234" s="72"/>
      <c r="F234" s="72"/>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72"/>
      <c r="E235" s="72"/>
      <c r="F235" s="72"/>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72"/>
      <c r="E236" s="72"/>
      <c r="F236" s="72"/>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72"/>
      <c r="E237" s="72"/>
      <c r="F237" s="72"/>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72"/>
      <c r="E238" s="72"/>
      <c r="F238" s="72"/>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72"/>
      <c r="E239" s="72"/>
      <c r="F239" s="72"/>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72"/>
      <c r="E240" s="72"/>
      <c r="F240" s="72"/>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72"/>
      <c r="E241" s="72"/>
      <c r="F241" s="72"/>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72"/>
      <c r="E242" s="72"/>
      <c r="F242" s="72"/>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72"/>
      <c r="E243" s="72"/>
      <c r="F243" s="72"/>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72"/>
      <c r="E244" s="72"/>
      <c r="F244" s="72"/>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72"/>
      <c r="E245" s="72"/>
      <c r="F245" s="72"/>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72"/>
      <c r="E246" s="72"/>
      <c r="F246" s="72"/>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72"/>
      <c r="E247" s="72"/>
      <c r="F247" s="72"/>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72"/>
      <c r="E248" s="72"/>
      <c r="F248" s="72"/>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72"/>
      <c r="E249" s="72"/>
      <c r="F249" s="72"/>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72"/>
      <c r="E250" s="72"/>
      <c r="F250" s="72"/>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72"/>
      <c r="E251" s="72"/>
      <c r="F251" s="72"/>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72"/>
      <c r="E252" s="72"/>
      <c r="F252" s="72"/>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72"/>
      <c r="E253" s="72"/>
      <c r="F253" s="72"/>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72"/>
      <c r="E254" s="72"/>
      <c r="F254" s="72"/>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72"/>
      <c r="E255" s="72"/>
      <c r="F255" s="72"/>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72"/>
      <c r="E256" s="72"/>
      <c r="F256" s="72"/>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72"/>
      <c r="E257" s="72"/>
      <c r="F257" s="72"/>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72"/>
      <c r="E258" s="72"/>
      <c r="F258" s="72"/>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72"/>
      <c r="E259" s="72"/>
      <c r="F259" s="72"/>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72"/>
      <c r="E260" s="72"/>
      <c r="F260" s="72"/>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72"/>
      <c r="E261" s="72"/>
      <c r="F261" s="72"/>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72"/>
      <c r="E262" s="72"/>
      <c r="F262" s="72"/>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72"/>
      <c r="E263" s="72"/>
      <c r="F263" s="72"/>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72"/>
      <c r="E264" s="72"/>
      <c r="F264" s="72"/>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72"/>
      <c r="E265" s="72"/>
      <c r="F265" s="72"/>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72"/>
      <c r="E266" s="72"/>
      <c r="F266" s="72"/>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72"/>
      <c r="E267" s="72"/>
      <c r="F267" s="72"/>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72"/>
      <c r="E268" s="72"/>
      <c r="F268" s="72"/>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72"/>
      <c r="E269" s="72"/>
      <c r="F269" s="72"/>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72"/>
      <c r="E270" s="72"/>
      <c r="F270" s="72"/>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72"/>
      <c r="E271" s="72"/>
      <c r="F271" s="72"/>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72"/>
      <c r="E272" s="72"/>
      <c r="F272" s="72"/>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72"/>
      <c r="E273" s="72"/>
      <c r="F273" s="72"/>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72"/>
      <c r="E274" s="72"/>
      <c r="F274" s="72"/>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72"/>
      <c r="E275" s="72"/>
      <c r="F275" s="72"/>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72"/>
      <c r="E276" s="72"/>
      <c r="F276" s="72"/>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72"/>
      <c r="E277" s="72"/>
      <c r="F277" s="72"/>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72"/>
      <c r="E278" s="72"/>
      <c r="F278" s="72"/>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72"/>
      <c r="E279" s="72"/>
      <c r="F279" s="72"/>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72"/>
      <c r="E280" s="72"/>
      <c r="F280" s="72"/>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72"/>
      <c r="E281" s="72"/>
      <c r="F281" s="72"/>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72"/>
      <c r="E282" s="72"/>
      <c r="F282" s="72"/>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72"/>
      <c r="E283" s="72"/>
      <c r="F283" s="72"/>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72"/>
      <c r="E284" s="72"/>
      <c r="F284" s="72"/>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72"/>
      <c r="E285" s="72"/>
      <c r="F285" s="72"/>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72"/>
      <c r="E286" s="72"/>
      <c r="F286" s="72"/>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72"/>
      <c r="E287" s="72"/>
      <c r="F287" s="72"/>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72"/>
      <c r="E288" s="72"/>
      <c r="F288" s="72"/>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72"/>
      <c r="E289" s="72"/>
      <c r="F289" s="72"/>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72"/>
      <c r="E290" s="72"/>
      <c r="F290" s="72"/>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72"/>
      <c r="E291" s="72"/>
      <c r="F291" s="72"/>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72"/>
      <c r="E292" s="72"/>
      <c r="F292" s="72"/>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72"/>
      <c r="E293" s="72"/>
      <c r="F293" s="72"/>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72"/>
      <c r="E294" s="72"/>
      <c r="F294" s="72"/>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72"/>
      <c r="E295" s="72"/>
      <c r="F295" s="72"/>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72"/>
      <c r="E296" s="72"/>
      <c r="F296" s="72"/>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72"/>
      <c r="E297" s="72"/>
      <c r="F297" s="72"/>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72"/>
      <c r="E298" s="72"/>
      <c r="F298" s="72"/>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72"/>
      <c r="E299" s="72"/>
      <c r="F299" s="72"/>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72"/>
      <c r="E300" s="72"/>
      <c r="F300" s="72"/>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72"/>
      <c r="E301" s="72"/>
      <c r="F301" s="72"/>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72"/>
      <c r="E302" s="72"/>
      <c r="F302" s="72"/>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72"/>
      <c r="E303" s="72"/>
      <c r="F303" s="72"/>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72"/>
      <c r="E304" s="72"/>
      <c r="F304" s="72"/>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72"/>
      <c r="E305" s="72"/>
      <c r="F305" s="72"/>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72"/>
      <c r="E306" s="72"/>
      <c r="F306" s="72"/>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72"/>
      <c r="E307" s="72"/>
      <c r="F307" s="72"/>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72"/>
      <c r="E308" s="72"/>
      <c r="F308" s="72"/>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72"/>
      <c r="E309" s="72"/>
      <c r="F309" s="72"/>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72"/>
      <c r="E310" s="72"/>
      <c r="F310" s="72"/>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72"/>
      <c r="E311" s="72"/>
      <c r="F311" s="72"/>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72"/>
      <c r="E312" s="72"/>
      <c r="F312" s="72"/>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72"/>
      <c r="E313" s="72"/>
      <c r="F313" s="72"/>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72"/>
      <c r="E314" s="72"/>
      <c r="F314" s="72"/>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72"/>
      <c r="E315" s="72"/>
      <c r="F315" s="72"/>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72"/>
      <c r="E316" s="72"/>
      <c r="F316" s="72"/>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72"/>
      <c r="E317" s="72"/>
      <c r="F317" s="72"/>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72"/>
      <c r="E318" s="72"/>
      <c r="F318" s="72"/>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72"/>
      <c r="E319" s="72"/>
      <c r="F319" s="72"/>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72"/>
      <c r="E320" s="72"/>
      <c r="F320" s="72"/>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72"/>
      <c r="E321" s="72"/>
      <c r="F321" s="72"/>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72"/>
      <c r="E322" s="72"/>
      <c r="F322" s="72"/>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72"/>
      <c r="E323" s="72"/>
      <c r="F323" s="72"/>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72"/>
      <c r="E324" s="72"/>
      <c r="F324" s="72"/>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72"/>
      <c r="E325" s="72"/>
      <c r="F325" s="72"/>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72"/>
      <c r="E326" s="72"/>
      <c r="F326" s="72"/>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72"/>
      <c r="E327" s="72"/>
      <c r="F327" s="72"/>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72"/>
      <c r="E328" s="72"/>
      <c r="F328" s="72"/>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72"/>
      <c r="E329" s="72"/>
      <c r="F329" s="72"/>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72"/>
      <c r="E330" s="72"/>
      <c r="F330" s="72"/>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72"/>
      <c r="E331" s="72"/>
      <c r="F331" s="72"/>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72"/>
      <c r="E332" s="72"/>
      <c r="F332" s="72"/>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72"/>
      <c r="E333" s="72"/>
      <c r="F333" s="72"/>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72"/>
      <c r="E334" s="72"/>
      <c r="F334" s="72"/>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72"/>
      <c r="E335" s="72"/>
      <c r="F335" s="72"/>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72"/>
      <c r="E336" s="72"/>
      <c r="F336" s="72"/>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72"/>
      <c r="E337" s="72"/>
      <c r="F337" s="72"/>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72"/>
      <c r="E338" s="72"/>
      <c r="F338" s="72"/>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72"/>
      <c r="E339" s="72"/>
      <c r="F339" s="72"/>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72"/>
      <c r="E340" s="72"/>
      <c r="F340" s="72"/>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72"/>
      <c r="E341" s="72"/>
      <c r="F341" s="72"/>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72"/>
      <c r="E342" s="72"/>
      <c r="F342" s="72"/>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72"/>
      <c r="E343" s="72"/>
      <c r="F343" s="72"/>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72"/>
      <c r="E344" s="72"/>
      <c r="F344" s="72"/>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72"/>
      <c r="E345" s="72"/>
      <c r="F345" s="72"/>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72"/>
      <c r="E346" s="72"/>
      <c r="F346" s="72"/>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72"/>
      <c r="E347" s="72"/>
      <c r="F347" s="72"/>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72"/>
      <c r="E348" s="72"/>
      <c r="F348" s="72"/>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72"/>
      <c r="E349" s="72"/>
      <c r="F349" s="72"/>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72"/>
      <c r="E350" s="72"/>
      <c r="F350" s="72"/>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72"/>
      <c r="E351" s="72"/>
      <c r="F351" s="72"/>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72"/>
      <c r="E352" s="72"/>
      <c r="F352" s="72"/>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72"/>
      <c r="E353" s="72"/>
      <c r="F353" s="72"/>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72"/>
      <c r="E354" s="72"/>
      <c r="F354" s="72"/>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72"/>
      <c r="E355" s="72"/>
      <c r="F355" s="72"/>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72"/>
      <c r="E356" s="72"/>
      <c r="F356" s="72"/>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72"/>
      <c r="E357" s="72"/>
      <c r="F357" s="72"/>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72"/>
      <c r="E358" s="72"/>
      <c r="F358" s="72"/>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72"/>
      <c r="E359" s="72"/>
      <c r="F359" s="72"/>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72"/>
      <c r="E360" s="72"/>
      <c r="F360" s="72"/>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72"/>
      <c r="E361" s="72"/>
      <c r="F361" s="72"/>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72"/>
      <c r="E362" s="72"/>
      <c r="F362" s="72"/>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72"/>
      <c r="E363" s="72"/>
      <c r="F363" s="72"/>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72"/>
      <c r="E364" s="72"/>
      <c r="F364" s="72"/>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72"/>
      <c r="E365" s="72"/>
      <c r="F365" s="72"/>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72"/>
      <c r="E366" s="72"/>
      <c r="F366" s="72"/>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72"/>
      <c r="E367" s="72"/>
      <c r="F367" s="72"/>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72"/>
      <c r="E368" s="72"/>
      <c r="F368" s="72"/>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72"/>
      <c r="E369" s="72"/>
      <c r="F369" s="72"/>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72"/>
      <c r="E370" s="72"/>
      <c r="F370" s="72"/>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72"/>
      <c r="E371" s="72"/>
      <c r="F371" s="72"/>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72"/>
      <c r="E372" s="72"/>
      <c r="F372" s="72"/>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72"/>
      <c r="E373" s="72"/>
      <c r="F373" s="72"/>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72"/>
      <c r="E374" s="72"/>
      <c r="F374" s="72"/>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72"/>
      <c r="E375" s="72"/>
      <c r="F375" s="72"/>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72"/>
      <c r="E376" s="72"/>
      <c r="F376" s="72"/>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72"/>
      <c r="E377" s="72"/>
      <c r="F377" s="72"/>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72"/>
      <c r="E378" s="72"/>
      <c r="F378" s="72"/>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72"/>
      <c r="E379" s="72"/>
      <c r="F379" s="72"/>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72"/>
      <c r="E380" s="72"/>
      <c r="F380" s="72"/>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72"/>
      <c r="E381" s="72"/>
      <c r="F381" s="72"/>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72"/>
      <c r="E382" s="72"/>
      <c r="F382" s="72"/>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72"/>
      <c r="E383" s="72"/>
      <c r="F383" s="72"/>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72"/>
      <c r="E384" s="72"/>
      <c r="F384" s="72"/>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72"/>
      <c r="E385" s="72"/>
      <c r="F385" s="72"/>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72"/>
      <c r="E386" s="72"/>
      <c r="F386" s="72"/>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72"/>
      <c r="E387" s="72"/>
      <c r="F387" s="72"/>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72"/>
      <c r="E388" s="72"/>
      <c r="F388" s="72"/>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72"/>
      <c r="E389" s="72"/>
      <c r="F389" s="72"/>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72"/>
      <c r="E390" s="72"/>
      <c r="F390" s="72"/>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72"/>
      <c r="E391" s="72"/>
      <c r="F391" s="72"/>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72"/>
      <c r="E392" s="72"/>
      <c r="F392" s="72"/>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72"/>
      <c r="E393" s="72"/>
      <c r="F393" s="72"/>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72"/>
      <c r="E394" s="72"/>
      <c r="F394" s="72"/>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72"/>
      <c r="E395" s="72"/>
      <c r="F395" s="72"/>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72"/>
      <c r="E396" s="72"/>
      <c r="F396" s="72"/>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72"/>
      <c r="E397" s="72"/>
      <c r="F397" s="72"/>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72"/>
      <c r="E398" s="72"/>
      <c r="F398" s="72"/>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72"/>
      <c r="E399" s="72"/>
      <c r="F399" s="72"/>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72"/>
      <c r="E400" s="72"/>
      <c r="F400" s="72"/>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72"/>
      <c r="E401" s="72"/>
      <c r="F401" s="72"/>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72"/>
      <c r="E402" s="72"/>
      <c r="F402" s="72"/>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72"/>
      <c r="E403" s="72"/>
      <c r="F403" s="72"/>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72"/>
      <c r="E404" s="72"/>
      <c r="F404" s="72"/>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72"/>
      <c r="E405" s="72"/>
      <c r="F405" s="72"/>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72"/>
      <c r="E406" s="72"/>
      <c r="F406" s="72"/>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72"/>
      <c r="E407" s="72"/>
      <c r="F407" s="72"/>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72"/>
      <c r="E408" s="72"/>
      <c r="F408" s="72"/>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72"/>
      <c r="E409" s="72"/>
      <c r="F409" s="72"/>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72"/>
      <c r="E410" s="72"/>
      <c r="F410" s="72"/>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72"/>
      <c r="E411" s="72"/>
      <c r="F411" s="72"/>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72"/>
      <c r="E412" s="72"/>
      <c r="F412" s="72"/>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72"/>
      <c r="E413" s="72"/>
      <c r="F413" s="72"/>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72"/>
      <c r="E414" s="72"/>
      <c r="F414" s="72"/>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72"/>
      <c r="E415" s="72"/>
      <c r="F415" s="72"/>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72"/>
      <c r="E416" s="72"/>
      <c r="F416" s="72"/>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72"/>
      <c r="E417" s="72"/>
      <c r="F417" s="72"/>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72"/>
      <c r="E418" s="72"/>
      <c r="F418" s="72"/>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72"/>
      <c r="E419" s="72"/>
      <c r="F419" s="72"/>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72"/>
      <c r="E420" s="72"/>
      <c r="F420" s="72"/>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72"/>
      <c r="E421" s="72"/>
      <c r="F421" s="72"/>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72"/>
      <c r="E422" s="72"/>
      <c r="F422" s="72"/>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72"/>
      <c r="E423" s="72"/>
      <c r="F423" s="72"/>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72"/>
      <c r="E424" s="72"/>
      <c r="F424" s="72"/>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72"/>
      <c r="E425" s="72"/>
      <c r="F425" s="72"/>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72"/>
      <c r="E426" s="72"/>
      <c r="F426" s="72"/>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72"/>
      <c r="E427" s="72"/>
      <c r="F427" s="72"/>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72"/>
      <c r="E428" s="72"/>
      <c r="F428" s="72"/>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72"/>
      <c r="E429" s="72"/>
      <c r="F429" s="72"/>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72"/>
      <c r="E430" s="72"/>
      <c r="F430" s="72"/>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72"/>
      <c r="E431" s="72"/>
      <c r="F431" s="72"/>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72"/>
      <c r="E432" s="72"/>
      <c r="F432" s="72"/>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72"/>
      <c r="E433" s="72"/>
      <c r="F433" s="72"/>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72"/>
      <c r="E434" s="72"/>
      <c r="F434" s="72"/>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72"/>
      <c r="E435" s="72"/>
      <c r="F435" s="72"/>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72"/>
      <c r="E436" s="72"/>
      <c r="F436" s="72"/>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72"/>
      <c r="E437" s="72"/>
      <c r="F437" s="72"/>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72"/>
      <c r="E438" s="72"/>
      <c r="F438" s="72"/>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72"/>
      <c r="E439" s="72"/>
      <c r="F439" s="72"/>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72"/>
      <c r="E440" s="72"/>
      <c r="F440" s="72"/>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72"/>
      <c r="E441" s="72"/>
      <c r="F441" s="72"/>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72"/>
      <c r="E442" s="72"/>
      <c r="F442" s="72"/>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72"/>
      <c r="E443" s="72"/>
      <c r="F443" s="72"/>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72"/>
      <c r="E444" s="72"/>
      <c r="F444" s="72"/>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72"/>
      <c r="E445" s="72"/>
      <c r="F445" s="72"/>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72"/>
      <c r="E446" s="72"/>
      <c r="F446" s="72"/>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72"/>
      <c r="E447" s="72"/>
      <c r="F447" s="72"/>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72"/>
      <c r="E448" s="72"/>
      <c r="F448" s="72"/>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72"/>
      <c r="E449" s="72"/>
      <c r="F449" s="72"/>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72"/>
      <c r="E450" s="72"/>
      <c r="F450" s="72"/>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72"/>
      <c r="E451" s="72"/>
      <c r="F451" s="72"/>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72"/>
      <c r="E452" s="72"/>
      <c r="F452" s="72"/>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72"/>
      <c r="E453" s="72"/>
      <c r="F453" s="72"/>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72"/>
      <c r="E454" s="72"/>
      <c r="F454" s="72"/>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72"/>
      <c r="E455" s="72"/>
      <c r="F455" s="72"/>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72"/>
      <c r="E456" s="72"/>
      <c r="F456" s="72"/>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72"/>
      <c r="E457" s="72"/>
      <c r="F457" s="72"/>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72"/>
      <c r="E458" s="72"/>
      <c r="F458" s="72"/>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72"/>
      <c r="E459" s="72"/>
      <c r="F459" s="72"/>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72"/>
      <c r="E460" s="72"/>
      <c r="F460" s="72"/>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72"/>
      <c r="E461" s="72"/>
      <c r="F461" s="72"/>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72"/>
      <c r="E462" s="72"/>
      <c r="F462" s="72"/>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72"/>
      <c r="E463" s="72"/>
      <c r="F463" s="72"/>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72"/>
      <c r="E464" s="72"/>
      <c r="F464" s="72"/>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72"/>
      <c r="E465" s="72"/>
      <c r="F465" s="72"/>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72"/>
      <c r="E466" s="72"/>
      <c r="F466" s="72"/>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72"/>
      <c r="E467" s="72"/>
      <c r="F467" s="72"/>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72"/>
      <c r="E468" s="72"/>
      <c r="F468" s="72"/>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72"/>
      <c r="E469" s="72"/>
      <c r="F469" s="72"/>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72"/>
      <c r="E470" s="72"/>
      <c r="F470" s="72"/>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72"/>
      <c r="E471" s="72"/>
      <c r="F471" s="72"/>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72"/>
      <c r="E472" s="72"/>
      <c r="F472" s="72"/>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72"/>
      <c r="E473" s="72"/>
      <c r="F473" s="72"/>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72"/>
      <c r="E474" s="72"/>
      <c r="F474" s="72"/>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72"/>
      <c r="E475" s="72"/>
      <c r="F475" s="72"/>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72"/>
      <c r="E476" s="72"/>
      <c r="F476" s="72"/>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72"/>
      <c r="E477" s="72"/>
      <c r="F477" s="72"/>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72"/>
      <c r="E478" s="72"/>
      <c r="F478" s="72"/>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72"/>
      <c r="E479" s="72"/>
      <c r="F479" s="72"/>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72"/>
      <c r="E480" s="72"/>
      <c r="F480" s="72"/>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72"/>
      <c r="E481" s="72"/>
      <c r="F481" s="72"/>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72"/>
      <c r="E482" s="72"/>
      <c r="F482" s="72"/>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72"/>
      <c r="E483" s="72"/>
      <c r="F483" s="72"/>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72"/>
      <c r="E484" s="72"/>
      <c r="F484" s="72"/>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72"/>
      <c r="E485" s="72"/>
      <c r="F485" s="72"/>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72"/>
      <c r="E486" s="72"/>
      <c r="F486" s="72"/>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72"/>
      <c r="E487" s="72"/>
      <c r="F487" s="72"/>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72"/>
      <c r="E488" s="72"/>
      <c r="F488" s="72"/>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72"/>
      <c r="E489" s="72"/>
      <c r="F489" s="72"/>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72"/>
      <c r="E490" s="72"/>
      <c r="F490" s="72"/>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72"/>
      <c r="E491" s="72"/>
      <c r="F491" s="72"/>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72"/>
      <c r="E492" s="72"/>
      <c r="F492" s="72"/>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72"/>
      <c r="E493" s="72"/>
      <c r="F493" s="72"/>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72"/>
      <c r="E494" s="72"/>
      <c r="F494" s="72"/>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72"/>
      <c r="E495" s="72"/>
      <c r="F495" s="72"/>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72"/>
      <c r="E496" s="72"/>
      <c r="F496" s="72"/>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72"/>
      <c r="E497" s="72"/>
      <c r="F497" s="72"/>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72"/>
      <c r="E498" s="72"/>
      <c r="F498" s="72"/>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72"/>
      <c r="E499" s="72"/>
      <c r="F499" s="72"/>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72"/>
      <c r="E500" s="72"/>
      <c r="F500" s="72"/>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72"/>
      <c r="E501" s="72"/>
      <c r="F501" s="72"/>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72"/>
      <c r="E502" s="72"/>
      <c r="F502" s="72"/>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72"/>
      <c r="E503" s="72"/>
      <c r="F503" s="72"/>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72"/>
      <c r="E504" s="72"/>
      <c r="F504" s="72"/>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72"/>
      <c r="E505" s="72"/>
      <c r="F505" s="72"/>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72"/>
      <c r="E506" s="72"/>
      <c r="F506" s="72"/>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72"/>
      <c r="E507" s="72"/>
      <c r="F507" s="72"/>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72"/>
      <c r="E508" s="72"/>
      <c r="F508" s="72"/>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72"/>
      <c r="E509" s="72"/>
      <c r="F509" s="72"/>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72"/>
      <c r="E510" s="72"/>
      <c r="F510" s="72"/>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72"/>
      <c r="E511" s="72"/>
      <c r="F511" s="72"/>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72"/>
      <c r="E512" s="72"/>
      <c r="F512" s="72"/>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72"/>
      <c r="E513" s="72"/>
      <c r="F513" s="72"/>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72"/>
      <c r="E514" s="72"/>
      <c r="F514" s="72"/>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72"/>
      <c r="E515" s="72"/>
      <c r="F515" s="72"/>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72"/>
      <c r="E516" s="72"/>
      <c r="F516" s="72"/>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72"/>
      <c r="E517" s="72"/>
      <c r="F517" s="72"/>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72"/>
      <c r="E518" s="72"/>
      <c r="F518" s="72"/>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72"/>
      <c r="E519" s="72"/>
      <c r="F519" s="72"/>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72"/>
      <c r="E520" s="72"/>
      <c r="F520" s="72"/>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72"/>
      <c r="E521" s="72"/>
      <c r="F521" s="72"/>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72"/>
      <c r="E522" s="72"/>
      <c r="F522" s="72"/>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72"/>
      <c r="E523" s="72"/>
      <c r="F523" s="72"/>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72"/>
      <c r="E524" s="72"/>
      <c r="F524" s="72"/>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72"/>
      <c r="E525" s="72"/>
      <c r="F525" s="72"/>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72"/>
      <c r="E526" s="72"/>
      <c r="F526" s="72"/>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72"/>
      <c r="E527" s="72"/>
      <c r="F527" s="72"/>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72"/>
      <c r="E528" s="72"/>
      <c r="F528" s="72"/>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72"/>
      <c r="E529" s="72"/>
      <c r="F529" s="72"/>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72"/>
      <c r="E530" s="72"/>
      <c r="F530" s="72"/>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72"/>
      <c r="E531" s="72"/>
      <c r="F531" s="72"/>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72"/>
      <c r="E532" s="72"/>
      <c r="F532" s="72"/>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72"/>
      <c r="E533" s="72"/>
      <c r="F533" s="72"/>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72"/>
      <c r="E534" s="72"/>
      <c r="F534" s="72"/>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72"/>
      <c r="E535" s="72"/>
      <c r="F535" s="72"/>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72"/>
      <c r="E536" s="72"/>
      <c r="F536" s="72"/>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72"/>
      <c r="E537" s="72"/>
      <c r="F537" s="72"/>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72"/>
      <c r="E538" s="72"/>
      <c r="F538" s="72"/>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72"/>
      <c r="E539" s="72"/>
      <c r="F539" s="72"/>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72"/>
      <c r="E540" s="72"/>
      <c r="F540" s="72"/>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72"/>
      <c r="E541" s="72"/>
      <c r="F541" s="72"/>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72"/>
      <c r="E542" s="72"/>
      <c r="F542" s="72"/>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72"/>
      <c r="E543" s="72"/>
      <c r="F543" s="72"/>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72"/>
      <c r="E544" s="72"/>
      <c r="F544" s="72"/>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72"/>
      <c r="E545" s="72"/>
      <c r="F545" s="72"/>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72"/>
      <c r="E546" s="72"/>
      <c r="F546" s="72"/>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72"/>
      <c r="E547" s="72"/>
      <c r="F547" s="72"/>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72"/>
      <c r="E548" s="72"/>
      <c r="F548" s="72"/>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72"/>
      <c r="E549" s="72"/>
      <c r="F549" s="72"/>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72"/>
      <c r="E550" s="72"/>
      <c r="F550" s="72"/>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72"/>
      <c r="E551" s="72"/>
      <c r="F551" s="72"/>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72"/>
      <c r="E552" s="72"/>
      <c r="F552" s="72"/>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72"/>
      <c r="E553" s="72"/>
      <c r="F553" s="72"/>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72"/>
      <c r="E554" s="72"/>
      <c r="F554" s="72"/>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72"/>
      <c r="E555" s="72"/>
      <c r="F555" s="72"/>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72"/>
      <c r="E556" s="72"/>
      <c r="F556" s="72"/>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72"/>
      <c r="E557" s="72"/>
      <c r="F557" s="72"/>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72"/>
      <c r="E558" s="72"/>
      <c r="F558" s="72"/>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72"/>
      <c r="E559" s="72"/>
      <c r="F559" s="72"/>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72"/>
      <c r="E560" s="72"/>
      <c r="F560" s="72"/>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72"/>
      <c r="E561" s="72"/>
      <c r="F561" s="72"/>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72"/>
      <c r="E562" s="72"/>
      <c r="F562" s="72"/>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72"/>
      <c r="E563" s="72"/>
      <c r="F563" s="72"/>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72"/>
      <c r="E564" s="72"/>
      <c r="F564" s="72"/>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72"/>
      <c r="E565" s="72"/>
      <c r="F565" s="72"/>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72"/>
      <c r="E566" s="72"/>
      <c r="F566" s="72"/>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72"/>
      <c r="E567" s="72"/>
      <c r="F567" s="72"/>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72"/>
      <c r="E568" s="72"/>
      <c r="F568" s="72"/>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72"/>
      <c r="E569" s="72"/>
      <c r="F569" s="72"/>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72"/>
      <c r="E570" s="72"/>
      <c r="F570" s="72"/>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72"/>
      <c r="E571" s="72"/>
      <c r="F571" s="72"/>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72"/>
      <c r="E572" s="72"/>
      <c r="F572" s="72"/>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72"/>
      <c r="E573" s="72"/>
      <c r="F573" s="72"/>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72"/>
      <c r="E574" s="72"/>
      <c r="F574" s="72"/>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72"/>
      <c r="E575" s="72"/>
      <c r="F575" s="72"/>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72"/>
      <c r="E576" s="72"/>
      <c r="F576" s="72"/>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72"/>
      <c r="E577" s="72"/>
      <c r="F577" s="72"/>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72"/>
      <c r="E578" s="72"/>
      <c r="F578" s="72"/>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72"/>
      <c r="E579" s="72"/>
      <c r="F579" s="72"/>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72"/>
      <c r="E580" s="72"/>
      <c r="F580" s="72"/>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72"/>
      <c r="E581" s="72"/>
      <c r="F581" s="72"/>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72"/>
      <c r="E582" s="72"/>
      <c r="F582" s="72"/>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72"/>
      <c r="E583" s="72"/>
      <c r="F583" s="72"/>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72"/>
      <c r="E584" s="72"/>
      <c r="F584" s="72"/>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72"/>
      <c r="E585" s="72"/>
      <c r="F585" s="72"/>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72"/>
      <c r="E586" s="72"/>
      <c r="F586" s="72"/>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72"/>
      <c r="E587" s="72"/>
      <c r="F587" s="72"/>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72"/>
      <c r="E588" s="72"/>
      <c r="F588" s="72"/>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72"/>
      <c r="E589" s="72"/>
      <c r="F589" s="72"/>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72"/>
      <c r="E590" s="72"/>
      <c r="F590" s="72"/>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72"/>
      <c r="E591" s="72"/>
      <c r="F591" s="72"/>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72"/>
      <c r="E592" s="72"/>
      <c r="F592" s="72"/>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72"/>
      <c r="E593" s="72"/>
      <c r="F593" s="72"/>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72"/>
      <c r="E594" s="72"/>
      <c r="F594" s="72"/>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72"/>
      <c r="E595" s="72"/>
      <c r="F595" s="72"/>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72"/>
      <c r="E596" s="72"/>
      <c r="F596" s="72"/>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72"/>
      <c r="E597" s="72"/>
      <c r="F597" s="72"/>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72"/>
      <c r="E598" s="72"/>
      <c r="F598" s="72"/>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72"/>
      <c r="E599" s="72"/>
      <c r="F599" s="72"/>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72"/>
      <c r="E600" s="72"/>
      <c r="F600" s="72"/>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72"/>
      <c r="E601" s="72"/>
      <c r="F601" s="72"/>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72"/>
      <c r="E602" s="72"/>
      <c r="F602" s="72"/>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72"/>
      <c r="E603" s="72"/>
      <c r="F603" s="72"/>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72"/>
      <c r="E604" s="72"/>
      <c r="F604" s="72"/>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72"/>
      <c r="E605" s="72"/>
      <c r="F605" s="72"/>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72"/>
      <c r="E606" s="72"/>
      <c r="F606" s="72"/>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72"/>
      <c r="E607" s="72"/>
      <c r="F607" s="72"/>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72"/>
      <c r="E608" s="72"/>
      <c r="F608" s="72"/>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72"/>
      <c r="E609" s="72"/>
      <c r="F609" s="72"/>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72"/>
      <c r="E610" s="72"/>
      <c r="F610" s="72"/>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72"/>
      <c r="E611" s="72"/>
      <c r="F611" s="72"/>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72"/>
      <c r="E612" s="72"/>
      <c r="F612" s="72"/>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72"/>
      <c r="E613" s="72"/>
      <c r="F613" s="72"/>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72"/>
      <c r="E614" s="72"/>
      <c r="F614" s="72"/>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72"/>
      <c r="E615" s="72"/>
      <c r="F615" s="72"/>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72"/>
      <c r="E616" s="72"/>
      <c r="F616" s="72"/>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72"/>
      <c r="E617" s="72"/>
      <c r="F617" s="72"/>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72"/>
      <c r="E618" s="72"/>
      <c r="F618" s="72"/>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72"/>
      <c r="E619" s="72"/>
      <c r="F619" s="72"/>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72"/>
      <c r="E620" s="72"/>
      <c r="F620" s="72"/>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72"/>
      <c r="E621" s="72"/>
      <c r="F621" s="72"/>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72"/>
      <c r="E622" s="72"/>
      <c r="F622" s="72"/>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72"/>
      <c r="E623" s="72"/>
      <c r="F623" s="72"/>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72"/>
      <c r="E624" s="72"/>
      <c r="F624" s="72"/>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72"/>
      <c r="E625" s="72"/>
      <c r="F625" s="72"/>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72"/>
      <c r="E626" s="72"/>
      <c r="F626" s="72"/>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72"/>
      <c r="E627" s="72"/>
      <c r="F627" s="72"/>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72"/>
      <c r="E628" s="72"/>
      <c r="F628" s="72"/>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72"/>
      <c r="E629" s="72"/>
      <c r="F629" s="72"/>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72"/>
      <c r="E630" s="72"/>
      <c r="F630" s="72"/>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72"/>
      <c r="E631" s="72"/>
      <c r="F631" s="72"/>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72"/>
      <c r="E632" s="72"/>
      <c r="F632" s="72"/>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72"/>
      <c r="E633" s="72"/>
      <c r="F633" s="72"/>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72"/>
      <c r="E634" s="72"/>
      <c r="F634" s="72"/>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72"/>
      <c r="E635" s="72"/>
      <c r="F635" s="72"/>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72"/>
      <c r="E636" s="72"/>
      <c r="F636" s="72"/>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72"/>
      <c r="E637" s="72"/>
      <c r="F637" s="72"/>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72"/>
      <c r="E638" s="72"/>
      <c r="F638" s="72"/>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72"/>
      <c r="E639" s="72"/>
      <c r="F639" s="72"/>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72"/>
      <c r="E640" s="72"/>
      <c r="F640" s="72"/>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72"/>
      <c r="E641" s="72"/>
      <c r="F641" s="72"/>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72"/>
      <c r="E642" s="72"/>
      <c r="F642" s="72"/>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72"/>
      <c r="E643" s="72"/>
      <c r="F643" s="72"/>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72"/>
      <c r="E644" s="72"/>
      <c r="F644" s="72"/>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72"/>
      <c r="E645" s="72"/>
      <c r="F645" s="72"/>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72"/>
      <c r="E646" s="72"/>
      <c r="F646" s="72"/>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72"/>
      <c r="E647" s="72"/>
      <c r="F647" s="72"/>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72"/>
      <c r="E648" s="72"/>
      <c r="F648" s="72"/>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72"/>
      <c r="E649" s="72"/>
      <c r="F649" s="72"/>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72"/>
      <c r="E650" s="72"/>
      <c r="F650" s="72"/>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72"/>
      <c r="E651" s="72"/>
      <c r="F651" s="72"/>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72"/>
      <c r="E652" s="72"/>
      <c r="F652" s="72"/>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72"/>
      <c r="E653" s="72"/>
      <c r="F653" s="72"/>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72"/>
      <c r="E654" s="72"/>
      <c r="F654" s="72"/>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72"/>
      <c r="E655" s="72"/>
      <c r="F655" s="72"/>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72"/>
      <c r="E656" s="72"/>
      <c r="F656" s="72"/>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72"/>
      <c r="E657" s="72"/>
      <c r="F657" s="72"/>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72"/>
      <c r="E658" s="72"/>
      <c r="F658" s="72"/>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72"/>
      <c r="E659" s="72"/>
      <c r="F659" s="72"/>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72"/>
      <c r="E660" s="72"/>
      <c r="F660" s="72"/>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72"/>
      <c r="E661" s="72"/>
      <c r="F661" s="72"/>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72"/>
      <c r="E662" s="72"/>
      <c r="F662" s="72"/>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72"/>
      <c r="E663" s="72"/>
      <c r="F663" s="72"/>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72"/>
      <c r="E664" s="72"/>
      <c r="F664" s="72"/>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72"/>
      <c r="E665" s="72"/>
      <c r="F665" s="72"/>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72"/>
      <c r="E666" s="72"/>
      <c r="F666" s="72"/>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72"/>
      <c r="E667" s="72"/>
      <c r="F667" s="72"/>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72"/>
      <c r="E668" s="72"/>
      <c r="F668" s="72"/>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72"/>
      <c r="E669" s="72"/>
      <c r="F669" s="72"/>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72"/>
      <c r="E670" s="72"/>
      <c r="F670" s="72"/>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72"/>
      <c r="E671" s="72"/>
      <c r="F671" s="72"/>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72"/>
      <c r="E672" s="72"/>
      <c r="F672" s="72"/>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72"/>
      <c r="E673" s="72"/>
      <c r="F673" s="72"/>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72"/>
      <c r="E674" s="72"/>
      <c r="F674" s="72"/>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72"/>
      <c r="E675" s="72"/>
      <c r="F675" s="72"/>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72"/>
      <c r="E676" s="72"/>
      <c r="F676" s="72"/>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72"/>
      <c r="E677" s="72"/>
      <c r="F677" s="72"/>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72"/>
      <c r="E678" s="72"/>
      <c r="F678" s="72"/>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72"/>
      <c r="E679" s="72"/>
      <c r="F679" s="72"/>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72"/>
      <c r="E680" s="72"/>
      <c r="F680" s="72"/>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72"/>
      <c r="E681" s="72"/>
      <c r="F681" s="72"/>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72"/>
      <c r="E682" s="72"/>
      <c r="F682" s="72"/>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72"/>
      <c r="E683" s="72"/>
      <c r="F683" s="72"/>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72"/>
      <c r="E684" s="72"/>
      <c r="F684" s="72"/>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72"/>
      <c r="E685" s="72"/>
      <c r="F685" s="72"/>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72"/>
      <c r="E686" s="72"/>
      <c r="F686" s="72"/>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72"/>
      <c r="E687" s="72"/>
      <c r="F687" s="72"/>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72"/>
      <c r="E688" s="72"/>
      <c r="F688" s="72"/>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72"/>
      <c r="E689" s="72"/>
      <c r="F689" s="72"/>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72"/>
      <c r="E690" s="72"/>
      <c r="F690" s="72"/>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72"/>
      <c r="E691" s="72"/>
      <c r="F691" s="72"/>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72"/>
      <c r="E692" s="72"/>
      <c r="F692" s="72"/>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72"/>
      <c r="E693" s="72"/>
      <c r="F693" s="72"/>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72"/>
      <c r="E694" s="72"/>
      <c r="F694" s="72"/>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72"/>
      <c r="E695" s="72"/>
      <c r="F695" s="72"/>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72"/>
      <c r="E696" s="72"/>
      <c r="F696" s="72"/>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72"/>
      <c r="E697" s="72"/>
      <c r="F697" s="72"/>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72"/>
      <c r="E698" s="72"/>
      <c r="F698" s="72"/>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72"/>
      <c r="E699" s="72"/>
      <c r="F699" s="72"/>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72"/>
      <c r="E700" s="72"/>
      <c r="F700" s="72"/>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72"/>
      <c r="E701" s="72"/>
      <c r="F701" s="72"/>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72"/>
      <c r="E702" s="72"/>
      <c r="F702" s="72"/>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72"/>
      <c r="E703" s="72"/>
      <c r="F703" s="72"/>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72"/>
      <c r="E704" s="72"/>
      <c r="F704" s="72"/>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72"/>
      <c r="E705" s="72"/>
      <c r="F705" s="72"/>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72"/>
      <c r="E706" s="72"/>
      <c r="F706" s="72"/>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72"/>
      <c r="E707" s="72"/>
      <c r="F707" s="72"/>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72"/>
      <c r="E708" s="72"/>
      <c r="F708" s="72"/>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72"/>
      <c r="E709" s="72"/>
      <c r="F709" s="72"/>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72"/>
      <c r="E710" s="72"/>
      <c r="F710" s="72"/>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72"/>
      <c r="E711" s="72"/>
      <c r="F711" s="72"/>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72"/>
      <c r="E712" s="72"/>
      <c r="F712" s="72"/>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72"/>
      <c r="E713" s="72"/>
      <c r="F713" s="72"/>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72"/>
      <c r="E714" s="72"/>
      <c r="F714" s="72"/>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72"/>
      <c r="E715" s="72"/>
      <c r="F715" s="72"/>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72"/>
      <c r="E716" s="72"/>
      <c r="F716" s="72"/>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72"/>
      <c r="E717" s="72"/>
      <c r="F717" s="72"/>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72"/>
      <c r="E718" s="72"/>
      <c r="F718" s="72"/>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72"/>
      <c r="E719" s="72"/>
      <c r="F719" s="72"/>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72"/>
      <c r="E720" s="72"/>
      <c r="F720" s="72"/>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72"/>
      <c r="E721" s="72"/>
      <c r="F721" s="72"/>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72"/>
      <c r="E722" s="72"/>
      <c r="F722" s="72"/>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72"/>
      <c r="E723" s="72"/>
      <c r="F723" s="72"/>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72"/>
      <c r="E724" s="72"/>
      <c r="F724" s="72"/>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72"/>
      <c r="E725" s="72"/>
      <c r="F725" s="72"/>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72"/>
      <c r="E726" s="72"/>
      <c r="F726" s="72"/>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72"/>
      <c r="E727" s="72"/>
      <c r="F727" s="72"/>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72"/>
      <c r="E728" s="72"/>
      <c r="F728" s="72"/>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72"/>
      <c r="E729" s="72"/>
      <c r="F729" s="72"/>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72"/>
      <c r="E730" s="72"/>
      <c r="F730" s="72"/>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72"/>
      <c r="E731" s="72"/>
      <c r="F731" s="72"/>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72"/>
      <c r="E732" s="72"/>
      <c r="F732" s="72"/>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72"/>
      <c r="E733" s="72"/>
      <c r="F733" s="72"/>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72"/>
      <c r="E734" s="72"/>
      <c r="F734" s="72"/>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72"/>
      <c r="E735" s="72"/>
      <c r="F735" s="72"/>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72"/>
      <c r="E736" s="72"/>
      <c r="F736" s="72"/>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72"/>
      <c r="E737" s="72"/>
      <c r="F737" s="72"/>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72"/>
      <c r="E738" s="72"/>
      <c r="F738" s="72"/>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72"/>
      <c r="E739" s="72"/>
      <c r="F739" s="72"/>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72"/>
      <c r="E740" s="72"/>
      <c r="F740" s="72"/>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72"/>
      <c r="E741" s="72"/>
      <c r="F741" s="72"/>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72"/>
      <c r="E742" s="72"/>
      <c r="F742" s="72"/>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72"/>
      <c r="E743" s="72"/>
      <c r="F743" s="72"/>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72"/>
      <c r="E744" s="72"/>
      <c r="F744" s="72"/>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72"/>
      <c r="E745" s="72"/>
      <c r="F745" s="72"/>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72"/>
      <c r="E746" s="72"/>
      <c r="F746" s="72"/>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72"/>
      <c r="E747" s="72"/>
      <c r="F747" s="72"/>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72"/>
      <c r="E748" s="72"/>
      <c r="F748" s="72"/>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72"/>
      <c r="E749" s="72"/>
      <c r="F749" s="72"/>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72"/>
      <c r="E750" s="72"/>
      <c r="F750" s="72"/>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72"/>
      <c r="E751" s="72"/>
      <c r="F751" s="72"/>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72"/>
      <c r="E752" s="72"/>
      <c r="F752" s="72"/>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72"/>
      <c r="E753" s="72"/>
      <c r="F753" s="72"/>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72"/>
      <c r="E754" s="72"/>
      <c r="F754" s="72"/>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72"/>
      <c r="E755" s="72"/>
      <c r="F755" s="72"/>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72"/>
      <c r="E756" s="72"/>
      <c r="F756" s="72"/>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72"/>
      <c r="E757" s="72"/>
      <c r="F757" s="72"/>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72"/>
      <c r="E758" s="72"/>
      <c r="F758" s="72"/>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72"/>
      <c r="E759" s="72"/>
      <c r="F759" s="72"/>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72"/>
      <c r="E760" s="72"/>
      <c r="F760" s="72"/>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72"/>
      <c r="E761" s="72"/>
      <c r="F761" s="72"/>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72"/>
      <c r="E762" s="72"/>
      <c r="F762" s="72"/>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72"/>
      <c r="E763" s="72"/>
      <c r="F763" s="72"/>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72"/>
      <c r="E764" s="72"/>
      <c r="F764" s="72"/>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72"/>
      <c r="E765" s="72"/>
      <c r="F765" s="72"/>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72"/>
      <c r="E766" s="72"/>
      <c r="F766" s="72"/>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72"/>
      <c r="E767" s="72"/>
      <c r="F767" s="72"/>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72"/>
      <c r="E768" s="72"/>
      <c r="F768" s="72"/>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72"/>
      <c r="E769" s="72"/>
      <c r="F769" s="72"/>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72"/>
      <c r="E770" s="72"/>
      <c r="F770" s="72"/>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72"/>
      <c r="E771" s="72"/>
      <c r="F771" s="72"/>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72"/>
      <c r="E772" s="72"/>
      <c r="F772" s="72"/>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72"/>
      <c r="E773" s="72"/>
      <c r="F773" s="72"/>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72"/>
      <c r="E774" s="72"/>
      <c r="F774" s="72"/>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72"/>
      <c r="E775" s="72"/>
      <c r="F775" s="72"/>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72"/>
      <c r="E776" s="72"/>
      <c r="F776" s="72"/>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72"/>
      <c r="E777" s="72"/>
      <c r="F777" s="72"/>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72"/>
      <c r="E778" s="72"/>
      <c r="F778" s="72"/>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72"/>
      <c r="E779" s="72"/>
      <c r="F779" s="72"/>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72"/>
      <c r="E780" s="72"/>
      <c r="F780" s="72"/>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72"/>
      <c r="E781" s="72"/>
      <c r="F781" s="72"/>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72"/>
      <c r="E782" s="72"/>
      <c r="F782" s="72"/>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72"/>
      <c r="E783" s="72"/>
      <c r="F783" s="72"/>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72"/>
      <c r="E784" s="72"/>
      <c r="F784" s="72"/>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72"/>
      <c r="E785" s="72"/>
      <c r="F785" s="72"/>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72"/>
      <c r="E786" s="72"/>
      <c r="F786" s="72"/>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72"/>
      <c r="E787" s="72"/>
      <c r="F787" s="72"/>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72"/>
      <c r="E788" s="72"/>
      <c r="F788" s="72"/>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72"/>
      <c r="E789" s="72"/>
      <c r="F789" s="72"/>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72"/>
      <c r="E790" s="72"/>
      <c r="F790" s="72"/>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72"/>
      <c r="E791" s="72"/>
      <c r="F791" s="72"/>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72"/>
      <c r="E792" s="72"/>
      <c r="F792" s="72"/>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72"/>
      <c r="E793" s="72"/>
      <c r="F793" s="72"/>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72"/>
      <c r="E794" s="72"/>
      <c r="F794" s="72"/>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72"/>
      <c r="E795" s="72"/>
      <c r="F795" s="72"/>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72"/>
      <c r="E796" s="72"/>
      <c r="F796" s="72"/>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72"/>
      <c r="E797" s="72"/>
      <c r="F797" s="72"/>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72"/>
      <c r="E798" s="72"/>
      <c r="F798" s="72"/>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72"/>
      <c r="E799" s="72"/>
      <c r="F799" s="72"/>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72"/>
      <c r="E800" s="72"/>
      <c r="F800" s="72"/>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72"/>
      <c r="E801" s="72"/>
      <c r="F801" s="72"/>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72"/>
      <c r="E802" s="72"/>
      <c r="F802" s="72"/>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72"/>
      <c r="E803" s="72"/>
      <c r="F803" s="72"/>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72"/>
      <c r="E804" s="72"/>
      <c r="F804" s="72"/>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72"/>
      <c r="E805" s="72"/>
      <c r="F805" s="72"/>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72"/>
      <c r="E806" s="72"/>
      <c r="F806" s="72"/>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72"/>
      <c r="E807" s="72"/>
      <c r="F807" s="72"/>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72"/>
      <c r="E808" s="72"/>
      <c r="F808" s="72"/>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72"/>
      <c r="E809" s="72"/>
      <c r="F809" s="72"/>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72"/>
      <c r="E810" s="72"/>
      <c r="F810" s="72"/>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72"/>
      <c r="E811" s="72"/>
      <c r="F811" s="72"/>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72"/>
      <c r="E812" s="72"/>
      <c r="F812" s="72"/>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72"/>
      <c r="E813" s="72"/>
      <c r="F813" s="72"/>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72"/>
      <c r="E814" s="72"/>
      <c r="F814" s="72"/>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72"/>
      <c r="E815" s="72"/>
      <c r="F815" s="72"/>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72"/>
      <c r="E816" s="72"/>
      <c r="F816" s="72"/>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72"/>
      <c r="E817" s="72"/>
      <c r="F817" s="72"/>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72"/>
      <c r="E818" s="72"/>
      <c r="F818" s="72"/>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72"/>
      <c r="E819" s="72"/>
      <c r="F819" s="72"/>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72"/>
      <c r="E820" s="72"/>
      <c r="F820" s="72"/>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72"/>
      <c r="E821" s="72"/>
      <c r="F821" s="72"/>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72"/>
      <c r="E822" s="72"/>
      <c r="F822" s="72"/>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72"/>
      <c r="E823" s="72"/>
      <c r="F823" s="72"/>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72"/>
      <c r="E824" s="72"/>
      <c r="F824" s="72"/>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72"/>
      <c r="E825" s="72"/>
      <c r="F825" s="72"/>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72"/>
      <c r="E826" s="72"/>
      <c r="F826" s="72"/>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72"/>
      <c r="E827" s="72"/>
      <c r="F827" s="72"/>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72"/>
      <c r="E828" s="72"/>
      <c r="F828" s="72"/>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72"/>
      <c r="E829" s="72"/>
      <c r="F829" s="72"/>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72"/>
      <c r="E830" s="72"/>
      <c r="F830" s="72"/>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72"/>
      <c r="E831" s="72"/>
      <c r="F831" s="72"/>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72"/>
      <c r="E832" s="72"/>
      <c r="F832" s="72"/>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72"/>
      <c r="E833" s="72"/>
      <c r="F833" s="72"/>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72"/>
      <c r="E834" s="72"/>
      <c r="F834" s="72"/>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72"/>
      <c r="E835" s="72"/>
      <c r="F835" s="72"/>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72"/>
      <c r="E836" s="72"/>
      <c r="F836" s="72"/>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72"/>
      <c r="E837" s="72"/>
      <c r="F837" s="72"/>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72"/>
      <c r="E838" s="72"/>
      <c r="F838" s="72"/>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72"/>
      <c r="E839" s="72"/>
      <c r="F839" s="72"/>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72"/>
      <c r="E840" s="72"/>
      <c r="F840" s="72"/>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72"/>
      <c r="E841" s="72"/>
      <c r="F841" s="72"/>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72"/>
      <c r="E842" s="72"/>
      <c r="F842" s="72"/>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72"/>
      <c r="E843" s="72"/>
      <c r="F843" s="72"/>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72"/>
      <c r="E844" s="72"/>
      <c r="F844" s="72"/>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72"/>
      <c r="E845" s="72"/>
      <c r="F845" s="72"/>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72"/>
      <c r="E846" s="72"/>
      <c r="F846" s="72"/>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72"/>
      <c r="E847" s="72"/>
      <c r="F847" s="72"/>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72"/>
      <c r="E848" s="72"/>
      <c r="F848" s="72"/>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72"/>
      <c r="E849" s="72"/>
      <c r="F849" s="72"/>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72"/>
      <c r="E850" s="72"/>
      <c r="F850" s="72"/>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72"/>
      <c r="E851" s="72"/>
      <c r="F851" s="72"/>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72"/>
      <c r="E852" s="72"/>
      <c r="F852" s="72"/>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72"/>
      <c r="E853" s="72"/>
      <c r="F853" s="72"/>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72"/>
      <c r="E854" s="72"/>
      <c r="F854" s="72"/>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72"/>
      <c r="E855" s="72"/>
      <c r="F855" s="72"/>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72"/>
      <c r="E856" s="72"/>
      <c r="F856" s="72"/>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72"/>
      <c r="E857" s="72"/>
      <c r="F857" s="72"/>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72"/>
      <c r="E858" s="72"/>
      <c r="F858" s="72"/>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72"/>
      <c r="E859" s="72"/>
      <c r="F859" s="72"/>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72"/>
      <c r="E860" s="72"/>
      <c r="F860" s="72"/>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72"/>
      <c r="E861" s="72"/>
      <c r="F861" s="72"/>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72"/>
      <c r="E862" s="72"/>
      <c r="F862" s="72"/>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72"/>
      <c r="E863" s="72"/>
      <c r="F863" s="72"/>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72"/>
      <c r="E864" s="72"/>
      <c r="F864" s="72"/>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72"/>
      <c r="E865" s="72"/>
      <c r="F865" s="72"/>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72"/>
      <c r="E866" s="72"/>
      <c r="F866" s="72"/>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72"/>
      <c r="E867" s="72"/>
      <c r="F867" s="72"/>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72"/>
      <c r="E868" s="72"/>
      <c r="F868" s="72"/>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72"/>
      <c r="E869" s="72"/>
      <c r="F869" s="72"/>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72"/>
      <c r="E870" s="72"/>
      <c r="F870" s="72"/>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72"/>
      <c r="E871" s="72"/>
      <c r="F871" s="72"/>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72"/>
      <c r="E872" s="72"/>
      <c r="F872" s="72"/>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72"/>
      <c r="E873" s="72"/>
      <c r="F873" s="72"/>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72"/>
      <c r="E874" s="72"/>
      <c r="F874" s="72"/>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72"/>
      <c r="E875" s="72"/>
      <c r="F875" s="72"/>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72"/>
      <c r="E876" s="72"/>
      <c r="F876" s="72"/>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72"/>
      <c r="E877" s="72"/>
      <c r="F877" s="72"/>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72"/>
      <c r="E878" s="72"/>
      <c r="F878" s="72"/>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72"/>
      <c r="E879" s="72"/>
      <c r="F879" s="72"/>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72"/>
      <c r="E880" s="72"/>
      <c r="F880" s="72"/>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72"/>
      <c r="E881" s="72"/>
      <c r="F881" s="72"/>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72"/>
      <c r="E882" s="72"/>
      <c r="F882" s="72"/>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72"/>
      <c r="E883" s="72"/>
      <c r="F883" s="72"/>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72"/>
      <c r="E884" s="72"/>
      <c r="F884" s="72"/>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72"/>
      <c r="E885" s="72"/>
      <c r="F885" s="72"/>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72"/>
      <c r="E886" s="72"/>
      <c r="F886" s="72"/>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72"/>
      <c r="E887" s="72"/>
      <c r="F887" s="72"/>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72"/>
      <c r="E888" s="72"/>
      <c r="F888" s="72"/>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72"/>
      <c r="E889" s="72"/>
      <c r="F889" s="72"/>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72"/>
      <c r="E890" s="72"/>
      <c r="F890" s="72"/>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72"/>
      <c r="E891" s="72"/>
      <c r="F891" s="72"/>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72"/>
      <c r="E892" s="72"/>
      <c r="F892" s="72"/>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72"/>
      <c r="E893" s="72"/>
      <c r="F893" s="72"/>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72"/>
      <c r="E894" s="72"/>
      <c r="F894" s="72"/>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72"/>
      <c r="E895" s="72"/>
      <c r="F895" s="72"/>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72"/>
      <c r="E896" s="72"/>
      <c r="F896" s="72"/>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72"/>
      <c r="E897" s="72"/>
      <c r="F897" s="72"/>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72"/>
      <c r="E898" s="72"/>
      <c r="F898" s="72"/>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72"/>
      <c r="E899" s="72"/>
      <c r="F899" s="72"/>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72"/>
      <c r="E900" s="72"/>
      <c r="F900" s="72"/>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72"/>
      <c r="E901" s="72"/>
      <c r="F901" s="72"/>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72"/>
      <c r="E902" s="72"/>
      <c r="F902" s="72"/>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72"/>
      <c r="E903" s="72"/>
      <c r="F903" s="72"/>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72"/>
      <c r="E904" s="72"/>
      <c r="F904" s="72"/>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72"/>
      <c r="E905" s="72"/>
      <c r="F905" s="72"/>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72"/>
      <c r="E906" s="72"/>
      <c r="F906" s="72"/>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72"/>
      <c r="E907" s="72"/>
      <c r="F907" s="72"/>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72"/>
      <c r="E908" s="72"/>
      <c r="F908" s="72"/>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72"/>
      <c r="E909" s="72"/>
      <c r="F909" s="72"/>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72"/>
      <c r="E910" s="72"/>
      <c r="F910" s="72"/>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72"/>
      <c r="E911" s="72"/>
      <c r="F911" s="72"/>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72"/>
      <c r="E912" s="72"/>
      <c r="F912" s="72"/>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72"/>
      <c r="E913" s="72"/>
      <c r="F913" s="72"/>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72"/>
      <c r="E914" s="72"/>
      <c r="F914" s="72"/>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72"/>
      <c r="E915" s="72"/>
      <c r="F915" s="72"/>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72"/>
      <c r="E916" s="72"/>
      <c r="F916" s="72"/>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72"/>
      <c r="E917" s="72"/>
      <c r="F917" s="72"/>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72"/>
      <c r="E918" s="72"/>
      <c r="F918" s="72"/>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72"/>
      <c r="E919" s="72"/>
      <c r="F919" s="72"/>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72"/>
      <c r="E920" s="72"/>
      <c r="F920" s="72"/>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72"/>
      <c r="E921" s="72"/>
      <c r="F921" s="72"/>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72"/>
      <c r="E922" s="72"/>
      <c r="F922" s="72"/>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72"/>
      <c r="E923" s="72"/>
      <c r="F923" s="72"/>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72"/>
      <c r="E924" s="72"/>
      <c r="F924" s="72"/>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72"/>
      <c r="E925" s="72"/>
      <c r="F925" s="72"/>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72"/>
      <c r="E926" s="72"/>
      <c r="F926" s="72"/>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72"/>
      <c r="E927" s="72"/>
      <c r="F927" s="72"/>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72"/>
      <c r="E928" s="72"/>
      <c r="F928" s="72"/>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72"/>
      <c r="E929" s="72"/>
      <c r="F929" s="72"/>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72"/>
      <c r="E930" s="72"/>
      <c r="F930" s="72"/>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72"/>
      <c r="E931" s="72"/>
      <c r="F931" s="72"/>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72"/>
      <c r="E932" s="72"/>
      <c r="F932" s="72"/>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72"/>
      <c r="E933" s="72"/>
      <c r="F933" s="72"/>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72"/>
      <c r="E934" s="72"/>
      <c r="F934" s="72"/>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72"/>
      <c r="E935" s="72"/>
      <c r="F935" s="72"/>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72"/>
      <c r="E936" s="72"/>
      <c r="F936" s="72"/>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72"/>
      <c r="E937" s="72"/>
      <c r="F937" s="72"/>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72"/>
      <c r="E938" s="72"/>
      <c r="F938" s="72"/>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72"/>
      <c r="E939" s="72"/>
      <c r="F939" s="72"/>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72"/>
      <c r="E940" s="72"/>
      <c r="F940" s="72"/>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72"/>
      <c r="E941" s="72"/>
      <c r="F941" s="72"/>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72"/>
      <c r="E942" s="72"/>
      <c r="F942" s="72"/>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72"/>
      <c r="E943" s="72"/>
      <c r="F943" s="72"/>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72"/>
      <c r="E944" s="72"/>
      <c r="F944" s="72"/>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72"/>
      <c r="E945" s="72"/>
      <c r="F945" s="72"/>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72"/>
      <c r="E946" s="72"/>
      <c r="F946" s="72"/>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72"/>
      <c r="E947" s="72"/>
      <c r="F947" s="72"/>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72"/>
      <c r="E948" s="72"/>
      <c r="F948" s="72"/>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72"/>
      <c r="E949" s="72"/>
      <c r="F949" s="72"/>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72"/>
      <c r="E950" s="72"/>
      <c r="F950" s="72"/>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72"/>
      <c r="E951" s="72"/>
      <c r="F951" s="72"/>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72"/>
      <c r="E952" s="72"/>
      <c r="F952" s="72"/>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72"/>
      <c r="E953" s="72"/>
      <c r="F953" s="72"/>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72"/>
      <c r="E954" s="72"/>
      <c r="F954" s="72"/>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72"/>
      <c r="E955" s="72"/>
      <c r="F955" s="72"/>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72"/>
      <c r="E956" s="72"/>
      <c r="F956" s="72"/>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72"/>
      <c r="E957" s="72"/>
      <c r="F957" s="72"/>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72"/>
      <c r="E958" s="72"/>
      <c r="F958" s="72"/>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72"/>
      <c r="E959" s="72"/>
      <c r="F959" s="72"/>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72"/>
      <c r="E960" s="72"/>
      <c r="F960" s="72"/>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72"/>
      <c r="E961" s="72"/>
      <c r="F961" s="72"/>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72"/>
      <c r="E962" s="72"/>
      <c r="F962" s="72"/>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72"/>
      <c r="E963" s="72"/>
      <c r="F963" s="72"/>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72"/>
      <c r="E964" s="72"/>
      <c r="F964" s="72"/>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72"/>
      <c r="E965" s="72"/>
      <c r="F965" s="72"/>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72"/>
      <c r="E966" s="72"/>
      <c r="F966" s="72"/>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72"/>
      <c r="E967" s="72"/>
      <c r="F967" s="72"/>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72"/>
      <c r="E968" s="72"/>
      <c r="F968" s="72"/>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72"/>
      <c r="E969" s="72"/>
      <c r="F969" s="72"/>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72"/>
      <c r="E970" s="72"/>
      <c r="F970" s="72"/>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72"/>
      <c r="E971" s="72"/>
      <c r="F971" s="72"/>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72"/>
      <c r="E972" s="72"/>
      <c r="F972" s="72"/>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72"/>
      <c r="E973" s="72"/>
      <c r="F973" s="72"/>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72"/>
      <c r="E974" s="72"/>
      <c r="F974" s="72"/>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72"/>
      <c r="E975" s="72"/>
      <c r="F975" s="72"/>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72"/>
      <c r="E976" s="72"/>
      <c r="F976" s="72"/>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72"/>
      <c r="E977" s="72"/>
      <c r="F977" s="72"/>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72"/>
      <c r="E978" s="72"/>
      <c r="F978" s="72"/>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72"/>
      <c r="E979" s="72"/>
      <c r="F979" s="72"/>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72"/>
      <c r="E980" s="72"/>
      <c r="F980" s="72"/>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72"/>
      <c r="E981" s="72"/>
      <c r="F981" s="72"/>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72"/>
      <c r="E982" s="72"/>
      <c r="F982" s="72"/>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72"/>
      <c r="E983" s="72"/>
      <c r="F983" s="72"/>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72"/>
      <c r="E984" s="72"/>
      <c r="F984" s="72"/>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72"/>
      <c r="E985" s="72"/>
      <c r="F985" s="72"/>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72"/>
      <c r="E986" s="72"/>
      <c r="F986" s="72"/>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72"/>
      <c r="E987" s="72"/>
      <c r="F987" s="72"/>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72"/>
      <c r="E988" s="72"/>
      <c r="F988" s="72"/>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72"/>
      <c r="E989" s="72"/>
      <c r="F989" s="72"/>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72"/>
      <c r="E990" s="72"/>
      <c r="F990" s="72"/>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72"/>
      <c r="E991" s="72"/>
      <c r="F991" s="72"/>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72"/>
      <c r="E992" s="72"/>
      <c r="F992" s="72"/>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72"/>
      <c r="E993" s="72"/>
      <c r="F993" s="72"/>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72"/>
      <c r="E994" s="72"/>
      <c r="F994" s="72"/>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72"/>
      <c r="E995" s="72"/>
      <c r="F995" s="72"/>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72"/>
      <c r="E996" s="72"/>
      <c r="F996" s="72"/>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72"/>
      <c r="E997" s="72"/>
      <c r="F997" s="72"/>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72"/>
      <c r="E998" s="72"/>
      <c r="F998" s="72"/>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72"/>
      <c r="E999" s="72"/>
      <c r="F999" s="72"/>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72"/>
      <c r="E1000" s="72"/>
      <c r="F1000" s="72"/>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scale="70"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000"/>
  <sheetViews>
    <sheetView showGridLines="0" workbookViewId="0">
      <selection activeCell="G3" sqref="G3"/>
    </sheetView>
  </sheetViews>
  <sheetFormatPr defaultColWidth="14.42578125" defaultRowHeight="15" customHeight="1" outlineLevelRow="1" outlineLevelCol="1"/>
  <cols>
    <col min="1" max="1" width="2.7109375" customWidth="1"/>
    <col min="2" max="2" width="39.28515625" customWidth="1"/>
    <col min="3" max="3" width="8.140625" customWidth="1" outlineLevel="1"/>
    <col min="4" max="8" width="12.7109375" customWidth="1"/>
    <col min="9" max="9" width="14.5703125" bestFit="1" customWidth="1"/>
    <col min="10" max="12" width="12.7109375" customWidth="1"/>
    <col min="13" max="14" width="2.7109375" customWidth="1"/>
    <col min="15" max="23" width="10.7109375" customWidth="1"/>
    <col min="24" max="27" width="9.140625" customWidth="1"/>
  </cols>
  <sheetData>
    <row r="1" spans="1:27" ht="15.75" customHeight="1">
      <c r="A1" s="1"/>
      <c r="B1" s="1"/>
      <c r="C1" s="1"/>
      <c r="D1" s="1"/>
      <c r="E1" s="1"/>
      <c r="F1" s="1"/>
      <c r="G1" s="1"/>
      <c r="H1" s="1"/>
      <c r="I1" s="1"/>
      <c r="J1" s="1"/>
      <c r="K1" s="1"/>
      <c r="L1" s="1"/>
      <c r="M1" s="1"/>
      <c r="N1" s="1"/>
      <c r="O1" s="1"/>
      <c r="P1" s="1"/>
      <c r="Q1" s="1"/>
      <c r="R1" s="1"/>
      <c r="S1" s="1"/>
      <c r="T1" s="1"/>
      <c r="U1" s="1"/>
      <c r="V1" s="1"/>
      <c r="W1" s="1"/>
      <c r="X1" s="1"/>
      <c r="Y1" s="1"/>
      <c r="Z1" s="1"/>
      <c r="AA1" s="1"/>
    </row>
    <row r="2" spans="1:27" ht="15.75" customHeight="1">
      <c r="A2" s="1"/>
      <c r="B2" s="2" t="str">
        <f>"WACC Analysis - "&amp;TEXT(Company_Name,"")</f>
        <v>WACC Analysis - Activision Blizzard</v>
      </c>
      <c r="C2" s="3"/>
      <c r="D2" s="1"/>
      <c r="E2" s="1"/>
      <c r="F2" s="1"/>
      <c r="G2" s="1"/>
      <c r="H2" s="1"/>
      <c r="I2" s="1"/>
      <c r="J2" s="1"/>
      <c r="K2" s="1"/>
      <c r="L2" s="1"/>
      <c r="M2" s="1"/>
      <c r="N2" s="1"/>
      <c r="O2" s="1"/>
      <c r="P2" s="1"/>
      <c r="Q2" s="1"/>
      <c r="R2" s="1"/>
      <c r="S2" s="1"/>
      <c r="T2" s="1"/>
      <c r="U2" s="1"/>
      <c r="V2" s="1"/>
      <c r="W2" s="1"/>
      <c r="X2" s="1"/>
      <c r="Y2" s="1"/>
      <c r="Z2" s="1"/>
      <c r="AA2" s="1"/>
    </row>
    <row r="3" spans="1:27" ht="15.75" customHeight="1">
      <c r="A3" s="1"/>
      <c r="B3" s="1" t="str">
        <f>+'ATVI-DCF'!$B$3</f>
        <v>($ in Millions Except Per Share and Per Unit Data)</v>
      </c>
      <c r="C3" s="1"/>
      <c r="D3" s="1"/>
      <c r="E3" s="1"/>
      <c r="F3" s="1"/>
      <c r="G3" s="1"/>
      <c r="H3" s="1"/>
      <c r="I3" s="1"/>
      <c r="J3" s="1"/>
      <c r="K3" s="1"/>
      <c r="L3" s="1"/>
      <c r="M3" s="1"/>
      <c r="N3" s="1"/>
      <c r="O3" s="1"/>
      <c r="P3" s="1"/>
      <c r="Q3" s="1"/>
      <c r="R3" s="1"/>
      <c r="S3" s="1"/>
      <c r="T3" s="1"/>
      <c r="U3" s="1"/>
      <c r="V3" s="1"/>
      <c r="W3" s="1"/>
      <c r="X3" s="1"/>
      <c r="Y3" s="1"/>
      <c r="Z3" s="1"/>
      <c r="AA3" s="1"/>
    </row>
    <row r="4" spans="1:27" ht="15.75" customHeight="1">
      <c r="A4" s="1"/>
      <c r="B4" s="1"/>
      <c r="C4" s="1"/>
      <c r="D4" s="1"/>
      <c r="E4" s="1"/>
      <c r="F4" s="1"/>
      <c r="G4" s="1"/>
      <c r="H4" s="1"/>
      <c r="I4" s="1"/>
      <c r="J4" s="1"/>
      <c r="K4" s="1"/>
      <c r="L4" s="1"/>
      <c r="M4" s="1"/>
      <c r="N4" s="1"/>
      <c r="O4" s="1"/>
      <c r="P4" s="1"/>
      <c r="Q4" s="1"/>
      <c r="R4" s="1"/>
      <c r="S4" s="1"/>
      <c r="T4" s="1"/>
      <c r="U4" s="1"/>
      <c r="V4" s="1"/>
      <c r="W4" s="1"/>
      <c r="X4" s="1"/>
      <c r="Y4" s="1"/>
      <c r="Z4" s="1"/>
      <c r="AA4" s="1"/>
    </row>
    <row r="5" spans="1:27" ht="15.75" customHeight="1">
      <c r="A5" s="1"/>
      <c r="B5" s="13" t="s">
        <v>301</v>
      </c>
      <c r="C5" s="13"/>
      <c r="D5" s="320"/>
      <c r="E5" s="320"/>
      <c r="F5" s="320"/>
      <c r="G5" s="321"/>
      <c r="H5" s="321"/>
      <c r="I5" s="1"/>
      <c r="J5" s="1"/>
      <c r="K5" s="1"/>
      <c r="L5" s="1"/>
      <c r="M5" s="1"/>
      <c r="N5" s="1"/>
      <c r="O5" s="1"/>
      <c r="P5" s="1"/>
      <c r="Q5" s="1"/>
      <c r="R5" s="1"/>
      <c r="S5" s="1"/>
      <c r="T5" s="1"/>
      <c r="U5" s="1"/>
      <c r="V5" s="1"/>
      <c r="W5" s="1"/>
      <c r="X5" s="1"/>
      <c r="Y5" s="1"/>
      <c r="Z5" s="1"/>
      <c r="AA5" s="1"/>
    </row>
    <row r="6" spans="1:27" ht="15.75" customHeight="1">
      <c r="A6" s="1"/>
      <c r="B6" s="1" t="s">
        <v>302</v>
      </c>
      <c r="C6" s="1"/>
      <c r="D6" s="1"/>
      <c r="E6" s="1"/>
      <c r="F6" s="258">
        <v>8.3000000000000001E-3</v>
      </c>
      <c r="G6" s="322"/>
      <c r="H6" s="322"/>
      <c r="I6" s="1"/>
      <c r="J6" s="1"/>
      <c r="K6" s="1"/>
      <c r="L6" s="1"/>
      <c r="M6" s="1"/>
      <c r="N6" s="1"/>
      <c r="O6" s="1"/>
      <c r="P6" s="1"/>
      <c r="Q6" s="1"/>
      <c r="R6" s="1"/>
      <c r="S6" s="1"/>
      <c r="T6" s="1"/>
      <c r="U6" s="1"/>
      <c r="V6" s="1"/>
      <c r="W6" s="1"/>
      <c r="X6" s="1"/>
      <c r="Y6" s="1"/>
      <c r="Z6" s="1"/>
      <c r="AA6" s="1"/>
    </row>
    <row r="7" spans="1:27" ht="15.75" customHeight="1">
      <c r="A7" s="1"/>
      <c r="B7" s="1" t="s">
        <v>303</v>
      </c>
      <c r="C7" s="1"/>
      <c r="D7" s="1"/>
      <c r="E7" s="1"/>
      <c r="F7" s="258">
        <v>5.0599999999999999E-2</v>
      </c>
      <c r="G7" s="322"/>
      <c r="H7" s="322"/>
      <c r="I7" s="1"/>
      <c r="J7" s="1"/>
      <c r="K7" s="1"/>
      <c r="L7" s="1"/>
      <c r="M7" s="1"/>
      <c r="N7" s="1"/>
      <c r="O7" s="1"/>
      <c r="P7" s="1"/>
      <c r="Q7" s="1"/>
      <c r="R7" s="1"/>
      <c r="S7" s="1"/>
      <c r="T7" s="1"/>
      <c r="U7" s="1"/>
      <c r="V7" s="1"/>
      <c r="W7" s="1"/>
      <c r="X7" s="1"/>
      <c r="Y7" s="1"/>
      <c r="Z7" s="1"/>
      <c r="AA7" s="1"/>
    </row>
    <row r="8" spans="1:27" ht="15.75" customHeight="1">
      <c r="A8" s="1"/>
      <c r="B8" s="1" t="s">
        <v>304</v>
      </c>
      <c r="C8" s="1"/>
      <c r="D8" s="1"/>
      <c r="E8" s="1"/>
      <c r="F8" s="323"/>
      <c r="G8" s="322"/>
      <c r="H8" s="322"/>
      <c r="I8" s="324"/>
      <c r="J8" s="324"/>
      <c r="K8" s="1"/>
      <c r="L8" s="1"/>
      <c r="M8" s="1"/>
      <c r="N8" s="1"/>
      <c r="O8" s="1"/>
      <c r="P8" s="1"/>
      <c r="Q8" s="1"/>
      <c r="R8" s="1"/>
      <c r="S8" s="1"/>
      <c r="T8" s="1"/>
      <c r="U8" s="1"/>
      <c r="V8" s="1"/>
      <c r="W8" s="1"/>
      <c r="X8" s="1"/>
      <c r="Y8" s="1"/>
      <c r="Z8" s="1"/>
      <c r="AA8" s="1"/>
    </row>
    <row r="9" spans="1:27" ht="15.75" customHeight="1">
      <c r="A9" s="1"/>
      <c r="B9" s="1" t="s">
        <v>305</v>
      </c>
      <c r="C9" s="1"/>
      <c r="D9" s="1"/>
      <c r="E9" s="1"/>
      <c r="F9" s="258">
        <v>0</v>
      </c>
      <c r="G9" s="322"/>
      <c r="H9" s="322"/>
      <c r="I9" s="324"/>
      <c r="J9" s="324"/>
      <c r="K9" s="1"/>
      <c r="L9" s="1"/>
      <c r="M9" s="1"/>
      <c r="N9" s="1"/>
      <c r="O9" s="1"/>
      <c r="P9" s="1"/>
      <c r="Q9" s="1"/>
      <c r="R9" s="1"/>
      <c r="S9" s="1"/>
      <c r="T9" s="1"/>
      <c r="U9" s="1"/>
      <c r="V9" s="1"/>
      <c r="W9" s="1"/>
      <c r="X9" s="1"/>
      <c r="Y9" s="1"/>
      <c r="Z9" s="1"/>
      <c r="AA9" s="1"/>
    </row>
    <row r="10" spans="1:27"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ht="15.75" hidden="1" customHeight="1" outlineLevel="1">
      <c r="A11" s="1"/>
      <c r="B11" s="4">
        <f>+Inputs!$F$13</f>
        <v>2</v>
      </c>
      <c r="C11" s="5"/>
      <c r="D11" s="5">
        <f>+Inputs!$F$35</f>
        <v>61</v>
      </c>
      <c r="E11" s="5">
        <f>+Inputs!$F$36</f>
        <v>21</v>
      </c>
      <c r="F11" s="5"/>
      <c r="G11" s="5">
        <f>+Inputs!$F$37</f>
        <v>22</v>
      </c>
      <c r="H11" s="5"/>
      <c r="I11" s="4">
        <f>+Inputs!$F$15</f>
        <v>59</v>
      </c>
      <c r="J11" s="4"/>
      <c r="K11" s="5">
        <f>+Inputs!$F$38</f>
        <v>14</v>
      </c>
      <c r="L11" s="1"/>
      <c r="M11" s="1"/>
      <c r="N11" s="1"/>
      <c r="O11" s="1"/>
      <c r="P11" s="1"/>
      <c r="Q11" s="1"/>
      <c r="R11" s="1"/>
      <c r="S11" s="1"/>
      <c r="T11" s="1"/>
      <c r="U11" s="1"/>
      <c r="V11" s="1"/>
      <c r="W11" s="1"/>
      <c r="X11" s="1"/>
      <c r="Y11" s="1"/>
      <c r="Z11" s="1"/>
      <c r="AA11" s="1"/>
    </row>
    <row r="12" spans="1:27" ht="15.75" customHeight="1" collapsed="1">
      <c r="A12" s="1"/>
      <c r="B12" s="7" t="s">
        <v>306</v>
      </c>
      <c r="C12" s="7"/>
      <c r="D12" s="7"/>
      <c r="E12" s="7"/>
      <c r="F12" s="7"/>
      <c r="G12" s="7"/>
      <c r="H12" s="7"/>
      <c r="I12" s="7"/>
      <c r="J12" s="7"/>
      <c r="K12" s="7"/>
      <c r="L12" s="7"/>
      <c r="M12" s="1"/>
      <c r="N12" s="1"/>
      <c r="O12" s="1"/>
      <c r="P12" s="1"/>
      <c r="Q12" s="1"/>
      <c r="R12" s="1"/>
      <c r="S12" s="1"/>
      <c r="T12" s="1"/>
      <c r="U12" s="1"/>
      <c r="V12" s="1"/>
      <c r="W12" s="1"/>
      <c r="X12" s="1"/>
      <c r="Y12" s="1"/>
      <c r="Z12" s="1"/>
      <c r="AA12" s="1"/>
    </row>
    <row r="13" spans="1:27" ht="15.75" customHeight="1">
      <c r="A13" s="1"/>
      <c r="B13" s="7"/>
      <c r="C13" s="7"/>
      <c r="D13" s="9" t="s">
        <v>307</v>
      </c>
      <c r="E13" s="9"/>
      <c r="F13" s="9"/>
      <c r="G13" s="9" t="s">
        <v>308</v>
      </c>
      <c r="H13" s="9"/>
      <c r="I13" s="9" t="s">
        <v>7</v>
      </c>
      <c r="J13" s="9"/>
      <c r="K13" s="9"/>
      <c r="L13" s="9" t="s">
        <v>309</v>
      </c>
      <c r="M13" s="1"/>
      <c r="N13" s="1"/>
      <c r="O13" s="1"/>
      <c r="P13" s="1"/>
      <c r="Q13" s="1"/>
      <c r="R13" s="1"/>
      <c r="S13" s="1"/>
      <c r="T13" s="1"/>
      <c r="U13" s="1"/>
      <c r="V13" s="1"/>
      <c r="W13" s="1"/>
      <c r="X13" s="1"/>
      <c r="Y13" s="1"/>
      <c r="Z13" s="1"/>
      <c r="AA13" s="1"/>
    </row>
    <row r="14" spans="1:27" ht="15.75" customHeight="1">
      <c r="A14" s="1"/>
      <c r="B14" s="13" t="s">
        <v>310</v>
      </c>
      <c r="C14" s="13" t="s">
        <v>16</v>
      </c>
      <c r="D14" s="14" t="s">
        <v>311</v>
      </c>
      <c r="E14" s="14" t="s">
        <v>137</v>
      </c>
      <c r="F14" s="14" t="s">
        <v>312</v>
      </c>
      <c r="G14" s="14" t="s">
        <v>313</v>
      </c>
      <c r="H14" s="14" t="s">
        <v>314</v>
      </c>
      <c r="I14" s="14" t="s">
        <v>19</v>
      </c>
      <c r="J14" s="14" t="s">
        <v>315</v>
      </c>
      <c r="K14" s="14" t="s">
        <v>139</v>
      </c>
      <c r="L14" s="14" t="s">
        <v>311</v>
      </c>
      <c r="M14" s="1"/>
      <c r="N14" s="1"/>
      <c r="O14" s="1"/>
      <c r="P14" s="1"/>
      <c r="Q14" s="1"/>
      <c r="R14" s="1"/>
      <c r="S14" s="1"/>
      <c r="T14" s="1"/>
      <c r="U14" s="1"/>
      <c r="V14" s="1"/>
      <c r="W14" s="1"/>
      <c r="X14" s="1"/>
      <c r="Y14" s="1"/>
      <c r="Z14" s="1"/>
      <c r="AA14" s="1"/>
    </row>
    <row r="15" spans="1:27" ht="15.75" customHeight="1">
      <c r="A15" s="1"/>
      <c r="B15" s="1" t="str">
        <f t="shared" ref="B15:B24" si="0">HLOOKUP($C15,Comps_Range,B$11,FALSE)</f>
        <v>Ubisoft</v>
      </c>
      <c r="C15" s="1" t="s">
        <v>30</v>
      </c>
      <c r="D15" s="325">
        <f t="shared" ref="D15:E24" si="1">HLOOKUP($C15,Comps_Range,D$11,FALSE)</f>
        <v>1.3</v>
      </c>
      <c r="E15" s="17">
        <f t="shared" si="1"/>
        <v>2250.9590000000003</v>
      </c>
      <c r="F15" s="217">
        <f t="shared" ref="F15:F24" si="2">+E15/($E15+$G15+$I15)</f>
        <v>0.18932933550416983</v>
      </c>
      <c r="G15" s="17">
        <f t="shared" ref="G15:G24" si="3">HLOOKUP($C15,Comps_Range,G$11,FALSE)</f>
        <v>0</v>
      </c>
      <c r="H15" s="217">
        <f t="shared" ref="H15:H24" si="4">+G15/($E15+$G15+$I15)</f>
        <v>0</v>
      </c>
      <c r="I15" s="17">
        <f t="shared" ref="I15:I24" si="5">HLOOKUP($C15,Comps_Range,I$11,FALSE)</f>
        <v>9638.16</v>
      </c>
      <c r="J15" s="217">
        <f t="shared" ref="J15:J24" si="6">+I15/($E15+$G15+$I15)</f>
        <v>0.81067066449583014</v>
      </c>
      <c r="K15" s="217">
        <f t="shared" ref="K15:K24" si="7">HLOOKUP($C15,Comps_Range,K$11,FALSE)</f>
        <v>0.1268</v>
      </c>
      <c r="L15" s="326">
        <f t="shared" ref="L15:L24" si="8">IFERROR(D15/(1+(E15/I15)*(1-K15)+G15/I15),"N/A")</f>
        <v>1.0797944456303863</v>
      </c>
      <c r="M15" s="1"/>
      <c r="N15" s="1"/>
      <c r="O15" s="1"/>
      <c r="P15" s="1"/>
      <c r="Q15" s="1"/>
      <c r="R15" s="1"/>
      <c r="S15" s="1"/>
      <c r="T15" s="1"/>
      <c r="U15" s="1"/>
      <c r="V15" s="1"/>
      <c r="W15" s="1"/>
      <c r="X15" s="1"/>
      <c r="Y15" s="1"/>
      <c r="Z15" s="1"/>
      <c r="AA15" s="1"/>
    </row>
    <row r="16" spans="1:27" ht="15.75" customHeight="1">
      <c r="A16" s="1"/>
      <c r="B16" s="1" t="str">
        <f t="shared" si="0"/>
        <v>Electronic Arts</v>
      </c>
      <c r="C16" s="1" t="s">
        <v>31</v>
      </c>
      <c r="D16" s="325">
        <f t="shared" si="1"/>
        <v>1.05</v>
      </c>
      <c r="E16" s="23">
        <f t="shared" si="1"/>
        <v>994</v>
      </c>
      <c r="F16" s="217">
        <f t="shared" si="2"/>
        <v>3.0345293261081208E-2</v>
      </c>
      <c r="G16" s="23">
        <f t="shared" si="3"/>
        <v>0</v>
      </c>
      <c r="H16" s="217">
        <f t="shared" si="4"/>
        <v>0</v>
      </c>
      <c r="I16" s="23">
        <f t="shared" si="5"/>
        <v>31762.315500000004</v>
      </c>
      <c r="J16" s="217">
        <f t="shared" si="6"/>
        <v>0.96965470673891885</v>
      </c>
      <c r="K16" s="217">
        <f t="shared" si="7"/>
        <v>0.18</v>
      </c>
      <c r="L16" s="326">
        <f t="shared" si="8"/>
        <v>1.0237292074192978</v>
      </c>
      <c r="M16" s="1"/>
      <c r="N16" s="1"/>
      <c r="O16" s="1"/>
      <c r="P16" s="1"/>
      <c r="Q16" s="1"/>
      <c r="R16" s="1"/>
      <c r="S16" s="1"/>
      <c r="T16" s="1"/>
      <c r="U16" s="1"/>
      <c r="V16" s="1"/>
      <c r="W16" s="1"/>
      <c r="X16" s="1"/>
      <c r="Y16" s="1"/>
      <c r="Z16" s="1"/>
      <c r="AA16" s="1"/>
    </row>
    <row r="17" spans="1:27" ht="15.75" customHeight="1">
      <c r="A17" s="1"/>
      <c r="B17" s="1" t="str">
        <f t="shared" si="0"/>
        <v>Take Two Initiative</v>
      </c>
      <c r="C17" s="1" t="s">
        <v>32</v>
      </c>
      <c r="D17" s="325">
        <f t="shared" si="1"/>
        <v>0.79</v>
      </c>
      <c r="E17" s="23">
        <f t="shared" si="1"/>
        <v>0</v>
      </c>
      <c r="F17" s="217">
        <f t="shared" si="2"/>
        <v>0</v>
      </c>
      <c r="G17" s="23">
        <f t="shared" si="3"/>
        <v>0</v>
      </c>
      <c r="H17" s="217">
        <f t="shared" si="4"/>
        <v>0</v>
      </c>
      <c r="I17" s="23">
        <f t="shared" si="5"/>
        <v>12557.8624</v>
      </c>
      <c r="J17" s="217">
        <f t="shared" si="6"/>
        <v>1</v>
      </c>
      <c r="K17" s="217">
        <f t="shared" si="7"/>
        <v>0.19980000000000001</v>
      </c>
      <c r="L17" s="326">
        <f t="shared" si="8"/>
        <v>0.79</v>
      </c>
      <c r="M17" s="1"/>
      <c r="N17" s="1"/>
      <c r="O17" s="1"/>
      <c r="P17" s="1"/>
      <c r="Q17" s="1"/>
      <c r="R17" s="1"/>
      <c r="S17" s="1"/>
      <c r="T17" s="1"/>
      <c r="U17" s="1"/>
      <c r="V17" s="1"/>
      <c r="W17" s="1"/>
      <c r="X17" s="1"/>
      <c r="Y17" s="1"/>
      <c r="Z17" s="1"/>
      <c r="AA17" s="1"/>
    </row>
    <row r="18" spans="1:27" ht="15.75" customHeight="1">
      <c r="A18" s="1"/>
      <c r="B18" s="1" t="str">
        <f t="shared" si="0"/>
        <v>Netmarble Games (BILL KRW)</v>
      </c>
      <c r="C18" s="1">
        <v>251270</v>
      </c>
      <c r="D18" s="325">
        <f t="shared" si="1"/>
        <v>1.33</v>
      </c>
      <c r="E18" s="23">
        <f t="shared" si="1"/>
        <v>258.00900000000001</v>
      </c>
      <c r="F18" s="217">
        <f t="shared" si="2"/>
        <v>3.1049176449323194E-2</v>
      </c>
      <c r="G18" s="23">
        <f t="shared" si="3"/>
        <v>0</v>
      </c>
      <c r="H18" s="217">
        <f t="shared" si="4"/>
        <v>0</v>
      </c>
      <c r="I18" s="23">
        <f t="shared" si="5"/>
        <v>8051.68</v>
      </c>
      <c r="J18" s="217">
        <f t="shared" si="6"/>
        <v>0.96895082355067685</v>
      </c>
      <c r="K18" s="217">
        <f t="shared" si="7"/>
        <v>0.21759999999999999</v>
      </c>
      <c r="L18" s="326">
        <f t="shared" si="8"/>
        <v>1.2974706976287622</v>
      </c>
      <c r="M18" s="1"/>
      <c r="N18" s="1"/>
      <c r="O18" s="1"/>
      <c r="P18" s="1"/>
      <c r="Q18" s="1"/>
      <c r="R18" s="1"/>
      <c r="S18" s="1"/>
      <c r="T18" s="1"/>
      <c r="U18" s="1"/>
      <c r="V18" s="1"/>
      <c r="W18" s="1"/>
      <c r="X18" s="1"/>
      <c r="Y18" s="1"/>
      <c r="Z18" s="1"/>
      <c r="AA18" s="1"/>
    </row>
    <row r="19" spans="1:27" ht="15.75" customHeight="1">
      <c r="A19" s="1"/>
      <c r="B19" s="1" t="str">
        <f t="shared" si="0"/>
        <v>Square Enix Co. (MILL JPY)</v>
      </c>
      <c r="C19" s="1">
        <v>9684</v>
      </c>
      <c r="D19" s="325">
        <f t="shared" si="1"/>
        <v>0.72</v>
      </c>
      <c r="E19" s="23">
        <f t="shared" si="1"/>
        <v>0</v>
      </c>
      <c r="F19" s="217">
        <f t="shared" si="2"/>
        <v>0</v>
      </c>
      <c r="G19" s="23">
        <f t="shared" si="3"/>
        <v>0</v>
      </c>
      <c r="H19" s="217">
        <f t="shared" si="4"/>
        <v>0</v>
      </c>
      <c r="I19" s="23">
        <f t="shared" si="5"/>
        <v>620297.6</v>
      </c>
      <c r="J19" s="217">
        <f t="shared" si="6"/>
        <v>1</v>
      </c>
      <c r="K19" s="217">
        <f t="shared" si="7"/>
        <v>0.19800000000000001</v>
      </c>
      <c r="L19" s="326">
        <f t="shared" si="8"/>
        <v>0.72</v>
      </c>
      <c r="M19" s="1"/>
      <c r="N19" s="1"/>
      <c r="O19" s="1"/>
      <c r="P19" s="1"/>
      <c r="Q19" s="1"/>
      <c r="R19" s="1"/>
      <c r="S19" s="1"/>
      <c r="T19" s="1"/>
      <c r="U19" s="1"/>
      <c r="V19" s="1"/>
      <c r="W19" s="1"/>
      <c r="X19" s="1"/>
      <c r="Y19" s="1"/>
      <c r="Z19" s="1"/>
      <c r="AA19" s="1"/>
    </row>
    <row r="20" spans="1:27" ht="15.75" customHeight="1">
      <c r="A20" s="1"/>
      <c r="B20" s="1" t="str">
        <f t="shared" si="0"/>
        <v>Nintendo (MILL JPY)</v>
      </c>
      <c r="C20" s="1">
        <v>7974</v>
      </c>
      <c r="D20" s="325">
        <f t="shared" si="1"/>
        <v>1.05</v>
      </c>
      <c r="E20" s="23">
        <f t="shared" si="1"/>
        <v>0</v>
      </c>
      <c r="F20" s="217">
        <f t="shared" si="2"/>
        <v>0</v>
      </c>
      <c r="G20" s="23">
        <f t="shared" si="3"/>
        <v>0</v>
      </c>
      <c r="H20" s="217">
        <f t="shared" si="4"/>
        <v>0</v>
      </c>
      <c r="I20" s="23">
        <f t="shared" si="5"/>
        <v>4842380.8033500006</v>
      </c>
      <c r="J20" s="217">
        <f t="shared" si="6"/>
        <v>1</v>
      </c>
      <c r="K20" s="217">
        <f t="shared" si="7"/>
        <v>0.28410000000000002</v>
      </c>
      <c r="L20" s="326">
        <f t="shared" si="8"/>
        <v>1.05</v>
      </c>
      <c r="M20" s="1"/>
      <c r="N20" s="1"/>
      <c r="O20" s="1"/>
      <c r="P20" s="1"/>
      <c r="Q20" s="1"/>
      <c r="R20" s="1"/>
      <c r="S20" s="1"/>
      <c r="T20" s="1"/>
      <c r="U20" s="1"/>
      <c r="V20" s="1"/>
      <c r="W20" s="1"/>
      <c r="X20" s="1"/>
      <c r="Y20" s="1"/>
      <c r="Z20" s="1"/>
      <c r="AA20" s="1"/>
    </row>
    <row r="21" spans="1:27" ht="15.75" customHeight="1">
      <c r="A21" s="1"/>
      <c r="B21" s="1" t="str">
        <f t="shared" si="0"/>
        <v>CD Projekt (MILL PLN)</v>
      </c>
      <c r="C21" s="1" t="s">
        <v>40</v>
      </c>
      <c r="D21" s="325">
        <f t="shared" si="1"/>
        <v>0.99</v>
      </c>
      <c r="E21" s="23">
        <f t="shared" si="1"/>
        <v>161.33000000000001</v>
      </c>
      <c r="F21" s="217">
        <f t="shared" si="2"/>
        <v>5.3764856319895062E-3</v>
      </c>
      <c r="G21" s="23">
        <f t="shared" si="3"/>
        <v>0</v>
      </c>
      <c r="H21" s="217">
        <f t="shared" si="4"/>
        <v>0</v>
      </c>
      <c r="I21" s="23">
        <f t="shared" si="5"/>
        <v>29845.260000000002</v>
      </c>
      <c r="J21" s="217">
        <f t="shared" si="6"/>
        <v>0.99462351436801044</v>
      </c>
      <c r="K21" s="217">
        <f t="shared" si="7"/>
        <v>0.1933</v>
      </c>
      <c r="L21" s="326">
        <f t="shared" si="8"/>
        <v>0.98570169402973706</v>
      </c>
      <c r="M21" s="1"/>
      <c r="N21" s="1"/>
      <c r="O21" s="1"/>
      <c r="P21" s="1"/>
      <c r="Q21" s="1"/>
      <c r="R21" s="1"/>
      <c r="S21" s="1"/>
      <c r="T21" s="1"/>
      <c r="U21" s="1"/>
      <c r="V21" s="1"/>
      <c r="W21" s="1"/>
      <c r="X21" s="1"/>
      <c r="Y21" s="1"/>
      <c r="Z21" s="1"/>
      <c r="AA21" s="1"/>
    </row>
    <row r="22" spans="1:27" ht="15.75" customHeight="1">
      <c r="A22" s="1"/>
      <c r="B22" s="1" t="str">
        <f t="shared" si="0"/>
        <v>Bandai Namco (BILL JPY)</v>
      </c>
      <c r="C22" s="1" t="s">
        <v>41</v>
      </c>
      <c r="D22" s="325">
        <f t="shared" si="1"/>
        <v>0.47</v>
      </c>
      <c r="E22" s="23">
        <f t="shared" si="1"/>
        <v>0</v>
      </c>
      <c r="F22" s="217">
        <f t="shared" si="2"/>
        <v>0</v>
      </c>
      <c r="G22" s="23">
        <f t="shared" si="3"/>
        <v>0</v>
      </c>
      <c r="H22" s="217">
        <f t="shared" si="4"/>
        <v>0</v>
      </c>
      <c r="I22" s="23">
        <f t="shared" si="5"/>
        <v>1323132.6400000001</v>
      </c>
      <c r="J22" s="217">
        <f t="shared" si="6"/>
        <v>1</v>
      </c>
      <c r="K22" s="217">
        <f t="shared" si="7"/>
        <v>0.25668648357863083</v>
      </c>
      <c r="L22" s="326">
        <f t="shared" si="8"/>
        <v>0.47</v>
      </c>
      <c r="M22" s="1"/>
      <c r="N22" s="1"/>
      <c r="O22" s="1"/>
      <c r="P22" s="1"/>
      <c r="Q22" s="1"/>
      <c r="R22" s="1"/>
      <c r="S22" s="1"/>
      <c r="T22" s="1"/>
      <c r="U22" s="1"/>
      <c r="V22" s="1"/>
      <c r="W22" s="1"/>
      <c r="X22" s="1"/>
      <c r="Y22" s="1"/>
      <c r="Z22" s="1"/>
      <c r="AA22" s="1"/>
    </row>
    <row r="23" spans="1:27" ht="15.75" customHeight="1">
      <c r="A23" s="1"/>
      <c r="B23" s="1" t="str">
        <f t="shared" si="0"/>
        <v>Nexon (BILL JPY)</v>
      </c>
      <c r="C23" s="1" t="s">
        <v>42</v>
      </c>
      <c r="D23" s="325">
        <f t="shared" si="1"/>
        <v>0.87</v>
      </c>
      <c r="E23" s="23">
        <f t="shared" si="1"/>
        <v>12341</v>
      </c>
      <c r="F23" s="217">
        <f t="shared" si="2"/>
        <v>8.5248282427746198E-3</v>
      </c>
      <c r="G23" s="23">
        <f t="shared" si="3"/>
        <v>0</v>
      </c>
      <c r="H23" s="217">
        <f t="shared" si="4"/>
        <v>0</v>
      </c>
      <c r="I23" s="23">
        <f t="shared" si="5"/>
        <v>1435312.7999999998</v>
      </c>
      <c r="J23" s="217">
        <f t="shared" si="6"/>
        <v>0.99147517175722533</v>
      </c>
      <c r="K23" s="217">
        <f t="shared" si="7"/>
        <v>0.25</v>
      </c>
      <c r="L23" s="326">
        <f t="shared" si="8"/>
        <v>0.86442566951911015</v>
      </c>
      <c r="M23" s="1"/>
      <c r="N23" s="1"/>
      <c r="O23" s="1"/>
      <c r="P23" s="1"/>
      <c r="Q23" s="1"/>
      <c r="R23" s="1"/>
      <c r="S23" s="1"/>
      <c r="T23" s="1"/>
      <c r="U23" s="1"/>
      <c r="V23" s="1"/>
      <c r="W23" s="1"/>
      <c r="X23" s="1"/>
      <c r="Y23" s="1"/>
      <c r="Z23" s="1"/>
      <c r="AA23" s="1"/>
    </row>
    <row r="24" spans="1:27" ht="15.75" customHeight="1">
      <c r="A24" s="1"/>
      <c r="B24" s="1" t="str">
        <f t="shared" si="0"/>
        <v>NCsoft Corp. (KRW)</v>
      </c>
      <c r="C24" s="1">
        <v>36570</v>
      </c>
      <c r="D24" s="325">
        <f t="shared" si="1"/>
        <v>0.21</v>
      </c>
      <c r="E24" s="23">
        <f t="shared" si="1"/>
        <v>263162</v>
      </c>
      <c r="F24" s="217">
        <f t="shared" si="2"/>
        <v>1.9323943223461246E-2</v>
      </c>
      <c r="G24" s="23">
        <f t="shared" si="3"/>
        <v>0</v>
      </c>
      <c r="H24" s="217">
        <f t="shared" si="4"/>
        <v>0</v>
      </c>
      <c r="I24" s="23">
        <f t="shared" si="5"/>
        <v>13355280</v>
      </c>
      <c r="J24" s="217">
        <f t="shared" si="6"/>
        <v>0.9806760567765388</v>
      </c>
      <c r="K24" s="217">
        <f t="shared" si="7"/>
        <v>0.25849825074408644</v>
      </c>
      <c r="L24" s="326">
        <f t="shared" si="8"/>
        <v>0.20697585887599099</v>
      </c>
      <c r="M24" s="1"/>
      <c r="N24" s="1"/>
      <c r="O24" s="1"/>
      <c r="P24" s="1"/>
      <c r="Q24" s="1"/>
      <c r="R24" s="1"/>
      <c r="S24" s="1"/>
      <c r="T24" s="1"/>
      <c r="U24" s="1"/>
      <c r="V24" s="1"/>
      <c r="W24" s="1"/>
      <c r="X24" s="1"/>
      <c r="Y24" s="1"/>
      <c r="Z24" s="1"/>
      <c r="AA24" s="1"/>
    </row>
    <row r="25" spans="1:27"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c r="A26" s="1"/>
      <c r="B26" s="327" t="s">
        <v>316</v>
      </c>
      <c r="C26" s="42"/>
      <c r="D26" s="328">
        <f t="shared" ref="D26:L26" si="9">MEDIAN(D15:D24)</f>
        <v>0.92999999999999994</v>
      </c>
      <c r="E26" s="44">
        <f t="shared" si="9"/>
        <v>209.66950000000003</v>
      </c>
      <c r="F26" s="329">
        <f t="shared" si="9"/>
        <v>6.950656937382063E-3</v>
      </c>
      <c r="G26" s="44">
        <f t="shared" si="9"/>
        <v>0</v>
      </c>
      <c r="H26" s="329">
        <f t="shared" si="9"/>
        <v>0</v>
      </c>
      <c r="I26" s="44">
        <f t="shared" si="9"/>
        <v>326029.95775</v>
      </c>
      <c r="J26" s="329">
        <f t="shared" si="9"/>
        <v>0.99304934306261794</v>
      </c>
      <c r="K26" s="329">
        <f t="shared" si="9"/>
        <v>0.2087</v>
      </c>
      <c r="L26" s="330">
        <f t="shared" si="9"/>
        <v>0.92506368177442355</v>
      </c>
      <c r="M26" s="1"/>
      <c r="N26" s="1"/>
      <c r="O26" s="1"/>
      <c r="P26" s="1"/>
      <c r="Q26" s="1"/>
      <c r="R26" s="1"/>
      <c r="S26" s="1"/>
      <c r="T26" s="1"/>
      <c r="U26" s="1"/>
      <c r="V26" s="1"/>
      <c r="W26" s="1"/>
      <c r="X26" s="1"/>
      <c r="Y26" s="1"/>
      <c r="Z26" s="1"/>
      <c r="AA26" s="1"/>
    </row>
    <row r="27" spans="1: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54" t="str">
        <f>HLOOKUP($C28,Comps_Range,B$11,FALSE)</f>
        <v>Activision Blizzard</v>
      </c>
      <c r="C28" s="55" t="str">
        <f>Ticker</f>
        <v>ATVI</v>
      </c>
      <c r="D28" s="331">
        <f>HLOOKUP($C28,Comps_Range,D$11,FALSE)</f>
        <v>0.83420000000000005</v>
      </c>
      <c r="E28" s="332">
        <f>HLOOKUP($C28,Comps_Range,E$11,FALSE)</f>
        <v>2675</v>
      </c>
      <c r="F28" s="333"/>
      <c r="G28" s="333"/>
      <c r="H28" s="333"/>
      <c r="I28" s="333"/>
      <c r="J28" s="333"/>
      <c r="K28" s="334"/>
      <c r="L28" s="335"/>
      <c r="M28" s="1"/>
      <c r="N28" s="1"/>
      <c r="O28" s="1"/>
      <c r="P28" s="1"/>
      <c r="Q28" s="1"/>
      <c r="R28" s="1"/>
      <c r="S28" s="1"/>
      <c r="T28" s="1"/>
      <c r="U28" s="1"/>
      <c r="V28" s="1"/>
      <c r="W28" s="1"/>
      <c r="X28" s="1"/>
      <c r="Y28" s="1"/>
      <c r="Z28" s="1"/>
      <c r="AA28" s="1"/>
    </row>
    <row r="29" spans="1:27"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7" t="str">
        <f>TEXT(Company_Name,"")&amp; " - Levered Beta &amp; WACC Calculation:"</f>
        <v>Activision Blizzard - Levered Beta &amp; WACC Calculation:</v>
      </c>
      <c r="C30" s="7"/>
      <c r="D30" s="7"/>
      <c r="E30" s="7"/>
      <c r="F30" s="7"/>
      <c r="G30" s="7"/>
      <c r="H30" s="7"/>
      <c r="I30" s="7"/>
      <c r="J30" s="7"/>
      <c r="K30" s="7"/>
      <c r="L30" s="7"/>
      <c r="M30" s="1"/>
      <c r="N30" s="1"/>
      <c r="O30" s="1"/>
      <c r="P30" s="1"/>
      <c r="Q30" s="1"/>
      <c r="R30" s="1"/>
      <c r="S30" s="1"/>
      <c r="T30" s="1"/>
      <c r="U30" s="1"/>
      <c r="V30" s="1"/>
      <c r="W30" s="1"/>
      <c r="X30" s="1"/>
      <c r="Y30" s="1"/>
      <c r="Z30" s="1"/>
      <c r="AA30" s="1"/>
    </row>
    <row r="31" spans="1:27" ht="15.75" customHeight="1">
      <c r="A31" s="1"/>
      <c r="B31" s="7"/>
      <c r="C31" s="7"/>
      <c r="D31" s="9" t="s">
        <v>309</v>
      </c>
      <c r="E31" s="9"/>
      <c r="F31" s="9"/>
      <c r="G31" s="9" t="s">
        <v>308</v>
      </c>
      <c r="H31" s="9"/>
      <c r="I31" s="9" t="s">
        <v>7</v>
      </c>
      <c r="J31" s="9"/>
      <c r="K31" s="9"/>
      <c r="L31" s="9" t="s">
        <v>307</v>
      </c>
      <c r="M31" s="1"/>
      <c r="N31" s="1"/>
      <c r="O31" s="1"/>
      <c r="P31" s="1"/>
      <c r="Q31" s="1"/>
      <c r="R31" s="1"/>
      <c r="S31" s="1"/>
      <c r="T31" s="1"/>
      <c r="U31" s="1"/>
      <c r="V31" s="1"/>
      <c r="W31" s="1"/>
      <c r="X31" s="1"/>
      <c r="Y31" s="1"/>
      <c r="Z31" s="1"/>
      <c r="AA31" s="1"/>
    </row>
    <row r="32" spans="1:27" ht="15.75" customHeight="1">
      <c r="A32" s="1"/>
      <c r="B32" s="13"/>
      <c r="C32" s="13" t="s">
        <v>16</v>
      </c>
      <c r="D32" s="14" t="s">
        <v>311</v>
      </c>
      <c r="E32" s="14" t="s">
        <v>137</v>
      </c>
      <c r="F32" s="14" t="s">
        <v>312</v>
      </c>
      <c r="G32" s="14" t="s">
        <v>313</v>
      </c>
      <c r="H32" s="14" t="s">
        <v>314</v>
      </c>
      <c r="I32" s="14" t="s">
        <v>19</v>
      </c>
      <c r="J32" s="14" t="s">
        <v>315</v>
      </c>
      <c r="K32" s="14" t="s">
        <v>139</v>
      </c>
      <c r="L32" s="14" t="s">
        <v>311</v>
      </c>
      <c r="M32" s="1"/>
      <c r="N32" s="1"/>
      <c r="O32" s="1"/>
      <c r="P32" s="1"/>
      <c r="Q32" s="1"/>
      <c r="R32" s="1"/>
      <c r="S32" s="1"/>
      <c r="T32" s="1"/>
      <c r="U32" s="1"/>
      <c r="V32" s="1"/>
      <c r="W32" s="1"/>
      <c r="X32" s="1"/>
      <c r="Y32" s="1"/>
      <c r="Z32" s="1"/>
      <c r="AA32" s="1"/>
    </row>
    <row r="33" spans="1:27" ht="15.75" customHeight="1">
      <c r="A33" s="1"/>
      <c r="B33" s="30" t="s">
        <v>317</v>
      </c>
      <c r="C33" s="336" t="str">
        <f>Ticker</f>
        <v>ATVI</v>
      </c>
      <c r="D33" s="337">
        <f>+L26</f>
        <v>0.92506368177442355</v>
      </c>
      <c r="E33" s="32">
        <f>HLOOKUP($C33,Comps_Range,E$11,FALSE)</f>
        <v>2675</v>
      </c>
      <c r="F33" s="338">
        <f>+E33/($E33+$G33+$I33)</f>
        <v>5.3473263368315843E-2</v>
      </c>
      <c r="G33" s="32">
        <f>HLOOKUP($C33,Comps_Range,G$11,FALSE)</f>
        <v>0</v>
      </c>
      <c r="H33" s="338">
        <f>+G33/($E33+$G33+$I33)</f>
        <v>0</v>
      </c>
      <c r="I33" s="32">
        <f>HLOOKUP($C33,Comps_Range,I$11,FALSE)</f>
        <v>47350</v>
      </c>
      <c r="J33" s="338">
        <f>+I33/($E33+$G33+$I33)</f>
        <v>0.94652673663168418</v>
      </c>
      <c r="K33" s="339">
        <f>HLOOKUP($C33,Comps_Range,K$11,FALSE)</f>
        <v>0.19189999999999999</v>
      </c>
      <c r="L33" s="340">
        <f>D33*(1+(E33/I33)*(1-Tax_Rate)+(G33/I33))</f>
        <v>0.96729557398819577</v>
      </c>
      <c r="M33" s="1"/>
      <c r="N33" s="1"/>
      <c r="O33" s="1"/>
      <c r="P33" s="1"/>
      <c r="Q33" s="1"/>
      <c r="R33" s="1"/>
      <c r="S33" s="1"/>
      <c r="T33" s="1"/>
      <c r="U33" s="1"/>
      <c r="V33" s="1"/>
      <c r="W33" s="1"/>
      <c r="X33" s="1"/>
      <c r="Y33" s="1"/>
      <c r="Z33" s="1"/>
      <c r="AA33" s="1"/>
    </row>
    <row r="34" spans="1:27" ht="15.75" customHeight="1">
      <c r="A34" s="1"/>
      <c r="B34" s="1" t="s">
        <v>318</v>
      </c>
      <c r="C34" s="341" t="str">
        <f>Ticker</f>
        <v>ATVI</v>
      </c>
      <c r="D34" s="325">
        <f>+L26</f>
        <v>0.92506368177442355</v>
      </c>
      <c r="E34" s="23">
        <f>+F34*($E33+$G33+$I33)</f>
        <v>347.70661329253772</v>
      </c>
      <c r="F34" s="217">
        <f>+F26</f>
        <v>6.950656937382063E-3</v>
      </c>
      <c r="G34" s="23">
        <f>+H34*($E33+$G33+$I33)</f>
        <v>0</v>
      </c>
      <c r="H34" s="217">
        <f>+H26</f>
        <v>0</v>
      </c>
      <c r="I34" s="23">
        <f>+J34*($E33+$G33+$I33)</f>
        <v>49677.293386707461</v>
      </c>
      <c r="J34" s="217">
        <f>+J26</f>
        <v>0.99304934306261794</v>
      </c>
      <c r="K34" s="33">
        <f>HLOOKUP($C34,Comps_Range,K$11,FALSE)</f>
        <v>0.19189999999999999</v>
      </c>
      <c r="L34" s="21">
        <f>D34*(1+(E34/I34)*(1-Tax_Rate)+(G34/I34))</f>
        <v>0.93029597124372587</v>
      </c>
      <c r="M34" s="1"/>
      <c r="N34" s="1"/>
      <c r="O34" s="1"/>
      <c r="P34" s="1"/>
      <c r="Q34" s="1"/>
      <c r="R34" s="1"/>
      <c r="S34" s="1"/>
      <c r="T34" s="1"/>
      <c r="U34" s="1"/>
      <c r="V34" s="1"/>
      <c r="W34" s="1"/>
      <c r="X34" s="1"/>
      <c r="Y34" s="1"/>
      <c r="Z34" s="1"/>
      <c r="AA34" s="1"/>
    </row>
    <row r="35" spans="1:27"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342" t="s">
        <v>319</v>
      </c>
      <c r="C36" s="343"/>
      <c r="D36" s="343"/>
      <c r="E36" s="343"/>
      <c r="F36" s="343"/>
      <c r="G36" s="343"/>
      <c r="H36" s="343"/>
      <c r="I36" s="343"/>
      <c r="J36" s="343"/>
      <c r="K36" s="343"/>
      <c r="L36" s="344">
        <f>+Risk_Free_Rate+Equity_Risk_Premium*L33</f>
        <v>5.724515604380271E-2</v>
      </c>
      <c r="M36" s="1"/>
      <c r="N36" s="1"/>
      <c r="O36" s="1"/>
      <c r="P36" s="1"/>
      <c r="Q36" s="1"/>
      <c r="R36" s="1"/>
      <c r="S36" s="1"/>
      <c r="T36" s="1"/>
      <c r="U36" s="1"/>
      <c r="V36" s="1"/>
      <c r="W36" s="1"/>
      <c r="X36" s="1"/>
      <c r="Y36" s="1"/>
      <c r="Z36" s="1"/>
      <c r="AA36" s="1"/>
    </row>
    <row r="37" spans="1:27" ht="15.75" customHeight="1">
      <c r="A37" s="1"/>
      <c r="B37" s="345" t="s">
        <v>320</v>
      </c>
      <c r="C37" s="346"/>
      <c r="D37" s="346"/>
      <c r="E37" s="346"/>
      <c r="F37" s="346"/>
      <c r="G37" s="346"/>
      <c r="H37" s="346"/>
      <c r="I37" s="346"/>
      <c r="J37" s="346"/>
      <c r="K37" s="346"/>
      <c r="L37" s="347">
        <f>+Risk_Free_Rate+Equity_Risk_Premium*L34</f>
        <v>5.5372976144932529E-2</v>
      </c>
      <c r="M37" s="1"/>
      <c r="N37" s="1"/>
      <c r="O37" s="1"/>
      <c r="P37" s="1"/>
      <c r="Q37" s="1"/>
      <c r="R37" s="1"/>
      <c r="S37" s="1"/>
      <c r="T37" s="1"/>
      <c r="U37" s="1"/>
      <c r="V37" s="1"/>
      <c r="W37" s="1"/>
      <c r="X37" s="1"/>
      <c r="Y37" s="1"/>
      <c r="Z37" s="1"/>
      <c r="AA37" s="1"/>
    </row>
    <row r="38" spans="1:27" ht="15.75" customHeight="1">
      <c r="A38" s="1"/>
      <c r="B38" s="348" t="s">
        <v>321</v>
      </c>
      <c r="C38" s="349"/>
      <c r="D38" s="349"/>
      <c r="E38" s="349"/>
      <c r="F38" s="349"/>
      <c r="G38" s="349"/>
      <c r="H38" s="349"/>
      <c r="I38" s="349"/>
      <c r="J38" s="349"/>
      <c r="K38" s="349"/>
      <c r="L38" s="350">
        <f>+Risk_Free_Rate+Equity_Risk_Premium*D28</f>
        <v>5.0510520000000003E-2</v>
      </c>
      <c r="M38" s="1"/>
      <c r="N38" s="1"/>
      <c r="O38" s="1"/>
      <c r="P38" s="1"/>
      <c r="Q38" s="1"/>
      <c r="R38" s="1"/>
      <c r="S38" s="1"/>
      <c r="T38" s="1"/>
      <c r="U38" s="1"/>
      <c r="V38" s="1"/>
      <c r="W38" s="1"/>
      <c r="X38" s="1"/>
      <c r="Y38" s="1"/>
      <c r="Z38" s="1"/>
      <c r="AA38" s="1"/>
    </row>
    <row r="39" spans="1:27" ht="15.75" customHeight="1">
      <c r="A39" s="1"/>
      <c r="B39" s="30"/>
      <c r="C39" s="30"/>
      <c r="D39" s="30"/>
      <c r="E39" s="30"/>
      <c r="F39" s="30"/>
      <c r="G39" s="30"/>
      <c r="H39" s="30"/>
      <c r="I39" s="30"/>
      <c r="J39" s="30"/>
      <c r="K39" s="30"/>
      <c r="L39" s="30"/>
      <c r="M39" s="1"/>
      <c r="N39" s="1"/>
      <c r="O39" s="1"/>
      <c r="P39" s="1"/>
      <c r="Q39" s="1"/>
      <c r="R39" s="1"/>
      <c r="S39" s="1"/>
      <c r="T39" s="1"/>
      <c r="U39" s="1"/>
      <c r="V39" s="1"/>
      <c r="W39" s="1"/>
      <c r="X39" s="1"/>
      <c r="Y39" s="1"/>
      <c r="Z39" s="1"/>
      <c r="AA39" s="1"/>
    </row>
    <row r="40" spans="1:27" ht="15.75" customHeight="1">
      <c r="A40" s="1"/>
      <c r="B40" s="1" t="s">
        <v>322</v>
      </c>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267"/>
      <c r="C41" s="267"/>
      <c r="D41" s="267"/>
      <c r="E41" s="267"/>
      <c r="F41" s="267"/>
      <c r="G41" s="267"/>
      <c r="H41" s="267"/>
      <c r="I41" s="267"/>
      <c r="J41" s="267"/>
      <c r="K41" s="267"/>
      <c r="L41" s="267"/>
      <c r="M41" s="1"/>
      <c r="N41" s="1"/>
      <c r="O41" s="1"/>
      <c r="P41" s="1"/>
      <c r="Q41" s="1"/>
      <c r="R41" s="1"/>
      <c r="S41" s="1"/>
      <c r="T41" s="1"/>
      <c r="U41" s="1"/>
      <c r="V41" s="1"/>
      <c r="W41" s="1"/>
      <c r="X41" s="1"/>
      <c r="Y41" s="1"/>
      <c r="Z41" s="1"/>
      <c r="AA41" s="1"/>
    </row>
    <row r="42" spans="1:27" ht="15.75" customHeight="1">
      <c r="A42" s="1"/>
      <c r="B42" s="342" t="s">
        <v>323</v>
      </c>
      <c r="C42" s="343"/>
      <c r="D42" s="343"/>
      <c r="E42" s="343"/>
      <c r="F42" s="343"/>
      <c r="G42" s="343"/>
      <c r="H42" s="343"/>
      <c r="I42" s="343"/>
      <c r="J42" s="343"/>
      <c r="K42" s="343"/>
      <c r="L42" s="351">
        <f>+L36*J33+Cost_of_Debt*(1-Tax_Rate)*F33+Cost_of_Preferred*H33</f>
        <v>5.4184070738112114E-2</v>
      </c>
      <c r="M42" s="1"/>
      <c r="N42" s="1"/>
      <c r="O42" s="1"/>
      <c r="P42" s="1"/>
      <c r="Q42" s="1"/>
      <c r="R42" s="1"/>
      <c r="S42" s="1"/>
      <c r="T42" s="1"/>
      <c r="U42" s="1"/>
      <c r="V42" s="1"/>
      <c r="W42" s="1"/>
      <c r="X42" s="1"/>
      <c r="Y42" s="1"/>
      <c r="Z42" s="1"/>
      <c r="AA42" s="1"/>
    </row>
    <row r="43" spans="1:27" ht="15.75" customHeight="1">
      <c r="A43" s="1"/>
      <c r="B43" s="345" t="s">
        <v>324</v>
      </c>
      <c r="C43" s="346"/>
      <c r="D43" s="346"/>
      <c r="E43" s="346"/>
      <c r="F43" s="346"/>
      <c r="G43" s="346"/>
      <c r="H43" s="346"/>
      <c r="I43" s="346"/>
      <c r="J43" s="346"/>
      <c r="K43" s="346"/>
      <c r="L43" s="352">
        <f>+L38*J33+Cost_of_Debt*(1-Tax_Rate)*F33+Cost_of_Preferred*H33</f>
        <v>4.780955766116942E-2</v>
      </c>
      <c r="M43" s="1"/>
      <c r="N43" s="1"/>
      <c r="O43" s="1"/>
      <c r="P43" s="1"/>
      <c r="Q43" s="1"/>
      <c r="R43" s="1"/>
      <c r="S43" s="1"/>
      <c r="T43" s="1"/>
      <c r="U43" s="1"/>
      <c r="V43" s="1"/>
      <c r="W43" s="1"/>
      <c r="X43" s="1"/>
      <c r="Y43" s="1"/>
      <c r="Z43" s="1"/>
      <c r="AA43" s="1"/>
    </row>
    <row r="44" spans="1:27" ht="15.75" customHeight="1">
      <c r="A44" s="1"/>
      <c r="B44" s="348" t="s">
        <v>325</v>
      </c>
      <c r="C44" s="349"/>
      <c r="D44" s="349"/>
      <c r="E44" s="349"/>
      <c r="F44" s="349"/>
      <c r="G44" s="349"/>
      <c r="H44" s="349"/>
      <c r="I44" s="349"/>
      <c r="J44" s="349"/>
      <c r="K44" s="349"/>
      <c r="L44" s="353">
        <f>+L37*J34+Cost_of_Debt*(1-Tax_Rate)*F34+Cost_of_Preferred*H34</f>
        <v>5.4988097584147265E-2</v>
      </c>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354" t="s">
        <v>326</v>
      </c>
      <c r="C46" s="355"/>
      <c r="D46" s="355"/>
      <c r="E46" s="355"/>
      <c r="F46" s="355"/>
      <c r="G46" s="355"/>
      <c r="H46" s="355"/>
      <c r="I46" s="355"/>
      <c r="J46" s="355"/>
      <c r="K46" s="355"/>
      <c r="L46" s="356">
        <f>AVERAGE(L42:L44)</f>
        <v>5.2327241994476269E-2</v>
      </c>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ageMargins left="0.7" right="0.7" top="0.75" bottom="0.75" header="0" footer="0"/>
  <pageSetup scale="56"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33</vt:i4>
      </vt:variant>
    </vt:vector>
  </HeadingPairs>
  <TitlesOfParts>
    <vt:vector size="41" baseType="lpstr">
      <vt:lpstr>ValGraph</vt:lpstr>
      <vt:lpstr>ValSum</vt:lpstr>
      <vt:lpstr>Public Comps</vt:lpstr>
      <vt:lpstr>Public-Comps-Data</vt:lpstr>
      <vt:lpstr>Inputs</vt:lpstr>
      <vt:lpstr>ATVI-DCF</vt:lpstr>
      <vt:lpstr>H1-Results</vt:lpstr>
      <vt:lpstr>WACC</vt:lpstr>
      <vt:lpstr>Basic_Shares</vt:lpstr>
      <vt:lpstr>Company_Name</vt:lpstr>
      <vt:lpstr>Comps_Range</vt:lpstr>
      <vt:lpstr>Cost_of_Debt</vt:lpstr>
      <vt:lpstr>Cost_of_Preferred</vt:lpstr>
      <vt:lpstr>Equity_Risk_Premium</vt:lpstr>
      <vt:lpstr>Final_Discount_Rate</vt:lpstr>
      <vt:lpstr>Forward_Year_1</vt:lpstr>
      <vt:lpstr>Forward_Year_2</vt:lpstr>
      <vt:lpstr>Forward_Year_3</vt:lpstr>
      <vt:lpstr>Inputs!FYear_1_Name</vt:lpstr>
      <vt:lpstr>Inputs!FYear_2_Name</vt:lpstr>
      <vt:lpstr>Inputs!FYear_3_Name</vt:lpstr>
      <vt:lpstr>Hist_Year</vt:lpstr>
      <vt:lpstr>Initial_Discount_Rate</vt:lpstr>
      <vt:lpstr>JZP110_Risk_Adjustment_Factor</vt:lpstr>
      <vt:lpstr>LTM</vt:lpstr>
      <vt:lpstr>LTM_Name</vt:lpstr>
      <vt:lpstr>Next_Year</vt:lpstr>
      <vt:lpstr>Num_Years</vt:lpstr>
      <vt:lpstr>Risk_Free_Rate</vt:lpstr>
      <vt:lpstr>Scenario</vt:lpstr>
      <vt:lpstr>Share_Price</vt:lpstr>
      <vt:lpstr>Stub_Period</vt:lpstr>
      <vt:lpstr>Tax_Rate</vt:lpstr>
      <vt:lpstr>Terminal_Growth_Rate</vt:lpstr>
      <vt:lpstr>Terminal_Multiple</vt:lpstr>
      <vt:lpstr>Ticker</vt:lpstr>
      <vt:lpstr>Units</vt:lpstr>
      <vt:lpstr>Valuation_Date</vt:lpstr>
      <vt:lpstr>Vyxeos_Risk_Adjustment_Factor</vt:lpstr>
      <vt:lpstr>WACC</vt:lpstr>
      <vt:lpstr>Year_Remaining_Pct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BIWS</dc:creator>
  <cp:lastModifiedBy>Adri Del Amor</cp:lastModifiedBy>
  <dcterms:created xsi:type="dcterms:W3CDTF">2014-03-07T00:48:59Z</dcterms:created>
  <dcterms:modified xsi:type="dcterms:W3CDTF">2020-04-02T19:26:22Z</dcterms:modified>
</cp:coreProperties>
</file>