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8215" windowHeight="11955" tabRatio="476"/>
  </bookViews>
  <sheets>
    <sheet name="DCF" sheetId="1" r:id="rId1"/>
    <sheet name="WACC" sheetId="2" r:id="rId2"/>
  </sheets>
  <calcPr calcId="145621"/>
</workbook>
</file>

<file path=xl/calcChain.xml><?xml version="1.0" encoding="utf-8"?>
<calcChain xmlns="http://schemas.openxmlformats.org/spreadsheetml/2006/main">
  <c r="N54" i="1" l="1"/>
  <c r="O54" i="1" s="1"/>
  <c r="P54" i="1" s="1"/>
  <c r="Q54" i="1" s="1"/>
  <c r="L56" i="1"/>
  <c r="M56" i="1" s="1"/>
  <c r="N56" i="1" s="1"/>
  <c r="O56" i="1" s="1"/>
  <c r="P56" i="1" s="1"/>
  <c r="Q56" i="1" s="1"/>
  <c r="M58" i="1"/>
  <c r="N58" i="1" s="1"/>
  <c r="O58" i="1" s="1"/>
  <c r="P58" i="1" s="1"/>
  <c r="Q58" i="1" s="1"/>
  <c r="L46" i="1"/>
  <c r="L38" i="1"/>
  <c r="J61" i="1" l="1"/>
  <c r="I61" i="1"/>
  <c r="H61" i="1"/>
  <c r="L60" i="1"/>
  <c r="J60" i="1"/>
  <c r="I60" i="1"/>
  <c r="H60" i="1"/>
  <c r="G60" i="1"/>
  <c r="L51" i="1" l="1"/>
  <c r="L49" i="1"/>
  <c r="Q46" i="1"/>
  <c r="Q49" i="1" s="1"/>
  <c r="Q51" i="1" s="1"/>
  <c r="Q60" i="1" s="1"/>
  <c r="P46" i="1"/>
  <c r="O46" i="1"/>
  <c r="O49" i="1" s="1"/>
  <c r="O51" i="1" s="1"/>
  <c r="O60" i="1" s="1"/>
  <c r="N46" i="1"/>
  <c r="N49" i="1" s="1"/>
  <c r="N51" i="1" s="1"/>
  <c r="N60" i="1" s="1"/>
  <c r="M46" i="1"/>
  <c r="M49" i="1" s="1"/>
  <c r="M51" i="1" s="1"/>
  <c r="M60" i="1" s="1"/>
  <c r="Q38" i="1"/>
  <c r="P38" i="1"/>
  <c r="O38" i="1"/>
  <c r="N38" i="1"/>
  <c r="M38" i="1"/>
  <c r="M6" i="1"/>
  <c r="N6" i="1" s="1"/>
  <c r="O6" i="1" s="1"/>
  <c r="P6" i="1" s="1"/>
  <c r="Q6" i="1" s="1"/>
  <c r="G23" i="1"/>
  <c r="N19" i="1"/>
  <c r="O19" i="1" s="1"/>
  <c r="P19" i="1" s="1"/>
  <c r="Q19" i="1" s="1"/>
  <c r="M13" i="1"/>
  <c r="N13" i="1" s="1"/>
  <c r="O13" i="1" s="1"/>
  <c r="P13" i="1" s="1"/>
  <c r="Q13" i="1" s="1"/>
  <c r="N9" i="1"/>
  <c r="O9" i="1" s="1"/>
  <c r="P9" i="1" s="1"/>
  <c r="Q9" i="1" s="1"/>
  <c r="M9" i="1"/>
  <c r="M25" i="1"/>
  <c r="N25" i="1" s="1"/>
  <c r="O25" i="1" s="1"/>
  <c r="P25" i="1" s="1"/>
  <c r="Q25" i="1" s="1"/>
  <c r="L22" i="1"/>
  <c r="M22" i="1" s="1"/>
  <c r="N22" i="1" s="1"/>
  <c r="O22" i="1" s="1"/>
  <c r="P22" i="1" s="1"/>
  <c r="Q22" i="1" s="1"/>
  <c r="L13" i="1"/>
  <c r="L9" i="1"/>
  <c r="J26" i="1"/>
  <c r="I26" i="1"/>
  <c r="H26" i="1"/>
  <c r="G26" i="1"/>
  <c r="J23" i="1"/>
  <c r="I23" i="1"/>
  <c r="H23" i="1"/>
  <c r="J20" i="1"/>
  <c r="I20" i="1"/>
  <c r="H20" i="1"/>
  <c r="G20" i="1"/>
  <c r="J14" i="1"/>
  <c r="I14" i="1"/>
  <c r="H14" i="1"/>
  <c r="G14" i="1"/>
  <c r="J10" i="1"/>
  <c r="I10" i="1"/>
  <c r="H10" i="1"/>
  <c r="G10" i="1"/>
  <c r="P49" i="1" l="1"/>
  <c r="P51" i="1" s="1"/>
  <c r="P60" i="1" s="1"/>
  <c r="O61" i="1"/>
  <c r="N61" i="1"/>
  <c r="M61" i="1"/>
  <c r="K24" i="2"/>
  <c r="J24" i="2"/>
  <c r="I24" i="2"/>
  <c r="H24" i="2"/>
  <c r="G24" i="2"/>
  <c r="F24" i="2"/>
  <c r="E24" i="2"/>
  <c r="G92" i="1"/>
  <c r="G91" i="1"/>
  <c r="G90" i="1"/>
  <c r="G88" i="1"/>
  <c r="G86" i="1"/>
  <c r="G85" i="1"/>
  <c r="G84" i="1"/>
  <c r="G83" i="1"/>
  <c r="G82" i="1"/>
  <c r="G81" i="1"/>
  <c r="G80" i="1"/>
  <c r="G78" i="1"/>
  <c r="G76" i="1"/>
  <c r="G75" i="1"/>
  <c r="G74" i="1"/>
  <c r="Q61" i="1" l="1"/>
  <c r="P61" i="1"/>
</calcChain>
</file>

<file path=xl/comments1.xml><?xml version="1.0" encoding="utf-8"?>
<comments xmlns="http://schemas.openxmlformats.org/spreadsheetml/2006/main">
  <authors>
    <author/>
  </authors>
  <commentList>
    <comment ref="B71" authorId="0">
      <text>
        <r>
          <rPr>
            <sz val="11"/>
            <color rgb="FF000000"/>
            <rFont val="Calibri"/>
          </rPr>
          <t xml:space="preserve">Usuario:
It depends on which multiple you use, my recommendation is that you use EV/EBITDA
</t>
        </r>
      </text>
    </comment>
    <comment ref="G71" authorId="0">
      <text>
        <r>
          <rPr>
            <sz val="11"/>
            <color rgb="FF000000"/>
            <rFont val="Calibri"/>
          </rPr>
          <t xml:space="preserve">Usuario:
This value should be something around Long-Term GDP Growth 
of the country
</t>
        </r>
      </text>
    </comment>
    <comment ref="B74" authorId="0">
      <text>
        <r>
          <rPr>
            <sz val="11"/>
            <color rgb="FF000000"/>
            <rFont val="Calibri"/>
          </rPr>
          <t xml:space="preserve">Usuario:
Take into account which is the Period you need to discount it for! </t>
        </r>
      </text>
    </comment>
  </commentList>
</comments>
</file>

<file path=xl/sharedStrings.xml><?xml version="1.0" encoding="utf-8"?>
<sst xmlns="http://schemas.openxmlformats.org/spreadsheetml/2006/main" count="149" uniqueCount="97">
  <si>
    <t>Discount Rate Calculations Assumptions</t>
  </si>
  <si>
    <t>Historical Data</t>
  </si>
  <si>
    <t>Risk-Free Rate:</t>
  </si>
  <si>
    <t>Equity Risk Premium:</t>
  </si>
  <si>
    <t>Pre-Tax Cost of Debt:</t>
  </si>
  <si>
    <t>Cost of Preferred Stock:</t>
  </si>
  <si>
    <t>Comparable Companies Calculation - Unlevered Beta</t>
  </si>
  <si>
    <t>Name</t>
  </si>
  <si>
    <t>Levered Beta</t>
  </si>
  <si>
    <t>Debt</t>
  </si>
  <si>
    <t>% Debt</t>
  </si>
  <si>
    <t>Preferred Stock</t>
  </si>
  <si>
    <t>% Pr. Stock</t>
  </si>
  <si>
    <t>Equity</t>
  </si>
  <si>
    <t>%Equity</t>
  </si>
  <si>
    <t>Tax Rate</t>
  </si>
  <si>
    <t>Unlevered Beta</t>
  </si>
  <si>
    <t>Median</t>
  </si>
  <si>
    <t>(Your Company)</t>
  </si>
  <si>
    <t>Projected Data</t>
  </si>
  <si>
    <t>Revenue and Expense Projections</t>
  </si>
  <si>
    <t>Units</t>
  </si>
  <si>
    <t>(Your Company) WACC and Levered Beta Calculation</t>
  </si>
  <si>
    <t>FY 14</t>
  </si>
  <si>
    <t>FY 15</t>
  </si>
  <si>
    <t>FY 16</t>
  </si>
  <si>
    <t>Unleverd Beta</t>
  </si>
  <si>
    <t>FY 17</t>
  </si>
  <si>
    <t>FY 18</t>
  </si>
  <si>
    <t>FY 19</t>
  </si>
  <si>
    <t>FY 20</t>
  </si>
  <si>
    <t>FY 21</t>
  </si>
  <si>
    <t>FY 22</t>
  </si>
  <si>
    <t>FY 23</t>
  </si>
  <si>
    <t>Current Capital Structure</t>
  </si>
  <si>
    <t>Optimal Capital Structure</t>
  </si>
  <si>
    <t>Revenue</t>
  </si>
  <si>
    <t>Cost of Equity, Current Capital Structure:</t>
  </si>
  <si>
    <t>Cost of Equity, Optimal Capital Structure:</t>
  </si>
  <si>
    <t>Cost of Equity, based on Historical Beta:</t>
  </si>
  <si>
    <t>$ M</t>
  </si>
  <si>
    <t>Annual Growth Rate</t>
  </si>
  <si>
    <t>WACC Current Capital Structure:</t>
  </si>
  <si>
    <t>%</t>
  </si>
  <si>
    <t>WACC Optimal Capital Structure:</t>
  </si>
  <si>
    <t>WACC, Current Capital Structure and Historical Beta:</t>
  </si>
  <si>
    <t>Average WACC produced by all methods:</t>
  </si>
  <si>
    <t>SG&amp;A Expenses</t>
  </si>
  <si>
    <t>Depreciation and Amortization</t>
  </si>
  <si>
    <t xml:space="preserve">$ M </t>
  </si>
  <si>
    <t>Unlevered Free Cash Flow Projections</t>
  </si>
  <si>
    <t>Cost of Goods Sold</t>
  </si>
  <si>
    <t>Gross Profit</t>
  </si>
  <si>
    <t>Gross Margin</t>
  </si>
  <si>
    <t xml:space="preserve">Operating Expenses </t>
  </si>
  <si>
    <t>(+) SG&amp;A Expenses</t>
  </si>
  <si>
    <t>(+) R&amp;D Expenses</t>
  </si>
  <si>
    <t>Total Operating Expenses</t>
  </si>
  <si>
    <t>Operating Income (EBIT)</t>
  </si>
  <si>
    <t>Operating Margin</t>
  </si>
  <si>
    <t>(-) Taxes, Excluding Interest Effect</t>
  </si>
  <si>
    <t>Net Operating Profit After Tax (NOPAT)</t>
  </si>
  <si>
    <t>Adjustment for Non-Cash Charges (For simplicity, we'll assume just D&amp;A):</t>
  </si>
  <si>
    <t>(+) Depreciation and Amortization</t>
  </si>
  <si>
    <t>(+/-) Change in WC (Op. Assets - Op. Liabilities)</t>
  </si>
  <si>
    <t>(-) Capital Expenditures (CAPEX)</t>
  </si>
  <si>
    <t>Annual Unlevered Free Cash Flow</t>
  </si>
  <si>
    <t>Growth</t>
  </si>
  <si>
    <t>Discount Period (Year)</t>
  </si>
  <si>
    <t>Discount Rate (WACC)</t>
  </si>
  <si>
    <t>PV of Unlevered Free Cash Flow</t>
  </si>
  <si>
    <t>Terminal Value - Multiples Method</t>
  </si>
  <si>
    <t>Terminal Value - Gordon (Perpetuity) Growth Method</t>
  </si>
  <si>
    <t>Terminal Multiple:</t>
  </si>
  <si>
    <t>Baseline Terminal FCF Growth Rate:</t>
  </si>
  <si>
    <t>Terminal Value:</t>
  </si>
  <si>
    <t>PV of Terminal Value:</t>
  </si>
  <si>
    <t>Sum of PV of FCF:</t>
  </si>
  <si>
    <t>Implied EV:</t>
  </si>
  <si>
    <t>% of Implied EV from Terminal Value:</t>
  </si>
  <si>
    <t>(+) Cash &amp; Equivalents</t>
  </si>
  <si>
    <t>(+) Equity Investments</t>
  </si>
  <si>
    <t>(+) Other Non-Core Assets, Net</t>
  </si>
  <si>
    <t>(-) Total Debt</t>
  </si>
  <si>
    <t>(-) Preferred Stock</t>
  </si>
  <si>
    <t>(-) Non-controlling Interests</t>
  </si>
  <si>
    <t>Implied Equity Value:</t>
  </si>
  <si>
    <t>Diluted Shares Outstanding:</t>
  </si>
  <si>
    <t>Implied Share Price:</t>
  </si>
  <si>
    <t>Current Share Price:</t>
  </si>
  <si>
    <t>Premium/(Discount) to Current:</t>
  </si>
  <si>
    <t>-</t>
  </si>
  <si>
    <t xml:space="preserve">Cost of Goods Sold </t>
  </si>
  <si>
    <t xml:space="preserve">R&amp;D Expenses </t>
  </si>
  <si>
    <t>Beta</t>
  </si>
  <si>
    <t xml:space="preserve">Change in WC </t>
  </si>
  <si>
    <t xml:space="preserve">Capex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</si>
</sst>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sz val="11"/>
      <color rgb="FFFFFFFF"/>
      <name val="Calibri"/>
    </font>
    <font>
      <sz val="10"/>
      <color rgb="FF000000"/>
      <name val="Arial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4472C4"/>
        <bgColor rgb="FF4472C4"/>
      </patternFill>
    </fill>
    <fill>
      <patternFill patternType="solid">
        <fgColor rgb="FFFDFDFD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5" fillId="0" borderId="1"/>
  </cellStyleXfs>
  <cellXfs count="44">
    <xf numFmtId="0" fontId="0" fillId="0" borderId="0" xfId="0" applyFont="1" applyAlignment="1"/>
    <xf numFmtId="0" fontId="0" fillId="2" borderId="1" xfId="0" applyFont="1" applyFill="1" applyBorder="1"/>
    <xf numFmtId="0" fontId="0" fillId="3" borderId="1" xfId="0" applyFont="1" applyFill="1" applyBorder="1"/>
    <xf numFmtId="0" fontId="1" fillId="4" borderId="1" xfId="0" applyFont="1" applyFill="1" applyBorder="1"/>
    <xf numFmtId="0" fontId="0" fillId="3" borderId="2" xfId="0" applyFont="1" applyFill="1" applyBorder="1"/>
    <xf numFmtId="0" fontId="2" fillId="4" borderId="1" xfId="0" applyFont="1" applyFill="1" applyBorder="1"/>
    <xf numFmtId="0" fontId="1" fillId="3" borderId="2" xfId="0" applyFont="1" applyFill="1" applyBorder="1"/>
    <xf numFmtId="0" fontId="2" fillId="2" borderId="1" xfId="0" applyFont="1" applyFill="1" applyBorder="1"/>
    <xf numFmtId="0" fontId="0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3" borderId="6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/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9" xfId="0" applyFont="1" applyFill="1" applyBorder="1"/>
    <xf numFmtId="0" fontId="4" fillId="4" borderId="1" xfId="0" applyFont="1" applyFill="1" applyBorder="1"/>
    <xf numFmtId="9" fontId="0" fillId="2" borderId="1" xfId="0" applyNumberFormat="1" applyFont="1" applyFill="1" applyBorder="1"/>
    <xf numFmtId="10" fontId="0" fillId="2" borderId="1" xfId="0" applyNumberFormat="1" applyFont="1" applyFill="1" applyBorder="1"/>
    <xf numFmtId="0" fontId="6" fillId="5" borderId="10" xfId="0" applyFont="1" applyFill="1" applyBorder="1" applyAlignment="1">
      <alignment horizontal="right" vertical="center" wrapText="1"/>
    </xf>
    <xf numFmtId="0" fontId="7" fillId="2" borderId="1" xfId="0" applyFont="1" applyFill="1" applyBorder="1"/>
    <xf numFmtId="0" fontId="8" fillId="0" borderId="1" xfId="0" applyFont="1" applyBorder="1" applyAlignment="1">
      <alignment horizontal="left"/>
    </xf>
    <xf numFmtId="0" fontId="7" fillId="0" borderId="1" xfId="0" applyFont="1" applyBorder="1"/>
    <xf numFmtId="2" fontId="0" fillId="0" borderId="1" xfId="0" applyNumberFormat="1" applyFont="1" applyBorder="1"/>
    <xf numFmtId="2" fontId="0" fillId="2" borderId="1" xfId="0" applyNumberFormat="1" applyFont="1" applyFill="1" applyBorder="1"/>
    <xf numFmtId="10" fontId="7" fillId="2" borderId="1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32" zoomScale="110" zoomScaleNormal="110" workbookViewId="0">
      <selection activeCell="W38" sqref="W38"/>
    </sheetView>
  </sheetViews>
  <sheetFormatPr baseColWidth="10" defaultColWidth="14.42578125" defaultRowHeight="15" customHeight="1" x14ac:dyDescent="0.25"/>
  <cols>
    <col min="1" max="3" width="11.42578125" customWidth="1"/>
    <col min="4" max="4" width="12.140625" customWidth="1"/>
    <col min="5" max="18" width="11.42578125" customWidth="1"/>
    <col min="19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2"/>
      <c r="C3" s="2"/>
      <c r="D3" s="2"/>
      <c r="E3" s="2"/>
      <c r="F3" s="4"/>
      <c r="G3" s="4"/>
      <c r="H3" s="6" t="s">
        <v>1</v>
      </c>
      <c r="I3" s="4"/>
      <c r="J3" s="14"/>
      <c r="K3" s="4"/>
      <c r="L3" s="4"/>
      <c r="M3" s="6" t="s">
        <v>19</v>
      </c>
      <c r="N3" s="4"/>
      <c r="O3" s="4"/>
      <c r="P3" s="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5" t="s">
        <v>20</v>
      </c>
      <c r="C4" s="2"/>
      <c r="D4" s="2"/>
      <c r="E4" s="16" t="s">
        <v>21</v>
      </c>
      <c r="F4" s="16" t="s">
        <v>23</v>
      </c>
      <c r="G4" s="16" t="s">
        <v>24</v>
      </c>
      <c r="H4" s="16" t="s">
        <v>25</v>
      </c>
      <c r="I4" s="16" t="s">
        <v>27</v>
      </c>
      <c r="J4" s="17" t="s">
        <v>28</v>
      </c>
      <c r="K4" s="16"/>
      <c r="L4" s="16" t="s">
        <v>29</v>
      </c>
      <c r="M4" s="16" t="s">
        <v>30</v>
      </c>
      <c r="N4" s="16" t="s">
        <v>31</v>
      </c>
      <c r="O4" s="16" t="s">
        <v>32</v>
      </c>
      <c r="P4" s="16" t="s">
        <v>33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9" t="s">
        <v>36</v>
      </c>
      <c r="C6" s="20"/>
      <c r="D6" s="20"/>
      <c r="E6" s="20" t="s">
        <v>40</v>
      </c>
      <c r="F6" s="18">
        <v>22.44</v>
      </c>
      <c r="G6" s="18">
        <v>185.1</v>
      </c>
      <c r="H6" s="18">
        <v>135.38999999999999</v>
      </c>
      <c r="I6" s="18">
        <v>107.19</v>
      </c>
      <c r="J6" s="18">
        <v>84.15</v>
      </c>
      <c r="K6" s="18"/>
      <c r="L6" s="18">
        <v>98.24</v>
      </c>
      <c r="M6" s="18">
        <f>ROUND((M7/100*L6),2)</f>
        <v>65919.039999999994</v>
      </c>
      <c r="N6" s="18">
        <f t="shared" ref="N6" si="0">ROUND((N7/100*M6)+M6,2)</f>
        <v>46143.33</v>
      </c>
      <c r="O6" s="18">
        <f t="shared" ref="O6" si="1">ROUND((O7/100*N6)+N6,2)</f>
        <v>35530.36</v>
      </c>
      <c r="P6" s="18">
        <f t="shared" ref="P6" si="2">ROUND((P7/100*O6)+O6,2)</f>
        <v>28424.29</v>
      </c>
      <c r="Q6" s="18">
        <f t="shared" ref="Q6" si="3">ROUND((Q7/100*P6)+P6,2)</f>
        <v>22455.19</v>
      </c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21" t="s">
        <v>41</v>
      </c>
      <c r="C7" s="20"/>
      <c r="D7" s="20"/>
      <c r="E7" s="20" t="s">
        <v>43</v>
      </c>
      <c r="F7" s="18"/>
      <c r="G7" s="41">
        <v>740</v>
      </c>
      <c r="H7" s="41">
        <v>-27</v>
      </c>
      <c r="I7" s="41">
        <v>-20</v>
      </c>
      <c r="J7" s="41">
        <v>-21</v>
      </c>
      <c r="K7" s="41"/>
      <c r="L7" s="41">
        <v>16</v>
      </c>
      <c r="M7" s="41">
        <v>67100</v>
      </c>
      <c r="N7" s="41">
        <v>-30</v>
      </c>
      <c r="O7" s="41">
        <v>-23</v>
      </c>
      <c r="P7" s="41">
        <v>-20</v>
      </c>
      <c r="Q7" s="42">
        <v>-21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20"/>
      <c r="C8" s="20"/>
      <c r="D8" s="20"/>
      <c r="E8" s="2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39" t="s">
        <v>92</v>
      </c>
      <c r="C9" s="20"/>
      <c r="D9" s="20"/>
      <c r="E9" s="20"/>
      <c r="F9" s="1">
        <v>14.71</v>
      </c>
      <c r="G9" s="1">
        <v>48.8</v>
      </c>
      <c r="H9" s="1">
        <v>26.41</v>
      </c>
      <c r="I9" s="1">
        <v>19.04</v>
      </c>
      <c r="J9" s="1">
        <v>24.62</v>
      </c>
      <c r="K9" s="18"/>
      <c r="L9" s="18">
        <f>ROUND((L10/100)*J9+J9,2)</f>
        <v>21.42</v>
      </c>
      <c r="M9" s="18">
        <f>ROUND((M10/100*L9)+L9,2)</f>
        <v>53.55</v>
      </c>
      <c r="N9" s="18">
        <f t="shared" ref="N9:Q9" si="4">ROUND((N10/100*M9)+M9,2)</f>
        <v>46.05</v>
      </c>
      <c r="O9" s="18">
        <f t="shared" si="4"/>
        <v>39.6</v>
      </c>
      <c r="P9" s="18">
        <f t="shared" si="4"/>
        <v>34.06</v>
      </c>
      <c r="Q9" s="18">
        <f t="shared" si="4"/>
        <v>29.29</v>
      </c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22" t="s">
        <v>41</v>
      </c>
      <c r="C10" s="1"/>
      <c r="D10" s="1"/>
      <c r="E10" s="23" t="s">
        <v>43</v>
      </c>
      <c r="F10" s="18"/>
      <c r="G10" s="40">
        <f>ROUND((G9-F9)/F9*100,2)</f>
        <v>231.75</v>
      </c>
      <c r="H10" s="40">
        <f t="shared" ref="H10:J10" si="5">ROUND((H9-G9)/G9*100,2)</f>
        <v>-45.88</v>
      </c>
      <c r="I10" s="40">
        <f t="shared" si="5"/>
        <v>-27.91</v>
      </c>
      <c r="J10" s="40">
        <f t="shared" si="5"/>
        <v>29.31</v>
      </c>
      <c r="K10" s="18"/>
      <c r="L10" s="18">
        <v>-13</v>
      </c>
      <c r="M10" s="18">
        <v>150</v>
      </c>
      <c r="N10" s="18">
        <v>-14</v>
      </c>
      <c r="O10" s="18">
        <v>-14</v>
      </c>
      <c r="P10" s="18">
        <v>-14</v>
      </c>
      <c r="Q10" s="1">
        <v>-14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20"/>
      <c r="C12" s="20"/>
      <c r="D12" s="20"/>
      <c r="E12" s="20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9" t="s">
        <v>47</v>
      </c>
      <c r="C13" s="20"/>
      <c r="D13" s="20"/>
      <c r="E13" s="20" t="s">
        <v>40</v>
      </c>
      <c r="F13" s="18">
        <v>6.91</v>
      </c>
      <c r="G13" s="18">
        <v>28.48</v>
      </c>
      <c r="H13" s="18">
        <v>38.04</v>
      </c>
      <c r="I13" s="18">
        <v>33.36</v>
      </c>
      <c r="J13" s="18">
        <v>33.56</v>
      </c>
      <c r="K13" s="18"/>
      <c r="L13" s="18">
        <f>ROUND((L14/100)*J13+J13,2)</f>
        <v>35.909999999999997</v>
      </c>
      <c r="M13" s="18">
        <f t="shared" ref="M13:Q13" si="6">ROUND((M14/100*L13)+L13,2)</f>
        <v>89.78</v>
      </c>
      <c r="N13" s="18">
        <f t="shared" si="6"/>
        <v>96.06</v>
      </c>
      <c r="O13" s="18">
        <f t="shared" si="6"/>
        <v>102.78</v>
      </c>
      <c r="P13" s="18">
        <f t="shared" si="6"/>
        <v>109.97</v>
      </c>
      <c r="Q13" s="18">
        <f t="shared" si="6"/>
        <v>117.67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21" t="s">
        <v>41</v>
      </c>
      <c r="C14" s="20"/>
      <c r="D14" s="20"/>
      <c r="E14" s="20" t="s">
        <v>43</v>
      </c>
      <c r="F14" s="18"/>
      <c r="G14" s="40">
        <f t="shared" ref="G14:J14" si="7">ROUND((G13-F13)/F13*100,2)</f>
        <v>312.16000000000003</v>
      </c>
      <c r="H14" s="40">
        <f t="shared" si="7"/>
        <v>33.57</v>
      </c>
      <c r="I14" s="40">
        <f t="shared" si="7"/>
        <v>-12.3</v>
      </c>
      <c r="J14" s="40">
        <f t="shared" si="7"/>
        <v>0.6</v>
      </c>
      <c r="K14" s="18"/>
      <c r="L14" s="18">
        <v>7</v>
      </c>
      <c r="M14" s="18">
        <v>150</v>
      </c>
      <c r="N14" s="18">
        <v>7</v>
      </c>
      <c r="O14" s="18">
        <v>7</v>
      </c>
      <c r="P14" s="18">
        <v>7</v>
      </c>
      <c r="Q14" s="1">
        <v>7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20"/>
      <c r="C15" s="20"/>
      <c r="D15" s="20"/>
      <c r="E15" s="2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39" t="s">
        <v>93</v>
      </c>
      <c r="C16" s="20"/>
      <c r="D16" s="20"/>
      <c r="E16" s="20" t="s">
        <v>43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21" t="s">
        <v>41</v>
      </c>
      <c r="C17" s="20"/>
      <c r="D17" s="20"/>
      <c r="E17" s="20" t="s">
        <v>43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20"/>
      <c r="C18" s="20"/>
      <c r="D18" s="20"/>
      <c r="E18" s="20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9" t="s">
        <v>48</v>
      </c>
      <c r="C19" s="20"/>
      <c r="D19" s="20"/>
      <c r="E19" s="20" t="s">
        <v>49</v>
      </c>
      <c r="F19" s="18">
        <v>1</v>
      </c>
      <c r="G19" s="18">
        <v>2.2999999999999998</v>
      </c>
      <c r="H19" s="18">
        <v>9.3000000000000007</v>
      </c>
      <c r="I19" s="18">
        <v>1</v>
      </c>
      <c r="J19" s="18">
        <v>4.5999999999999996</v>
      </c>
      <c r="K19" s="18"/>
      <c r="L19" s="18">
        <v>3.64</v>
      </c>
      <c r="M19" s="18">
        <v>3.64</v>
      </c>
      <c r="N19" s="18">
        <f t="shared" ref="M19:Q19" si="8">ROUND((N20/100*M19)+M19,2)</f>
        <v>3.64</v>
      </c>
      <c r="O19" s="18">
        <f t="shared" si="8"/>
        <v>3.64</v>
      </c>
      <c r="P19" s="18">
        <f t="shared" si="8"/>
        <v>3.64</v>
      </c>
      <c r="Q19" s="18">
        <f t="shared" si="8"/>
        <v>3.64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1" t="s">
        <v>41</v>
      </c>
      <c r="C20" s="20"/>
      <c r="D20" s="20"/>
      <c r="E20" s="20" t="s">
        <v>43</v>
      </c>
      <c r="F20" s="18"/>
      <c r="G20" s="40">
        <f t="shared" ref="G20:J20" si="9">ROUND((G19-F19)/F19*100,2)</f>
        <v>130</v>
      </c>
      <c r="H20" s="40">
        <f t="shared" si="9"/>
        <v>304.35000000000002</v>
      </c>
      <c r="I20" s="40">
        <f t="shared" si="9"/>
        <v>-89.25</v>
      </c>
      <c r="J20" s="40">
        <f t="shared" si="9"/>
        <v>360</v>
      </c>
      <c r="K20" s="18"/>
      <c r="L20" s="18"/>
      <c r="M20" s="18"/>
      <c r="N20" s="18"/>
      <c r="O20" s="18"/>
      <c r="P20" s="18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0"/>
      <c r="C21" s="20"/>
      <c r="D21" s="20"/>
      <c r="E21" s="2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4" t="s">
        <v>95</v>
      </c>
      <c r="C22" s="20"/>
      <c r="D22" s="20"/>
      <c r="E22" s="20"/>
      <c r="F22" s="1">
        <v>-2</v>
      </c>
      <c r="G22" s="1">
        <v>336</v>
      </c>
      <c r="H22" s="1">
        <v>202</v>
      </c>
      <c r="I22" s="1">
        <v>16</v>
      </c>
      <c r="J22" s="1">
        <v>-10</v>
      </c>
      <c r="K22" s="18"/>
      <c r="L22" s="18">
        <f>ROUND((L23/100)*J22+J22,2)</f>
        <v>-0.2</v>
      </c>
      <c r="M22" s="18">
        <f t="shared" ref="M22:Q22" si="10">ROUND((M23/100*L22)+L22,2)</f>
        <v>-34</v>
      </c>
      <c r="N22" s="18">
        <f t="shared" si="10"/>
        <v>-23.8</v>
      </c>
      <c r="O22" s="18">
        <f t="shared" si="10"/>
        <v>-0.48</v>
      </c>
      <c r="P22" s="18">
        <f t="shared" si="10"/>
        <v>-0.01</v>
      </c>
      <c r="Q22" s="18">
        <f t="shared" si="10"/>
        <v>0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1" t="s">
        <v>41</v>
      </c>
      <c r="C23" s="18"/>
      <c r="D23" s="18"/>
      <c r="E23" s="20" t="s">
        <v>43</v>
      </c>
      <c r="F23" s="18"/>
      <c r="G23" s="40">
        <f>ROUND((G22-F22)/ABS(F22)*100,2)</f>
        <v>16900</v>
      </c>
      <c r="H23" s="40">
        <f t="shared" ref="H23:J23" si="11">ROUND((H22-G22)/G22*100,2)</f>
        <v>-39.880000000000003</v>
      </c>
      <c r="I23" s="40">
        <f t="shared" si="11"/>
        <v>-92.08</v>
      </c>
      <c r="J23" s="40">
        <f t="shared" si="11"/>
        <v>-162.5</v>
      </c>
      <c r="K23" s="18"/>
      <c r="L23" s="18">
        <v>-98</v>
      </c>
      <c r="M23" s="18">
        <v>16900</v>
      </c>
      <c r="N23" s="18">
        <v>-30</v>
      </c>
      <c r="O23" s="18">
        <v>-98</v>
      </c>
      <c r="P23" s="18">
        <v>-98</v>
      </c>
      <c r="Q23" s="18">
        <v>-98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4" t="s">
        <v>96</v>
      </c>
      <c r="C25" s="18"/>
      <c r="D25" s="18"/>
      <c r="E25" s="20" t="s">
        <v>43</v>
      </c>
      <c r="F25" s="1">
        <v>2.2999999999999998</v>
      </c>
      <c r="G25" s="1">
        <v>4.5999999999999996</v>
      </c>
      <c r="H25" s="1">
        <v>2.2999999999999998</v>
      </c>
      <c r="I25" s="1">
        <v>2.2999999999999998</v>
      </c>
      <c r="J25" s="1">
        <v>4.5999999999999996</v>
      </c>
      <c r="K25" s="18"/>
      <c r="L25" s="18">
        <v>3.22</v>
      </c>
      <c r="M25" s="18">
        <f t="shared" ref="M25:Q25" si="12">ROUND((M26/100*L25)+L25,2)</f>
        <v>3.22</v>
      </c>
      <c r="N25" s="18">
        <f t="shared" si="12"/>
        <v>3.22</v>
      </c>
      <c r="O25" s="18">
        <f t="shared" si="12"/>
        <v>3.22</v>
      </c>
      <c r="P25" s="18">
        <f t="shared" si="12"/>
        <v>3.22</v>
      </c>
      <c r="Q25" s="18">
        <f t="shared" si="12"/>
        <v>3.22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2" t="s">
        <v>41</v>
      </c>
      <c r="C26" s="1"/>
      <c r="D26" s="1"/>
      <c r="E26" s="23" t="s">
        <v>43</v>
      </c>
      <c r="F26" s="1"/>
      <c r="G26" s="40">
        <f t="shared" ref="G26:J26" si="13">ROUND((G25-F25)/F25*100,2)</f>
        <v>100</v>
      </c>
      <c r="H26" s="40">
        <f t="shared" si="13"/>
        <v>-50</v>
      </c>
      <c r="I26" s="40">
        <f t="shared" si="13"/>
        <v>0</v>
      </c>
      <c r="J26" s="40">
        <f t="shared" si="13"/>
        <v>100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7"/>
      <c r="C28" s="1"/>
      <c r="D28" s="1"/>
      <c r="E28" s="2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2"/>
      <c r="D31" s="2"/>
      <c r="E31" s="2"/>
      <c r="F31" s="4"/>
      <c r="G31" s="4"/>
      <c r="H31" s="6" t="s">
        <v>1</v>
      </c>
      <c r="I31" s="4"/>
      <c r="J31" s="14"/>
      <c r="K31" s="4"/>
      <c r="L31" s="4"/>
      <c r="M31" s="6" t="s">
        <v>19</v>
      </c>
      <c r="N31" s="4"/>
      <c r="O31" s="4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5" t="s">
        <v>50</v>
      </c>
      <c r="C32" s="2"/>
      <c r="D32" s="2"/>
      <c r="E32" s="16" t="s">
        <v>21</v>
      </c>
      <c r="F32" s="16" t="s">
        <v>23</v>
      </c>
      <c r="G32" s="16" t="s">
        <v>24</v>
      </c>
      <c r="H32" s="16" t="s">
        <v>25</v>
      </c>
      <c r="I32" s="16" t="s">
        <v>27</v>
      </c>
      <c r="J32" s="17" t="s">
        <v>28</v>
      </c>
      <c r="K32" s="16"/>
      <c r="L32" s="16" t="s">
        <v>29</v>
      </c>
      <c r="M32" s="16" t="s">
        <v>30</v>
      </c>
      <c r="N32" s="16" t="s">
        <v>31</v>
      </c>
      <c r="O32" s="16" t="s">
        <v>32</v>
      </c>
      <c r="P32" s="16" t="s">
        <v>33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7" t="s">
        <v>36</v>
      </c>
      <c r="C34" s="1"/>
      <c r="D34" s="1"/>
      <c r="E34" s="23" t="s">
        <v>40</v>
      </c>
      <c r="F34" s="1">
        <v>22.44</v>
      </c>
      <c r="G34" s="1">
        <v>185.1</v>
      </c>
      <c r="H34" s="1">
        <v>135.38999999999999</v>
      </c>
      <c r="I34" s="1">
        <v>107.19</v>
      </c>
      <c r="J34" s="1">
        <v>84.15</v>
      </c>
      <c r="K34" s="1"/>
      <c r="L34" s="18">
        <v>98.24</v>
      </c>
      <c r="M34" s="18">
        <v>757.65</v>
      </c>
      <c r="N34" s="18">
        <v>524.55999999999995</v>
      </c>
      <c r="O34" s="18">
        <v>480</v>
      </c>
      <c r="P34" s="18">
        <v>420</v>
      </c>
      <c r="Q34" s="18">
        <v>380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2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5" t="s">
        <v>51</v>
      </c>
      <c r="C36" s="1"/>
      <c r="D36" s="1"/>
      <c r="E36" s="23" t="s">
        <v>40</v>
      </c>
      <c r="F36" s="1">
        <v>14.71</v>
      </c>
      <c r="G36" s="1">
        <v>48.8</v>
      </c>
      <c r="H36" s="1">
        <v>26.41</v>
      </c>
      <c r="I36" s="1">
        <v>19.04</v>
      </c>
      <c r="J36" s="1">
        <v>24.62</v>
      </c>
      <c r="K36" s="1"/>
      <c r="L36" s="1">
        <v>21.42</v>
      </c>
      <c r="M36" s="1">
        <v>53.55</v>
      </c>
      <c r="N36" s="1">
        <v>46.05</v>
      </c>
      <c r="O36" s="1">
        <v>39.6</v>
      </c>
      <c r="P36" s="1">
        <v>34.06</v>
      </c>
      <c r="Q36" s="1">
        <v>29.29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2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7" t="s">
        <v>52</v>
      </c>
      <c r="C38" s="1"/>
      <c r="D38" s="1"/>
      <c r="E38" s="23" t="s">
        <v>40</v>
      </c>
      <c r="F38" s="1">
        <v>7.73</v>
      </c>
      <c r="G38" s="1">
        <v>136.30000000000001</v>
      </c>
      <c r="H38" s="1">
        <v>109.2</v>
      </c>
      <c r="I38" s="1">
        <v>88.55</v>
      </c>
      <c r="J38" s="1">
        <v>59.66</v>
      </c>
      <c r="K38" s="1"/>
      <c r="L38" s="1">
        <f>ROUND(0.75*L34,2)</f>
        <v>73.680000000000007</v>
      </c>
      <c r="M38" s="1">
        <f t="shared" ref="M38:Q38" si="14">ROUND(0.75*M34,2)</f>
        <v>568.24</v>
      </c>
      <c r="N38" s="1">
        <f t="shared" si="14"/>
        <v>393.42</v>
      </c>
      <c r="O38" s="1">
        <f t="shared" si="14"/>
        <v>360</v>
      </c>
      <c r="P38" s="1">
        <f t="shared" si="14"/>
        <v>315</v>
      </c>
      <c r="Q38" s="1">
        <f t="shared" si="14"/>
        <v>285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2" t="s">
        <v>53</v>
      </c>
      <c r="C39" s="1"/>
      <c r="D39" s="1"/>
      <c r="E39" s="23" t="s">
        <v>43</v>
      </c>
      <c r="F39" s="36">
        <v>0.34429999999999999</v>
      </c>
      <c r="G39" s="36">
        <v>0.73629999999999995</v>
      </c>
      <c r="H39" s="35">
        <v>0.8</v>
      </c>
      <c r="I39" s="35">
        <v>0.82299999999999995</v>
      </c>
      <c r="J39" s="36">
        <v>0.70789999999999997</v>
      </c>
      <c r="K39" s="1"/>
      <c r="L39" s="35">
        <v>0.75</v>
      </c>
      <c r="M39" s="35">
        <v>0.75</v>
      </c>
      <c r="N39" s="35">
        <v>0.75</v>
      </c>
      <c r="O39" s="35">
        <v>0.75</v>
      </c>
      <c r="P39" s="35">
        <v>0.75</v>
      </c>
      <c r="Q39" s="35">
        <v>0.75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2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7" t="s">
        <v>54</v>
      </c>
      <c r="C41" s="1"/>
      <c r="D41" s="1"/>
      <c r="E41" s="23" t="s">
        <v>40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55</v>
      </c>
      <c r="C42" s="1"/>
      <c r="D42" s="1"/>
      <c r="E42" s="23" t="s">
        <v>40</v>
      </c>
      <c r="F42" s="1">
        <v>6.91</v>
      </c>
      <c r="G42" s="1">
        <v>28.48</v>
      </c>
      <c r="H42" s="1">
        <v>38.04</v>
      </c>
      <c r="I42" s="1">
        <v>33.36</v>
      </c>
      <c r="J42" s="1">
        <v>33.56</v>
      </c>
      <c r="K42" s="1"/>
      <c r="L42" s="1">
        <v>35.909999999999997</v>
      </c>
      <c r="M42" s="1">
        <v>89.78</v>
      </c>
      <c r="N42" s="1">
        <v>96.06</v>
      </c>
      <c r="O42" s="1">
        <v>102.78</v>
      </c>
      <c r="P42" s="1">
        <v>109.97</v>
      </c>
      <c r="Q42" s="1">
        <v>117.67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56</v>
      </c>
      <c r="C43" s="1"/>
      <c r="D43" s="1"/>
      <c r="E43" s="23" t="s">
        <v>40</v>
      </c>
      <c r="F43" s="38" t="s">
        <v>91</v>
      </c>
      <c r="G43" s="38" t="s">
        <v>91</v>
      </c>
      <c r="H43" s="38" t="s">
        <v>91</v>
      </c>
      <c r="I43" s="38" t="s">
        <v>91</v>
      </c>
      <c r="J43" s="38" t="s">
        <v>91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6" t="s">
        <v>57</v>
      </c>
      <c r="C44" s="27"/>
      <c r="D44" s="27"/>
      <c r="E44" s="28" t="s">
        <v>40</v>
      </c>
      <c r="F44" s="27">
        <v>6.91</v>
      </c>
      <c r="G44" s="27">
        <v>28.48</v>
      </c>
      <c r="H44" s="27">
        <v>38.04</v>
      </c>
      <c r="I44" s="27">
        <v>33.36</v>
      </c>
      <c r="J44" s="1">
        <v>33.56</v>
      </c>
      <c r="K44" s="27"/>
      <c r="L44" s="27">
        <v>35.909999999999997</v>
      </c>
      <c r="M44" s="27">
        <v>89.78</v>
      </c>
      <c r="N44" s="27">
        <v>96.06</v>
      </c>
      <c r="O44" s="27">
        <v>102.78</v>
      </c>
      <c r="P44" s="27">
        <v>109.97</v>
      </c>
      <c r="Q44" s="1">
        <v>117.67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thickBot="1" x14ac:dyDescent="0.3">
      <c r="A45" s="1"/>
      <c r="B45" s="1"/>
      <c r="C45" s="1"/>
      <c r="D45" s="1"/>
      <c r="E45" s="2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7" t="s">
        <v>58</v>
      </c>
      <c r="C46" s="1"/>
      <c r="D46" s="1"/>
      <c r="E46" s="23" t="s">
        <v>40</v>
      </c>
      <c r="F46" s="37">
        <v>2.16</v>
      </c>
      <c r="G46" s="37">
        <v>97.69</v>
      </c>
      <c r="H46" s="37">
        <v>72.28</v>
      </c>
      <c r="I46" s="37">
        <v>57.23</v>
      </c>
      <c r="J46" s="37">
        <v>28.51</v>
      </c>
      <c r="K46" s="1"/>
      <c r="L46" s="18">
        <f>ROUND(L47*L34,2)</f>
        <v>28.49</v>
      </c>
      <c r="M46" s="18">
        <f t="shared" ref="M46:Q46" si="15">ROUND(M47*M34,2)</f>
        <v>454.59</v>
      </c>
      <c r="N46" s="18">
        <f t="shared" si="15"/>
        <v>230.81</v>
      </c>
      <c r="O46" s="18">
        <f t="shared" si="15"/>
        <v>211.2</v>
      </c>
      <c r="P46" s="18">
        <f t="shared" si="15"/>
        <v>184.8</v>
      </c>
      <c r="Q46" s="18">
        <f t="shared" si="15"/>
        <v>114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2" t="s">
        <v>59</v>
      </c>
      <c r="C47" s="1"/>
      <c r="D47" s="1"/>
      <c r="E47" s="23" t="s">
        <v>43</v>
      </c>
      <c r="F47" s="36">
        <v>4.8000000000000001E-2</v>
      </c>
      <c r="G47" s="43">
        <v>0.53100000000000003</v>
      </c>
      <c r="H47" s="43">
        <v>0.52500000000000002</v>
      </c>
      <c r="I47" s="36">
        <v>0.51700000000000002</v>
      </c>
      <c r="J47" s="35">
        <v>0.31</v>
      </c>
      <c r="K47" s="1"/>
      <c r="L47" s="36">
        <v>0.28999999999999998</v>
      </c>
      <c r="M47" s="36">
        <v>0.6</v>
      </c>
      <c r="N47" s="36">
        <v>0.44</v>
      </c>
      <c r="O47" s="36">
        <v>0.44</v>
      </c>
      <c r="P47" s="36">
        <v>0.44</v>
      </c>
      <c r="Q47" s="36">
        <v>0.3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2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 t="s">
        <v>60</v>
      </c>
      <c r="C49" s="1"/>
      <c r="D49" s="1"/>
      <c r="E49" s="23" t="s">
        <v>40</v>
      </c>
      <c r="F49" s="1">
        <v>4.2000000000000003E-2</v>
      </c>
      <c r="G49" s="1">
        <v>18.34</v>
      </c>
      <c r="H49" s="1">
        <v>14.23</v>
      </c>
      <c r="I49" s="1">
        <v>10.92</v>
      </c>
      <c r="J49" s="1">
        <v>3.17</v>
      </c>
      <c r="K49" s="1"/>
      <c r="L49" s="1">
        <f>ROUND(0.2*L46,2)</f>
        <v>5.7</v>
      </c>
      <c r="M49" s="1">
        <f t="shared" ref="M49:Q49" si="16">ROUND(0.2*M46,2)</f>
        <v>90.92</v>
      </c>
      <c r="N49" s="1">
        <f t="shared" si="16"/>
        <v>46.16</v>
      </c>
      <c r="O49" s="1">
        <f t="shared" si="16"/>
        <v>42.24</v>
      </c>
      <c r="P49" s="1">
        <f t="shared" si="16"/>
        <v>36.96</v>
      </c>
      <c r="Q49" s="1">
        <f t="shared" si="16"/>
        <v>22.8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2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5" t="s">
        <v>61</v>
      </c>
      <c r="C51" s="1"/>
      <c r="D51" s="1"/>
      <c r="E51" s="23" t="s">
        <v>40</v>
      </c>
      <c r="F51" s="1">
        <v>2.21</v>
      </c>
      <c r="G51" s="1">
        <v>79.349999999999994</v>
      </c>
      <c r="H51" s="1">
        <v>58.05</v>
      </c>
      <c r="I51" s="1">
        <v>46.41</v>
      </c>
      <c r="J51" s="1">
        <v>25.33</v>
      </c>
      <c r="K51" s="1"/>
      <c r="L51" s="1">
        <f>ROUND(L46-L49,2)</f>
        <v>22.79</v>
      </c>
      <c r="M51" s="1">
        <f t="shared" ref="M51:Q51" si="17">ROUND(M46-M49,2)</f>
        <v>363.67</v>
      </c>
      <c r="N51" s="1">
        <f t="shared" si="17"/>
        <v>184.65</v>
      </c>
      <c r="O51" s="1">
        <f t="shared" si="17"/>
        <v>168.96</v>
      </c>
      <c r="P51" s="1">
        <f t="shared" si="17"/>
        <v>147.84</v>
      </c>
      <c r="Q51" s="1">
        <f t="shared" si="17"/>
        <v>91.2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2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5" t="s">
        <v>62</v>
      </c>
      <c r="C53" s="1"/>
      <c r="D53" s="1"/>
      <c r="E53" s="2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 t="s">
        <v>63</v>
      </c>
      <c r="C54" s="1"/>
      <c r="D54" s="1"/>
      <c r="E54" s="23" t="s">
        <v>40</v>
      </c>
      <c r="F54" s="18">
        <v>1</v>
      </c>
      <c r="G54" s="18">
        <v>2.2999999999999998</v>
      </c>
      <c r="H54" s="18">
        <v>9.3000000000000007</v>
      </c>
      <c r="I54" s="18">
        <v>1</v>
      </c>
      <c r="J54" s="18">
        <v>4.5999999999999996</v>
      </c>
      <c r="K54" s="1"/>
      <c r="L54" s="18">
        <v>3.64</v>
      </c>
      <c r="M54" s="18">
        <v>3.64</v>
      </c>
      <c r="N54" s="18">
        <f t="shared" ref="N54" si="18">ROUND((N55/100*M54)+M54,2)</f>
        <v>3.64</v>
      </c>
      <c r="O54" s="18">
        <f t="shared" ref="O54" si="19">ROUND((O55/100*N54)+N54,2)</f>
        <v>3.64</v>
      </c>
      <c r="P54" s="18">
        <f t="shared" ref="P54" si="20">ROUND((P55/100*O54)+O54,2)</f>
        <v>3.64</v>
      </c>
      <c r="Q54" s="18">
        <f t="shared" ref="Q54" si="21">ROUND((Q55/100*P54)+P54,2)</f>
        <v>3.64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2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 t="s">
        <v>64</v>
      </c>
      <c r="C56" s="1"/>
      <c r="D56" s="1"/>
      <c r="E56" s="23" t="s">
        <v>40</v>
      </c>
      <c r="F56" s="1"/>
      <c r="G56" s="1">
        <v>77.86</v>
      </c>
      <c r="H56" s="1">
        <v>46.8</v>
      </c>
      <c r="I56" s="1">
        <v>3.71</v>
      </c>
      <c r="J56" s="1">
        <v>-2.31</v>
      </c>
      <c r="K56" s="1"/>
      <c r="L56" s="18">
        <f>ROUND((L57/100)*J56+J56,2)</f>
        <v>-2.31</v>
      </c>
      <c r="M56" s="18">
        <f t="shared" ref="M56" si="22">ROUND((M57/100*L56)+L56,2)</f>
        <v>-2.31</v>
      </c>
      <c r="N56" s="18">
        <f t="shared" ref="N56" si="23">ROUND((N57/100*M56)+M56,2)</f>
        <v>-2.31</v>
      </c>
      <c r="O56" s="18">
        <f t="shared" ref="O56" si="24">ROUND((O57/100*N56)+N56,2)</f>
        <v>-2.31</v>
      </c>
      <c r="P56" s="18">
        <f t="shared" ref="P56" si="25">ROUND((P57/100*O56)+O56,2)</f>
        <v>-2.31</v>
      </c>
      <c r="Q56" s="18">
        <f t="shared" ref="Q56" si="26">ROUND((Q57/100*P56)+P56,2)</f>
        <v>-2.31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2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 t="s">
        <v>65</v>
      </c>
      <c r="C58" s="1"/>
      <c r="D58" s="1"/>
      <c r="E58" s="23" t="s">
        <v>40</v>
      </c>
      <c r="F58" s="1">
        <v>2.2999999999999998</v>
      </c>
      <c r="G58" s="1">
        <v>4.5999999999999996</v>
      </c>
      <c r="H58" s="1">
        <v>2.2999999999999998</v>
      </c>
      <c r="I58" s="1">
        <v>2.2999999999999998</v>
      </c>
      <c r="J58" s="1">
        <v>4.5999999999999996</v>
      </c>
      <c r="K58" s="1"/>
      <c r="L58" s="18">
        <v>3.22</v>
      </c>
      <c r="M58" s="18">
        <f t="shared" ref="M58" si="27">ROUND((M59/100*L58)+L58,2)</f>
        <v>3.22</v>
      </c>
      <c r="N58" s="18">
        <f t="shared" ref="N58" si="28">ROUND((N59/100*M58)+M58,2)</f>
        <v>3.22</v>
      </c>
      <c r="O58" s="18">
        <f t="shared" ref="O58" si="29">ROUND((O59/100*N58)+N58,2)</f>
        <v>3.22</v>
      </c>
      <c r="P58" s="18">
        <f t="shared" ref="P58" si="30">ROUND((P59/100*O58)+O58,2)</f>
        <v>3.22</v>
      </c>
      <c r="Q58" s="18">
        <f t="shared" ref="Q58" si="31">ROUND((Q59/100*P58)+P58,2)</f>
        <v>3.22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2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5" t="s">
        <v>66</v>
      </c>
      <c r="C60" s="8"/>
      <c r="D60" s="8"/>
      <c r="E60" s="29" t="s">
        <v>40</v>
      </c>
      <c r="F60" s="8"/>
      <c r="G60" s="8">
        <f>G51+G54-G56-G58</f>
        <v>-0.8100000000000076</v>
      </c>
      <c r="H60" s="8">
        <f t="shared" ref="H60:J60" si="32">H51+H54-H56-H58</f>
        <v>18.249999999999996</v>
      </c>
      <c r="I60" s="8">
        <f t="shared" si="32"/>
        <v>41.4</v>
      </c>
      <c r="J60" s="8">
        <f t="shared" si="32"/>
        <v>27.64</v>
      </c>
      <c r="K60" s="8"/>
      <c r="L60" s="8">
        <f t="shared" ref="L60:Q60" si="33">L51+L54-L56-L58</f>
        <v>25.52</v>
      </c>
      <c r="M60" s="8">
        <f t="shared" si="33"/>
        <v>366.4</v>
      </c>
      <c r="N60" s="8">
        <f t="shared" si="33"/>
        <v>187.38</v>
      </c>
      <c r="O60" s="8">
        <f t="shared" si="33"/>
        <v>171.69</v>
      </c>
      <c r="P60" s="8">
        <f t="shared" si="33"/>
        <v>150.57</v>
      </c>
      <c r="Q60" s="8">
        <f t="shared" si="33"/>
        <v>93.93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2" t="s">
        <v>67</v>
      </c>
      <c r="C61" s="1"/>
      <c r="D61" s="1"/>
      <c r="E61" s="23" t="s">
        <v>43</v>
      </c>
      <c r="F61" s="1"/>
      <c r="G61" s="1"/>
      <c r="H61" s="1">
        <f>ROUND((H60-G60)/ABS(G60)*100,2)</f>
        <v>2353.09</v>
      </c>
      <c r="I61" s="1">
        <f t="shared" ref="I61:J61" si="34">ROUND((I60-H60)/ABS(H60)*100,2)</f>
        <v>126.85</v>
      </c>
      <c r="J61" s="1">
        <f t="shared" si="34"/>
        <v>-33.24</v>
      </c>
      <c r="K61" s="1"/>
      <c r="L61" s="1">
        <v>-6.22</v>
      </c>
      <c r="M61" s="1">
        <f t="shared" ref="M61:Q61" si="35">ROUND((M60-L60)/ABS(L60)*100,2)</f>
        <v>1335.74</v>
      </c>
      <c r="N61" s="1">
        <f t="shared" si="35"/>
        <v>-48.86</v>
      </c>
      <c r="O61" s="1">
        <f t="shared" si="35"/>
        <v>-8.3699999999999992</v>
      </c>
      <c r="P61" s="1">
        <f t="shared" si="35"/>
        <v>-12.3</v>
      </c>
      <c r="Q61" s="1">
        <f t="shared" si="35"/>
        <v>-37.619999999999997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2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 t="s">
        <v>68</v>
      </c>
      <c r="C63" s="1"/>
      <c r="D63" s="1"/>
      <c r="E63" s="2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 t="s">
        <v>69</v>
      </c>
      <c r="C64" s="1"/>
      <c r="D64" s="1"/>
      <c r="E64" s="2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2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7" t="s">
        <v>70</v>
      </c>
      <c r="C66" s="1"/>
      <c r="D66" s="1"/>
      <c r="E66" s="2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2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2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30" t="s">
        <v>71</v>
      </c>
      <c r="C69" s="31"/>
      <c r="D69" s="32"/>
      <c r="E69" s="23"/>
      <c r="F69" s="1"/>
      <c r="G69" s="30" t="s">
        <v>72</v>
      </c>
      <c r="H69" s="31"/>
      <c r="I69" s="31"/>
      <c r="J69" s="32"/>
      <c r="K69" s="3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2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 t="s">
        <v>73</v>
      </c>
      <c r="C71" s="1"/>
      <c r="D71" s="1"/>
      <c r="E71" s="23"/>
      <c r="F71" s="1"/>
      <c r="G71" s="1" t="s">
        <v>74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 t="s">
        <v>75</v>
      </c>
      <c r="C72" s="1"/>
      <c r="D72" s="1"/>
      <c r="E72" s="23"/>
      <c r="F72" s="1"/>
      <c r="G72" s="1" t="s">
        <v>75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2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 t="s">
        <v>76</v>
      </c>
      <c r="C74" s="1"/>
      <c r="D74" s="1"/>
      <c r="E74" s="23"/>
      <c r="F74" s="1"/>
      <c r="G74" s="1" t="str">
        <f t="shared" ref="G74:G76" si="36">B74</f>
        <v>PV of Terminal Value: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 t="s">
        <v>77</v>
      </c>
      <c r="C75" s="1"/>
      <c r="D75" s="1"/>
      <c r="E75" s="23"/>
      <c r="F75" s="1"/>
      <c r="G75" s="1" t="str">
        <f t="shared" si="36"/>
        <v>Sum of PV of FCF: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6" t="s">
        <v>78</v>
      </c>
      <c r="C76" s="27"/>
      <c r="D76" s="27"/>
      <c r="E76" s="23"/>
      <c r="F76" s="1"/>
      <c r="G76" s="26" t="str">
        <f t="shared" si="36"/>
        <v>Implied EV:</v>
      </c>
      <c r="H76" s="27"/>
      <c r="I76" s="2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2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 t="s">
        <v>79</v>
      </c>
      <c r="C78" s="1"/>
      <c r="D78" s="1"/>
      <c r="E78" s="23"/>
      <c r="F78" s="1"/>
      <c r="G78" s="1" t="str">
        <f>B78</f>
        <v>% of Implied EV from Terminal Value: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2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 t="s">
        <v>80</v>
      </c>
      <c r="C80" s="1"/>
      <c r="D80" s="1"/>
      <c r="E80" s="23"/>
      <c r="F80" s="1"/>
      <c r="G80" s="1" t="str">
        <f t="shared" ref="G80:G86" si="37">B80</f>
        <v>(+) Cash &amp; Equivalents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 t="s">
        <v>81</v>
      </c>
      <c r="C81" s="1"/>
      <c r="D81" s="1"/>
      <c r="E81" s="23"/>
      <c r="F81" s="1"/>
      <c r="G81" s="1" t="str">
        <f t="shared" si="37"/>
        <v>(+) Equity Investments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 t="s">
        <v>82</v>
      </c>
      <c r="C82" s="1"/>
      <c r="D82" s="1"/>
      <c r="E82" s="23"/>
      <c r="F82" s="1"/>
      <c r="G82" s="1" t="str">
        <f t="shared" si="37"/>
        <v>(+) Other Non-Core Assets, Net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 t="s">
        <v>83</v>
      </c>
      <c r="C83" s="1"/>
      <c r="D83" s="1"/>
      <c r="E83" s="23"/>
      <c r="F83" s="1"/>
      <c r="G83" s="1" t="str">
        <f t="shared" si="37"/>
        <v>(-) Total Debt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 t="s">
        <v>84</v>
      </c>
      <c r="C84" s="1"/>
      <c r="D84" s="1"/>
      <c r="E84" s="23"/>
      <c r="F84" s="1"/>
      <c r="G84" s="1" t="str">
        <f t="shared" si="37"/>
        <v>(-) Preferred Stock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 t="s">
        <v>85</v>
      </c>
      <c r="C85" s="1"/>
      <c r="D85" s="1"/>
      <c r="E85" s="23"/>
      <c r="F85" s="1"/>
      <c r="G85" s="1" t="str">
        <f t="shared" si="37"/>
        <v>(-) Non-controlling Interests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6" t="s">
        <v>86</v>
      </c>
      <c r="C86" s="27"/>
      <c r="D86" s="27"/>
      <c r="E86" s="23"/>
      <c r="F86" s="1"/>
      <c r="G86" s="26" t="str">
        <f t="shared" si="37"/>
        <v>Implied Equity Value:</v>
      </c>
      <c r="H86" s="27"/>
      <c r="I86" s="27"/>
      <c r="J86" s="27"/>
      <c r="K86" s="2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2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7" t="s">
        <v>87</v>
      </c>
      <c r="C88" s="1"/>
      <c r="D88" s="1"/>
      <c r="E88" s="23"/>
      <c r="F88" s="1"/>
      <c r="G88" s="7" t="str">
        <f>B88</f>
        <v>Diluted Shares Outstanding: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2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3" t="s">
        <v>88</v>
      </c>
      <c r="C90" s="3"/>
      <c r="D90" s="34"/>
      <c r="E90" s="29"/>
      <c r="F90" s="1"/>
      <c r="G90" s="3" t="str">
        <f t="shared" ref="G90:G92" si="38">B90</f>
        <v>Implied Share Price:</v>
      </c>
      <c r="H90" s="34"/>
      <c r="I90" s="34"/>
      <c r="J90" s="34"/>
      <c r="K90" s="3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3" t="s">
        <v>89</v>
      </c>
      <c r="C91" s="3"/>
      <c r="D91" s="34"/>
      <c r="E91" s="29"/>
      <c r="F91" s="1"/>
      <c r="G91" s="3" t="str">
        <f t="shared" si="38"/>
        <v>Current Share Price:</v>
      </c>
      <c r="H91" s="34"/>
      <c r="I91" s="34"/>
      <c r="J91" s="34"/>
      <c r="K91" s="3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3" t="s">
        <v>90</v>
      </c>
      <c r="C92" s="3"/>
      <c r="D92" s="34"/>
      <c r="E92" s="29"/>
      <c r="F92" s="1"/>
      <c r="G92" s="3" t="str">
        <f t="shared" si="38"/>
        <v>Premium/(Discount) to Current:</v>
      </c>
      <c r="H92" s="34"/>
      <c r="I92" s="34"/>
      <c r="J92" s="34"/>
      <c r="K92" s="3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2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2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2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2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2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2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2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2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2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2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2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2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2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2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2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2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2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2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2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2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2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2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2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2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2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2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2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2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2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2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2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2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2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2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2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2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2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2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2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2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2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2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2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2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2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2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2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2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2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2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2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2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2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2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2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2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2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2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2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2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2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2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2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2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2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2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2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2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2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2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2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2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2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2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2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2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2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2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2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2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2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2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2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2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2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2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2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2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2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2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2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2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2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2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2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2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2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2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2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2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2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2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2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2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2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2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2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2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2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2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2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2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2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2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2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2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2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2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2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2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2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2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2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2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2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2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2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2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2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2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2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2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2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2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2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2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2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2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2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2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2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2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2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2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2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2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2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2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2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2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2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2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2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2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2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2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2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2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2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2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2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2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2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2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2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2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2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2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2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2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2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2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2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2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2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2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2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2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2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2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2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2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2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2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2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2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2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2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2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2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2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2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2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2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2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2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2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2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2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2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2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2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2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2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2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2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2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2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2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2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2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2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2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2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2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2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2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2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2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2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2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2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2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2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2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2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2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2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2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2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2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2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2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2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2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2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2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2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2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2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2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2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2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2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2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2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2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2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2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2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2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2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2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2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2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2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2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2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2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2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2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2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2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2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2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2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2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2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2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2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2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2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2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2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2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2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2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2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2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2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2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2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2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2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2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2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2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2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2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2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2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2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2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2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2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2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2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2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2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2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2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2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2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2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2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2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2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2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2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2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2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2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2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2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2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2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2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2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2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2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2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2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2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2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2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2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2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2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2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2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2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2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2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2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2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2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2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2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2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2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2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2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2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2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2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2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2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2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2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2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2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2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2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2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2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2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2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2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2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2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2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2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2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2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2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2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2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2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2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2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2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2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2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2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2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2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2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2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2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2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2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2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2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2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2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2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2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2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2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2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2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2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2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2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2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2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2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2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2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2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2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2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2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2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2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2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2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2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2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2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2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2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2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2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2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2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2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2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2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2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2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2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2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2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2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2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2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2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2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2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2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2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2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2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2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2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2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2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2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2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2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2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2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2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2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2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2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2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2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2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2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2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2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2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2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2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2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2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2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2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2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2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2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2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2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2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2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2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2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2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2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2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2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2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2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2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2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2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2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2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2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2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2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2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2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2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2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2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2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2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2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2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2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2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2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2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2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2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2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2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2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2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2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2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2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2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2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2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2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2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2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2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2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2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2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2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2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2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2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2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2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2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2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2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2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2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2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2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2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2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2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2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2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2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2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2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2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2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2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2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2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2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2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2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2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2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2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2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2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2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2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2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2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2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2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2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2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2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2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2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2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2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2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2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2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2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2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2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2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2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2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2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2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2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2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2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2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2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2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2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2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2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2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2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2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2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2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2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2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2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2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2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2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2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2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2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2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2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2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2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2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2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2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2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2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2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2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2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2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2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2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2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2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2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2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2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2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2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2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2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2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2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2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2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2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2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2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2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2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2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2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2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2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2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2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2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2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2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2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2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2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2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2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2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2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2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2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2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2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2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2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2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2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2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2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2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2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2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2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2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2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2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2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2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2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2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2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2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2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2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2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2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2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2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2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2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2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2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2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2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2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2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2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2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2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2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2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2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2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2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2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2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2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2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2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2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2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2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2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2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2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2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2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2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2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2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2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2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2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2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2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2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2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2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2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2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2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2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2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2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2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2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2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2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2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2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2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2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2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2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2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2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2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2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2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2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2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2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2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2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2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2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2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2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2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2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2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2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2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2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2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2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2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2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2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2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2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2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2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2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2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2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2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2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2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2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2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2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2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2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2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2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2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2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2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2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2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2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2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2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2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2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2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2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2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2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2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2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2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2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2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2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2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2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2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2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2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2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2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2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2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2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2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2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2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2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2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2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2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2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2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2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2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2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2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2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2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2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2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2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2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2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2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2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2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2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2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2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2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2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2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2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2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2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2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2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2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2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2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2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2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2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2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2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2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2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2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2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2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2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2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2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2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2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2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2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2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2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2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2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2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2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2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2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2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2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2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2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2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2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2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2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2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2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2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2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2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2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2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2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2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2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2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2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2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2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2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2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2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2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2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2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2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2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2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2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2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2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2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2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2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2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2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2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2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2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2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2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5" sqref="G5"/>
    </sheetView>
  </sheetViews>
  <sheetFormatPr baseColWidth="10" defaultColWidth="14.42578125" defaultRowHeight="15" customHeight="1" x14ac:dyDescent="0.25"/>
  <cols>
    <col min="1" max="3" width="11.42578125" customWidth="1"/>
    <col min="4" max="4" width="13.7109375" customWidth="1"/>
    <col min="5" max="5" width="11.42578125" customWidth="1"/>
    <col min="6" max="6" width="13.5703125" customWidth="1"/>
    <col min="7" max="7" width="18.7109375" customWidth="1"/>
    <col min="8" max="8" width="14" customWidth="1"/>
    <col min="9" max="9" width="14.85546875" customWidth="1"/>
    <col min="10" max="10" width="17" customWidth="1"/>
    <col min="11" max="11" width="14.5703125" customWidth="1"/>
    <col min="12" max="14" width="11.42578125" customWidth="1"/>
    <col min="15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3" t="s">
        <v>0</v>
      </c>
      <c r="C3" s="5"/>
      <c r="D3" s="5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 t="s">
        <v>2</v>
      </c>
      <c r="C4" s="1"/>
      <c r="D4" s="7">
        <v>3.1</v>
      </c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 t="s">
        <v>3</v>
      </c>
      <c r="C5" s="1"/>
      <c r="D5" s="7">
        <v>7.14</v>
      </c>
      <c r="E5" s="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4</v>
      </c>
      <c r="C6" s="1"/>
      <c r="D6" s="7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 t="s">
        <v>5</v>
      </c>
      <c r="C7" s="1"/>
      <c r="D7" s="7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 t="s">
        <v>94</v>
      </c>
      <c r="C8" s="1"/>
      <c r="D8" s="1">
        <v>0.44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3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9" t="s">
        <v>7</v>
      </c>
      <c r="C12" s="9"/>
      <c r="D12" s="9" t="s">
        <v>8</v>
      </c>
      <c r="E12" s="9" t="s">
        <v>9</v>
      </c>
      <c r="F12" s="9" t="s">
        <v>10</v>
      </c>
      <c r="G12" s="10" t="s">
        <v>11</v>
      </c>
      <c r="H12" s="9" t="s">
        <v>12</v>
      </c>
      <c r="I12" s="9" t="s">
        <v>13</v>
      </c>
      <c r="J12" s="9" t="s">
        <v>14</v>
      </c>
      <c r="K12" s="9" t="s">
        <v>15</v>
      </c>
      <c r="L12" s="10" t="s">
        <v>16</v>
      </c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>
        <v>0.44</v>
      </c>
      <c r="J13" s="1"/>
      <c r="K13" s="1"/>
      <c r="L13" s="1">
        <v>0.44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1" t="s">
        <v>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3" t="s">
        <v>18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" t="s">
        <v>22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8"/>
      <c r="C24" s="8"/>
      <c r="D24" s="9" t="s">
        <v>26</v>
      </c>
      <c r="E24" s="9" t="str">
        <f t="shared" ref="E24:K24" si="0">E12</f>
        <v>Debt</v>
      </c>
      <c r="F24" s="9" t="str">
        <f t="shared" si="0"/>
        <v>% Debt</v>
      </c>
      <c r="G24" s="9" t="str">
        <f t="shared" si="0"/>
        <v>Preferred Stock</v>
      </c>
      <c r="H24" s="9" t="str">
        <f t="shared" si="0"/>
        <v>% Pr. Stock</v>
      </c>
      <c r="I24" s="9" t="str">
        <f t="shared" si="0"/>
        <v>Equity</v>
      </c>
      <c r="J24" s="9" t="str">
        <f t="shared" si="0"/>
        <v>%Equity</v>
      </c>
      <c r="K24" s="9" t="str">
        <f t="shared" si="0"/>
        <v>Tax Rate</v>
      </c>
      <c r="L24" s="9" t="s">
        <v>8</v>
      </c>
      <c r="M24" s="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 t="s">
        <v>34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 t="s">
        <v>35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3" t="s">
        <v>37</v>
      </c>
      <c r="C28" s="3"/>
      <c r="D28" s="3"/>
      <c r="E28" s="3"/>
      <c r="F28" s="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3" t="s">
        <v>38</v>
      </c>
      <c r="C29" s="3"/>
      <c r="D29" s="3"/>
      <c r="E29" s="3"/>
      <c r="F29" s="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3" t="s">
        <v>39</v>
      </c>
      <c r="C30" s="3"/>
      <c r="D30" s="3"/>
      <c r="E30" s="3"/>
      <c r="F30" s="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3" t="s">
        <v>42</v>
      </c>
      <c r="C32" s="3"/>
      <c r="D32" s="3"/>
      <c r="E32" s="3"/>
      <c r="F32" s="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3" t="s">
        <v>44</v>
      </c>
      <c r="C33" s="3"/>
      <c r="D33" s="3"/>
      <c r="E33" s="3"/>
      <c r="F33" s="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3" t="s">
        <v>45</v>
      </c>
      <c r="C34" s="8"/>
      <c r="D34" s="8"/>
      <c r="E34" s="8"/>
      <c r="F34" s="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3" t="s">
        <v>46</v>
      </c>
      <c r="C36" s="8"/>
      <c r="D36" s="8"/>
      <c r="E36" s="8"/>
      <c r="F36" s="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DCF</vt:lpstr>
      <vt:lpstr>WACC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2019-12-02T00:14:09Z</dcterms:modified>
</cp:coreProperties>
</file>