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Tomás Blasco\Desktop\Curso 2019-20\PIC\Analyst\Telecom sector\"/>
    </mc:Choice>
  </mc:AlternateContent>
  <xr:revisionPtr revIDLastSave="0" documentId="13_ncr:1_{3A34AE9A-145D-4BA5-BFDC-6171ADAA4F97}" xr6:coauthVersionLast="41" xr6:coauthVersionMax="41" xr10:uidLastSave="{00000000-0000-0000-0000-000000000000}"/>
  <bookViews>
    <workbookView xWindow="11952" yWindow="36" windowWidth="11052" windowHeight="11916" xr2:uid="{00000000-000D-0000-FFFF-FFFF00000000}"/>
  </bookViews>
  <sheets>
    <sheet name="Public Comps" sheetId="1" r:id="rId1"/>
    <sheet name="Multiples Graph - NO TOCAR" sheetId="2" r:id="rId2"/>
    <sheet name="Val Graph - NO TOCAR" sheetId="3" r:id="rId3"/>
    <sheet name="Recap Info - NO TOCA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8" roundtripDataSignature="AMtx7mjGAzS2QzsGBASqigL9inooVY2R+w=="/>
    </ext>
  </extLst>
</workbook>
</file>

<file path=xl/calcChain.xml><?xml version="1.0" encoding="utf-8"?>
<calcChain xmlns="http://schemas.openxmlformats.org/spreadsheetml/2006/main">
  <c r="C48" i="1" l="1"/>
  <c r="B48" i="1"/>
  <c r="B64" i="4" l="1"/>
  <c r="B62" i="4"/>
  <c r="B54" i="4"/>
  <c r="B65" i="4" s="1"/>
  <c r="B53" i="4"/>
  <c r="B52" i="4"/>
  <c r="B63" i="4" s="1"/>
  <c r="B51" i="4"/>
  <c r="B50" i="4"/>
  <c r="B61" i="4" s="1"/>
  <c r="B49" i="4"/>
  <c r="B60" i="4" s="1"/>
  <c r="B48" i="4"/>
  <c r="B59" i="4" s="1"/>
  <c r="B47" i="4"/>
  <c r="B58" i="4" s="1"/>
  <c r="B46" i="4"/>
  <c r="B57" i="4" s="1"/>
  <c r="I9" i="4" a="1"/>
  <c r="I16" i="4" s="1"/>
  <c r="I8" i="4"/>
  <c r="D3" i="3"/>
  <c r="AA71" i="1"/>
  <c r="Z71" i="1"/>
  <c r="AA63" i="1"/>
  <c r="Z63" i="1"/>
  <c r="C63" i="1"/>
  <c r="B63" i="1"/>
  <c r="AA62" i="1"/>
  <c r="Z62" i="1"/>
  <c r="C62" i="1"/>
  <c r="B62" i="1"/>
  <c r="AA61" i="1"/>
  <c r="Z61" i="1"/>
  <c r="C61" i="1"/>
  <c r="B61" i="1"/>
  <c r="AA60" i="1"/>
  <c r="Z60" i="1"/>
  <c r="C60" i="1"/>
  <c r="B60" i="1"/>
  <c r="AA59" i="1"/>
  <c r="Z59" i="1"/>
  <c r="C59" i="1"/>
  <c r="B59" i="1"/>
  <c r="AA58" i="1"/>
  <c r="Z58" i="1"/>
  <c r="C58" i="1"/>
  <c r="B58" i="1"/>
  <c r="AA57" i="1"/>
  <c r="Z57" i="1"/>
  <c r="C57" i="1"/>
  <c r="B57" i="1"/>
  <c r="AA56" i="1"/>
  <c r="Z56" i="1"/>
  <c r="C56" i="1"/>
  <c r="B56" i="1"/>
  <c r="AA55" i="1"/>
  <c r="Z55" i="1"/>
  <c r="C55" i="1"/>
  <c r="B55" i="1"/>
  <c r="AA54" i="1"/>
  <c r="Z54" i="1"/>
  <c r="C54" i="1"/>
  <c r="B54" i="1"/>
  <c r="C53" i="1"/>
  <c r="B53" i="1"/>
  <c r="C52" i="1"/>
  <c r="B52" i="1"/>
  <c r="C51" i="1"/>
  <c r="B51" i="1"/>
  <c r="C50" i="1"/>
  <c r="B50" i="1"/>
  <c r="C49" i="1"/>
  <c r="B49" i="1"/>
  <c r="C47" i="1"/>
  <c r="B47" i="1"/>
  <c r="C46" i="1"/>
  <c r="B46" i="1"/>
  <c r="C45" i="1"/>
  <c r="B45" i="1"/>
  <c r="C44" i="1"/>
  <c r="B44" i="1"/>
  <c r="AD39" i="1"/>
  <c r="AC39" i="1"/>
  <c r="AB39" i="1"/>
  <c r="AA39" i="1"/>
  <c r="Z39" i="1"/>
  <c r="E39" i="1"/>
  <c r="F39" i="1" s="1"/>
  <c r="D39" i="1"/>
  <c r="B39" i="1"/>
  <c r="B71" i="1" s="1"/>
  <c r="AD31" i="1"/>
  <c r="AC31" i="1"/>
  <c r="AB31" i="1"/>
  <c r="AA31" i="1"/>
  <c r="Z31" i="1"/>
  <c r="F31" i="1"/>
  <c r="AD30" i="1"/>
  <c r="AC30" i="1"/>
  <c r="AB30" i="1"/>
  <c r="AA30" i="1"/>
  <c r="Z30" i="1"/>
  <c r="F30" i="1"/>
  <c r="M30" i="1" s="1"/>
  <c r="AD29" i="1"/>
  <c r="AC29" i="1"/>
  <c r="AB29" i="1"/>
  <c r="AA29" i="1"/>
  <c r="Z29" i="1"/>
  <c r="F29" i="1"/>
  <c r="AD28" i="1"/>
  <c r="AC28" i="1"/>
  <c r="AB28" i="1"/>
  <c r="AA28" i="1"/>
  <c r="Z28" i="1"/>
  <c r="F28" i="1"/>
  <c r="M28" i="1" s="1"/>
  <c r="AD27" i="1"/>
  <c r="AC27" i="1"/>
  <c r="AB27" i="1"/>
  <c r="AA27" i="1"/>
  <c r="Z27" i="1"/>
  <c r="F27" i="1"/>
  <c r="AD26" i="1"/>
  <c r="AC26" i="1"/>
  <c r="AB26" i="1"/>
  <c r="AA26" i="1"/>
  <c r="Z26" i="1"/>
  <c r="M26" i="1"/>
  <c r="F26" i="1"/>
  <c r="AD25" i="1"/>
  <c r="AC25" i="1"/>
  <c r="AB25" i="1"/>
  <c r="AA25" i="1"/>
  <c r="Z25" i="1"/>
  <c r="F25" i="1"/>
  <c r="AD24" i="1"/>
  <c r="AC24" i="1"/>
  <c r="AB24" i="1"/>
  <c r="AA24" i="1"/>
  <c r="Z24" i="1"/>
  <c r="F24" i="1"/>
  <c r="M24" i="1" s="1"/>
  <c r="AD23" i="1"/>
  <c r="AC23" i="1"/>
  <c r="AB23" i="1"/>
  <c r="AA23" i="1"/>
  <c r="Z23" i="1"/>
  <c r="F23" i="1"/>
  <c r="AD22" i="1"/>
  <c r="AC22" i="1"/>
  <c r="AB22" i="1"/>
  <c r="AA22" i="1"/>
  <c r="Z22" i="1"/>
  <c r="F22" i="1"/>
  <c r="M22" i="1" s="1"/>
  <c r="V21" i="1"/>
  <c r="U21" i="1"/>
  <c r="T21" i="1"/>
  <c r="S21" i="1"/>
  <c r="R21" i="1"/>
  <c r="AA53" i="1" s="1"/>
  <c r="Q21" i="1"/>
  <c r="P21" i="1"/>
  <c r="O21" i="1"/>
  <c r="N21" i="1"/>
  <c r="K21" i="1"/>
  <c r="H21" i="1"/>
  <c r="G21" i="1"/>
  <c r="D21" i="1"/>
  <c r="F21" i="1" s="1"/>
  <c r="V20" i="1"/>
  <c r="U20" i="1"/>
  <c r="T20" i="1"/>
  <c r="S20" i="1"/>
  <c r="R20" i="1"/>
  <c r="AA52" i="1" s="1"/>
  <c r="Q20" i="1"/>
  <c r="P20" i="1"/>
  <c r="O20" i="1"/>
  <c r="N20" i="1"/>
  <c r="K20" i="1"/>
  <c r="H20" i="1"/>
  <c r="G20" i="1"/>
  <c r="D20" i="1"/>
  <c r="F20" i="1" s="1"/>
  <c r="AB19" i="1"/>
  <c r="V19" i="1"/>
  <c r="Y19" i="1" s="1"/>
  <c r="U19" i="1"/>
  <c r="S19" i="1"/>
  <c r="AA19" i="1" s="1"/>
  <c r="R19" i="1"/>
  <c r="P19" i="1"/>
  <c r="O19" i="1"/>
  <c r="L19" i="1"/>
  <c r="K19" i="1"/>
  <c r="H19" i="1"/>
  <c r="Z51" i="1" s="1"/>
  <c r="G19" i="1"/>
  <c r="F19" i="1"/>
  <c r="D19" i="1"/>
  <c r="V18" i="1"/>
  <c r="Y18" i="1" s="1"/>
  <c r="U18" i="1"/>
  <c r="T18" i="1"/>
  <c r="S18" i="1"/>
  <c r="R18" i="1"/>
  <c r="Q18" i="1"/>
  <c r="P18" i="1"/>
  <c r="O18" i="1"/>
  <c r="N18" i="1"/>
  <c r="L18" i="1"/>
  <c r="K18" i="1"/>
  <c r="H18" i="1"/>
  <c r="G18" i="1"/>
  <c r="D18" i="1"/>
  <c r="F18" i="1" s="1"/>
  <c r="V17" i="1"/>
  <c r="Y17" i="1" s="1"/>
  <c r="U17" i="1"/>
  <c r="T17" i="1"/>
  <c r="S17" i="1"/>
  <c r="R17" i="1"/>
  <c r="Q17" i="1"/>
  <c r="P17" i="1"/>
  <c r="Z17" i="1" s="1"/>
  <c r="O17" i="1"/>
  <c r="N17" i="1"/>
  <c r="L17" i="1"/>
  <c r="K17" i="1"/>
  <c r="H17" i="1"/>
  <c r="G17" i="1"/>
  <c r="D17" i="1"/>
  <c r="F17" i="1" s="1"/>
  <c r="V16" i="1"/>
  <c r="Y16" i="1" s="1"/>
  <c r="U16" i="1"/>
  <c r="T16" i="1"/>
  <c r="S16" i="1"/>
  <c r="R16" i="1"/>
  <c r="AA48" i="1" s="1"/>
  <c r="Q16" i="1"/>
  <c r="P16" i="1"/>
  <c r="O16" i="1"/>
  <c r="N16" i="1"/>
  <c r="K16" i="1"/>
  <c r="H16" i="1"/>
  <c r="G16" i="1"/>
  <c r="D16" i="1"/>
  <c r="F16" i="1" s="1"/>
  <c r="V15" i="1"/>
  <c r="U15" i="1"/>
  <c r="T15" i="1"/>
  <c r="S15" i="1"/>
  <c r="AA15" i="1" s="1"/>
  <c r="R15" i="1"/>
  <c r="AA47" i="1" s="1"/>
  <c r="Q15" i="1"/>
  <c r="AB15" i="1" s="1"/>
  <c r="P15" i="1"/>
  <c r="O15" i="1"/>
  <c r="Z15" i="1" s="1"/>
  <c r="N15" i="1"/>
  <c r="K15" i="1"/>
  <c r="H15" i="1"/>
  <c r="G15" i="1"/>
  <c r="D15" i="1"/>
  <c r="F15" i="1" s="1"/>
  <c r="V14" i="1"/>
  <c r="U14" i="1"/>
  <c r="T14" i="1"/>
  <c r="S14" i="1"/>
  <c r="R14" i="1"/>
  <c r="Q14" i="1"/>
  <c r="P14" i="1"/>
  <c r="O14" i="1"/>
  <c r="N14" i="1"/>
  <c r="L14" i="1"/>
  <c r="K14" i="1"/>
  <c r="J14" i="1"/>
  <c r="H14" i="1"/>
  <c r="Z46" i="1" s="1"/>
  <c r="G14" i="1"/>
  <c r="D14" i="1"/>
  <c r="F14" i="1" s="1"/>
  <c r="V13" i="1"/>
  <c r="U13" i="1"/>
  <c r="T13" i="1"/>
  <c r="S13" i="1"/>
  <c r="AA13" i="1" s="1"/>
  <c r="R13" i="1"/>
  <c r="Q13" i="1"/>
  <c r="AB13" i="1" s="1"/>
  <c r="P13" i="1"/>
  <c r="O13" i="1"/>
  <c r="Z13" i="1" s="1"/>
  <c r="N13" i="1"/>
  <c r="K13" i="1"/>
  <c r="J13" i="1"/>
  <c r="H13" i="1"/>
  <c r="G13" i="1"/>
  <c r="D13" i="1"/>
  <c r="F13" i="1" s="1"/>
  <c r="V12" i="1"/>
  <c r="U12" i="1"/>
  <c r="T12" i="1"/>
  <c r="S12" i="1"/>
  <c r="R12" i="1"/>
  <c r="Q12" i="1"/>
  <c r="P12" i="1"/>
  <c r="O12" i="1"/>
  <c r="O37" i="1" s="1"/>
  <c r="N12" i="1"/>
  <c r="K12" i="1"/>
  <c r="J12" i="1"/>
  <c r="H12" i="1"/>
  <c r="G12" i="1"/>
  <c r="D12" i="1"/>
  <c r="T36" i="1" l="1"/>
  <c r="Z14" i="1"/>
  <c r="W16" i="1"/>
  <c r="N36" i="1"/>
  <c r="V36" i="1"/>
  <c r="AB14" i="1"/>
  <c r="Z16" i="1"/>
  <c r="P36" i="1"/>
  <c r="AA14" i="1"/>
  <c r="AB16" i="1"/>
  <c r="W18" i="1"/>
  <c r="Z53" i="1"/>
  <c r="Z45" i="1"/>
  <c r="R36" i="1"/>
  <c r="AA16" i="1"/>
  <c r="W17" i="1"/>
  <c r="Z52" i="1"/>
  <c r="AC13" i="1"/>
  <c r="Z47" i="1"/>
  <c r="Z65" i="1" s="1"/>
  <c r="AB18" i="1"/>
  <c r="Z21" i="1"/>
  <c r="AB17" i="1"/>
  <c r="Z50" i="1"/>
  <c r="AA18" i="1"/>
  <c r="Z20" i="1"/>
  <c r="AB21" i="1"/>
  <c r="Q37" i="1"/>
  <c r="Z44" i="1"/>
  <c r="S37" i="1"/>
  <c r="AD19" i="1"/>
  <c r="Z49" i="1"/>
  <c r="AD17" i="1"/>
  <c r="Z19" i="1"/>
  <c r="AB20" i="1"/>
  <c r="AA21" i="1"/>
  <c r="D37" i="1"/>
  <c r="F12" i="1"/>
  <c r="AD44" i="1" s="1"/>
  <c r="U37" i="1"/>
  <c r="Z48" i="1"/>
  <c r="Z67" i="1" s="1"/>
  <c r="Z18" i="1"/>
  <c r="AA20" i="1"/>
  <c r="AD45" i="1"/>
  <c r="AB45" i="1"/>
  <c r="U45" i="1"/>
  <c r="AC45" i="1"/>
  <c r="V45" i="1"/>
  <c r="T45" i="1"/>
  <c r="F45" i="1"/>
  <c r="M13" i="1"/>
  <c r="AD71" i="1"/>
  <c r="AB71" i="1"/>
  <c r="U71" i="1"/>
  <c r="AC71" i="1"/>
  <c r="T71" i="1"/>
  <c r="F71" i="1"/>
  <c r="V71" i="1"/>
  <c r="M39" i="1"/>
  <c r="AC50" i="1"/>
  <c r="V50" i="1"/>
  <c r="T50" i="1"/>
  <c r="F50" i="1"/>
  <c r="AB50" i="1"/>
  <c r="U50" i="1"/>
  <c r="AD50" i="1"/>
  <c r="M18" i="1"/>
  <c r="AA12" i="1"/>
  <c r="AC12" i="1"/>
  <c r="AD13" i="1"/>
  <c r="AC46" i="1"/>
  <c r="V46" i="1"/>
  <c r="M14" i="1"/>
  <c r="AD14" i="1"/>
  <c r="AC47" i="1"/>
  <c r="V47" i="1"/>
  <c r="T47" i="1"/>
  <c r="F47" i="1"/>
  <c r="M15" i="1"/>
  <c r="AD15" i="1"/>
  <c r="AC48" i="1"/>
  <c r="V48" i="1"/>
  <c r="T48" i="1"/>
  <c r="F48" i="1"/>
  <c r="M16" i="1"/>
  <c r="AD16" i="1"/>
  <c r="AC49" i="1"/>
  <c r="V49" i="1"/>
  <c r="T49" i="1"/>
  <c r="F49" i="1"/>
  <c r="AA49" i="1"/>
  <c r="AA17" i="1"/>
  <c r="AC17" i="1"/>
  <c r="AD18" i="1"/>
  <c r="AC51" i="1"/>
  <c r="V51" i="1"/>
  <c r="T51" i="1"/>
  <c r="F51" i="1"/>
  <c r="AA51" i="1"/>
  <c r="AC52" i="1"/>
  <c r="V52" i="1"/>
  <c r="T52" i="1"/>
  <c r="F52" i="1"/>
  <c r="M20" i="1"/>
  <c r="AD20" i="1"/>
  <c r="AC53" i="1"/>
  <c r="V53" i="1"/>
  <c r="T53" i="1"/>
  <c r="F53" i="1"/>
  <c r="M21" i="1"/>
  <c r="AD21" i="1"/>
  <c r="R54" i="1"/>
  <c r="P54" i="1"/>
  <c r="N54" i="1"/>
  <c r="AD55" i="1"/>
  <c r="AB55" i="1"/>
  <c r="U55" i="1"/>
  <c r="AC55" i="1"/>
  <c r="V55" i="1"/>
  <c r="T55" i="1"/>
  <c r="F55" i="1"/>
  <c r="S56" i="1"/>
  <c r="Q56" i="1"/>
  <c r="O56" i="1"/>
  <c r="M56" i="1"/>
  <c r="R56" i="1"/>
  <c r="P56" i="1"/>
  <c r="N56" i="1"/>
  <c r="AD57" i="1"/>
  <c r="AB57" i="1"/>
  <c r="U57" i="1"/>
  <c r="AC57" i="1"/>
  <c r="V57" i="1"/>
  <c r="T57" i="1"/>
  <c r="F57" i="1"/>
  <c r="S58" i="1"/>
  <c r="Q58" i="1"/>
  <c r="O58" i="1"/>
  <c r="M58" i="1"/>
  <c r="R58" i="1"/>
  <c r="P58" i="1"/>
  <c r="N58" i="1"/>
  <c r="AD59" i="1"/>
  <c r="AB59" i="1"/>
  <c r="U59" i="1"/>
  <c r="AC59" i="1"/>
  <c r="V59" i="1"/>
  <c r="T59" i="1"/>
  <c r="F59" i="1"/>
  <c r="S60" i="1"/>
  <c r="Q60" i="1"/>
  <c r="O60" i="1"/>
  <c r="M60" i="1"/>
  <c r="R60" i="1"/>
  <c r="P60" i="1"/>
  <c r="N60" i="1"/>
  <c r="AD61" i="1"/>
  <c r="AB61" i="1"/>
  <c r="U61" i="1"/>
  <c r="AC61" i="1"/>
  <c r="V61" i="1"/>
  <c r="T61" i="1"/>
  <c r="F61" i="1"/>
  <c r="S62" i="1"/>
  <c r="Q62" i="1"/>
  <c r="O62" i="1"/>
  <c r="M62" i="1"/>
  <c r="R62" i="1"/>
  <c r="P62" i="1"/>
  <c r="N62" i="1"/>
  <c r="AD63" i="1"/>
  <c r="AB63" i="1"/>
  <c r="U63" i="1"/>
  <c r="AC63" i="1"/>
  <c r="V63" i="1"/>
  <c r="T63" i="1"/>
  <c r="F63" i="1"/>
  <c r="F33" i="1"/>
  <c r="N33" i="1"/>
  <c r="P33" i="1"/>
  <c r="R33" i="1"/>
  <c r="T33" i="1"/>
  <c r="V33" i="1"/>
  <c r="D34" i="1"/>
  <c r="O34" i="1"/>
  <c r="Q34" i="1"/>
  <c r="S34" i="1"/>
  <c r="U34" i="1"/>
  <c r="F35" i="1"/>
  <c r="N35" i="1"/>
  <c r="P35" i="1"/>
  <c r="R35" i="1"/>
  <c r="T35" i="1"/>
  <c r="V35" i="1"/>
  <c r="D36" i="1"/>
  <c r="O36" i="1"/>
  <c r="Q36" i="1"/>
  <c r="S36" i="1"/>
  <c r="U36" i="1"/>
  <c r="F37" i="1"/>
  <c r="N37" i="1"/>
  <c r="P37" i="1"/>
  <c r="R37" i="1"/>
  <c r="T37" i="1"/>
  <c r="V37" i="1"/>
  <c r="F44" i="1"/>
  <c r="T44" i="1"/>
  <c r="V44" i="1"/>
  <c r="AA44" i="1"/>
  <c r="AC44" i="1"/>
  <c r="AA45" i="1"/>
  <c r="F46" i="1"/>
  <c r="T46" i="1"/>
  <c r="AD46" i="1"/>
  <c r="AD47" i="1"/>
  <c r="AD48" i="1"/>
  <c r="AD49" i="1"/>
  <c r="AD51" i="1"/>
  <c r="AD52" i="1"/>
  <c r="AD53" i="1"/>
  <c r="O54" i="1"/>
  <c r="S54" i="1"/>
  <c r="M12" i="1"/>
  <c r="Z12" i="1"/>
  <c r="AB12" i="1"/>
  <c r="AD12" i="1"/>
  <c r="AA46" i="1"/>
  <c r="AC14" i="1"/>
  <c r="AC15" i="1"/>
  <c r="AC16" i="1"/>
  <c r="M17" i="1"/>
  <c r="AA50" i="1"/>
  <c r="AC18" i="1"/>
  <c r="M19" i="1"/>
  <c r="AC19" i="1"/>
  <c r="AC20" i="1"/>
  <c r="AC21" i="1"/>
  <c r="AD54" i="1"/>
  <c r="AB54" i="1"/>
  <c r="AC54" i="1"/>
  <c r="V54" i="1"/>
  <c r="T54" i="1"/>
  <c r="F54" i="1"/>
  <c r="M23" i="1"/>
  <c r="AD56" i="1"/>
  <c r="AB56" i="1"/>
  <c r="U56" i="1"/>
  <c r="AC56" i="1"/>
  <c r="V56" i="1"/>
  <c r="T56" i="1"/>
  <c r="F56" i="1"/>
  <c r="M25" i="1"/>
  <c r="AD58" i="1"/>
  <c r="AB58" i="1"/>
  <c r="U58" i="1"/>
  <c r="AC58" i="1"/>
  <c r="V58" i="1"/>
  <c r="T58" i="1"/>
  <c r="F58" i="1"/>
  <c r="M27" i="1"/>
  <c r="AD60" i="1"/>
  <c r="AB60" i="1"/>
  <c r="U60" i="1"/>
  <c r="AC60" i="1"/>
  <c r="V60" i="1"/>
  <c r="T60" i="1"/>
  <c r="F60" i="1"/>
  <c r="M29" i="1"/>
  <c r="AD62" i="1"/>
  <c r="AB62" i="1"/>
  <c r="U62" i="1"/>
  <c r="AC62" i="1"/>
  <c r="V62" i="1"/>
  <c r="T62" i="1"/>
  <c r="F62" i="1"/>
  <c r="M31" i="1"/>
  <c r="D33" i="1"/>
  <c r="O33" i="1"/>
  <c r="Q33" i="1"/>
  <c r="S33" i="1"/>
  <c r="U33" i="1"/>
  <c r="F34" i="1"/>
  <c r="N34" i="1"/>
  <c r="P34" i="1"/>
  <c r="R34" i="1"/>
  <c r="T34" i="1"/>
  <c r="V34" i="1"/>
  <c r="D35" i="1"/>
  <c r="O35" i="1"/>
  <c r="Q35" i="1"/>
  <c r="S35" i="1"/>
  <c r="U35" i="1"/>
  <c r="F36" i="1"/>
  <c r="U44" i="1"/>
  <c r="AB44" i="1"/>
  <c r="U46" i="1"/>
  <c r="AB46" i="1"/>
  <c r="U47" i="1"/>
  <c r="AB47" i="1"/>
  <c r="U48" i="1"/>
  <c r="AB48" i="1"/>
  <c r="U49" i="1"/>
  <c r="AB49" i="1"/>
  <c r="U51" i="1"/>
  <c r="AB51" i="1"/>
  <c r="U52" i="1"/>
  <c r="AB52" i="1"/>
  <c r="U53" i="1"/>
  <c r="AB53" i="1"/>
  <c r="M54" i="1"/>
  <c r="Q54" i="1"/>
  <c r="U54" i="1"/>
  <c r="I11" i="4"/>
  <c r="I13" i="4"/>
  <c r="I15" i="4"/>
  <c r="I9" i="4"/>
  <c r="I10" i="4"/>
  <c r="I12" i="4"/>
  <c r="I14" i="4"/>
  <c r="Z69" i="1" l="1"/>
  <c r="Z68" i="1"/>
  <c r="Z66" i="1"/>
  <c r="C17" i="4" s="1" a="1"/>
  <c r="E17" i="4" s="1"/>
  <c r="AD67" i="1"/>
  <c r="AB69" i="1"/>
  <c r="AB68" i="1"/>
  <c r="AB67" i="1"/>
  <c r="AB66" i="1"/>
  <c r="AB65" i="1"/>
  <c r="R49" i="1"/>
  <c r="P49" i="1"/>
  <c r="N49" i="1"/>
  <c r="Q49" i="1"/>
  <c r="M49" i="1"/>
  <c r="S49" i="1"/>
  <c r="O49" i="1"/>
  <c r="AB37" i="1"/>
  <c r="AB35" i="1"/>
  <c r="AB33" i="1"/>
  <c r="AB36" i="1"/>
  <c r="AB34" i="1"/>
  <c r="S44" i="1"/>
  <c r="Q44" i="1"/>
  <c r="O44" i="1"/>
  <c r="M44" i="1"/>
  <c r="M37" i="1"/>
  <c r="M35" i="1"/>
  <c r="M33" i="1"/>
  <c r="R44" i="1"/>
  <c r="P44" i="1"/>
  <c r="N44" i="1"/>
  <c r="M36" i="1"/>
  <c r="M34" i="1"/>
  <c r="AA69" i="1"/>
  <c r="AA68" i="1"/>
  <c r="AA67" i="1"/>
  <c r="AA66" i="1"/>
  <c r="AA65" i="1"/>
  <c r="T69" i="1"/>
  <c r="T68" i="1"/>
  <c r="T67" i="1"/>
  <c r="T66" i="1"/>
  <c r="T65" i="1"/>
  <c r="R48" i="1"/>
  <c r="P48" i="1"/>
  <c r="N48" i="1"/>
  <c r="Q48" i="1"/>
  <c r="M48" i="1"/>
  <c r="S48" i="1"/>
  <c r="O48" i="1"/>
  <c r="R47" i="1"/>
  <c r="P47" i="1"/>
  <c r="N47" i="1"/>
  <c r="Q47" i="1"/>
  <c r="M47" i="1"/>
  <c r="S47" i="1"/>
  <c r="O47" i="1"/>
  <c r="S46" i="1"/>
  <c r="Q46" i="1"/>
  <c r="O46" i="1"/>
  <c r="M46" i="1"/>
  <c r="R46" i="1"/>
  <c r="P46" i="1"/>
  <c r="N46" i="1"/>
  <c r="AC36" i="1"/>
  <c r="AC34" i="1"/>
  <c r="AC37" i="1"/>
  <c r="AC35" i="1"/>
  <c r="AC33" i="1"/>
  <c r="R50" i="1"/>
  <c r="P50" i="1"/>
  <c r="N50" i="1"/>
  <c r="Q50" i="1"/>
  <c r="M50" i="1"/>
  <c r="S50" i="1"/>
  <c r="O50" i="1"/>
  <c r="S71" i="1"/>
  <c r="Q71" i="1"/>
  <c r="O71" i="1"/>
  <c r="M71" i="1"/>
  <c r="P71" i="1"/>
  <c r="R71" i="1"/>
  <c r="N71" i="1"/>
  <c r="S45" i="1"/>
  <c r="Q45" i="1"/>
  <c r="O45" i="1"/>
  <c r="M45" i="1"/>
  <c r="R45" i="1"/>
  <c r="P45" i="1"/>
  <c r="N45" i="1"/>
  <c r="AD69" i="1"/>
  <c r="AD66" i="1"/>
  <c r="U69" i="1"/>
  <c r="U68" i="1"/>
  <c r="U67" i="1"/>
  <c r="U66" i="1"/>
  <c r="U65" i="1"/>
  <c r="S63" i="1"/>
  <c r="Q63" i="1"/>
  <c r="O63" i="1"/>
  <c r="M63" i="1"/>
  <c r="R63" i="1"/>
  <c r="P63" i="1"/>
  <c r="N63" i="1"/>
  <c r="S61" i="1"/>
  <c r="Q61" i="1"/>
  <c r="O61" i="1"/>
  <c r="M61" i="1"/>
  <c r="R61" i="1"/>
  <c r="P61" i="1"/>
  <c r="N61" i="1"/>
  <c r="S59" i="1"/>
  <c r="Q59" i="1"/>
  <c r="O59" i="1"/>
  <c r="M59" i="1"/>
  <c r="R59" i="1"/>
  <c r="P59" i="1"/>
  <c r="N59" i="1"/>
  <c r="S57" i="1"/>
  <c r="Q57" i="1"/>
  <c r="O57" i="1"/>
  <c r="M57" i="1"/>
  <c r="R57" i="1"/>
  <c r="P57" i="1"/>
  <c r="N57" i="1"/>
  <c r="S55" i="1"/>
  <c r="Q55" i="1"/>
  <c r="O55" i="1"/>
  <c r="M55" i="1"/>
  <c r="R55" i="1"/>
  <c r="P55" i="1"/>
  <c r="N55" i="1"/>
  <c r="R51" i="1"/>
  <c r="P51" i="1"/>
  <c r="N51" i="1"/>
  <c r="Q51" i="1"/>
  <c r="M51" i="1"/>
  <c r="S51" i="1"/>
  <c r="O51" i="1"/>
  <c r="AD37" i="1"/>
  <c r="AD35" i="1"/>
  <c r="AD33" i="1"/>
  <c r="AD36" i="1"/>
  <c r="AD34" i="1"/>
  <c r="Z37" i="1"/>
  <c r="Z35" i="1"/>
  <c r="Z33" i="1"/>
  <c r="Z36" i="1"/>
  <c r="Z34" i="1"/>
  <c r="AC69" i="1"/>
  <c r="AC68" i="1"/>
  <c r="AC67" i="1"/>
  <c r="AC66" i="1"/>
  <c r="AC65" i="1"/>
  <c r="V69" i="1"/>
  <c r="V68" i="1"/>
  <c r="V67" i="1"/>
  <c r="V66" i="1"/>
  <c r="V65" i="1"/>
  <c r="F69" i="1"/>
  <c r="F68" i="1"/>
  <c r="F67" i="1"/>
  <c r="F66" i="1"/>
  <c r="F65" i="1"/>
  <c r="R53" i="1"/>
  <c r="P53" i="1"/>
  <c r="N53" i="1"/>
  <c r="Q53" i="1"/>
  <c r="M53" i="1"/>
  <c r="S53" i="1"/>
  <c r="O53" i="1"/>
  <c r="R52" i="1"/>
  <c r="P52" i="1"/>
  <c r="N52" i="1"/>
  <c r="Q52" i="1"/>
  <c r="M52" i="1"/>
  <c r="S52" i="1"/>
  <c r="O52" i="1"/>
  <c r="AA36" i="1"/>
  <c r="AA34" i="1"/>
  <c r="AA37" i="1"/>
  <c r="AA35" i="1"/>
  <c r="AA33" i="1"/>
  <c r="AD68" i="1"/>
  <c r="AD65" i="1"/>
  <c r="C15" i="4" l="1" a="1"/>
  <c r="D15" i="4" s="1"/>
  <c r="C17" i="4"/>
  <c r="D17" i="4"/>
  <c r="F40" i="4" s="1"/>
  <c r="F17" i="4"/>
  <c r="E40" i="4" s="1"/>
  <c r="G17" i="4"/>
  <c r="C40" i="4" s="1"/>
  <c r="C16" i="4" a="1"/>
  <c r="C18" i="4" a="1"/>
  <c r="P69" i="1"/>
  <c r="P68" i="1"/>
  <c r="P67" i="1"/>
  <c r="P66" i="1"/>
  <c r="P65" i="1"/>
  <c r="O68" i="1"/>
  <c r="O67" i="1"/>
  <c r="O66" i="1"/>
  <c r="O65" i="1"/>
  <c r="O69" i="1"/>
  <c r="S68" i="1"/>
  <c r="S67" i="1"/>
  <c r="S66" i="1"/>
  <c r="S65" i="1"/>
  <c r="S69" i="1"/>
  <c r="C14" i="4" a="1"/>
  <c r="N69" i="1"/>
  <c r="N68" i="1"/>
  <c r="N67" i="1"/>
  <c r="N66" i="1"/>
  <c r="N65" i="1"/>
  <c r="R69" i="1"/>
  <c r="R68" i="1"/>
  <c r="R67" i="1"/>
  <c r="R66" i="1"/>
  <c r="R65" i="1"/>
  <c r="M69" i="1"/>
  <c r="M68" i="1"/>
  <c r="M67" i="1"/>
  <c r="M66" i="1"/>
  <c r="M65" i="1"/>
  <c r="Q69" i="1"/>
  <c r="Q68" i="1"/>
  <c r="Q67" i="1"/>
  <c r="Q66" i="1"/>
  <c r="Q65" i="1"/>
  <c r="F15" i="4" l="1"/>
  <c r="D38" i="4" s="1"/>
  <c r="G15" i="4"/>
  <c r="E15" i="4"/>
  <c r="F38" i="4" s="1"/>
  <c r="C15" i="4"/>
  <c r="G40" i="4"/>
  <c r="D40" i="4"/>
  <c r="C13" i="4" a="1"/>
  <c r="G13" i="4" s="1"/>
  <c r="C12" i="4" a="1"/>
  <c r="D12" i="4" s="1"/>
  <c r="F14" i="4"/>
  <c r="D14" i="4"/>
  <c r="C14" i="4"/>
  <c r="G14" i="4"/>
  <c r="E14" i="4"/>
  <c r="F18" i="4"/>
  <c r="D18" i="4"/>
  <c r="C18" i="4"/>
  <c r="E18" i="4"/>
  <c r="G18" i="4"/>
  <c r="C41" i="4" s="1"/>
  <c r="N15" i="4"/>
  <c r="F47" i="4" s="1"/>
  <c r="E38" i="4"/>
  <c r="M15" i="4"/>
  <c r="E47" i="4" s="1"/>
  <c r="F16" i="4"/>
  <c r="D16" i="4"/>
  <c r="C16" i="4"/>
  <c r="G16" i="4"/>
  <c r="E16" i="4"/>
  <c r="C11" i="4" a="1"/>
  <c r="C8" i="4" a="1"/>
  <c r="C9" i="4" a="1"/>
  <c r="C10" i="4" a="1"/>
  <c r="G38" i="4"/>
  <c r="O15" i="4"/>
  <c r="G47" i="4" s="1"/>
  <c r="C38" i="4"/>
  <c r="K15" i="4"/>
  <c r="C47" i="4" s="1"/>
  <c r="C58" i="4" s="1"/>
  <c r="L15" i="4" l="1"/>
  <c r="D47" i="4" s="1"/>
  <c r="G58" i="4"/>
  <c r="C12" i="4"/>
  <c r="O12" i="4" s="1"/>
  <c r="G50" i="4" s="1"/>
  <c r="F12" i="4"/>
  <c r="L12" i="4" s="1"/>
  <c r="D50" i="4" s="1"/>
  <c r="F13" i="4"/>
  <c r="L13" i="4" s="1"/>
  <c r="D49" i="4" s="1"/>
  <c r="E12" i="4"/>
  <c r="F35" i="4" s="1"/>
  <c r="D13" i="4"/>
  <c r="E13" i="4"/>
  <c r="G12" i="4"/>
  <c r="C13" i="4"/>
  <c r="G41" i="4"/>
  <c r="F9" i="4"/>
  <c r="D9" i="4"/>
  <c r="C9" i="4"/>
  <c r="G9" i="4"/>
  <c r="E9" i="4"/>
  <c r="G11" i="4"/>
  <c r="E11" i="4"/>
  <c r="F11" i="4"/>
  <c r="D11" i="4"/>
  <c r="C11" i="4"/>
  <c r="C39" i="4"/>
  <c r="K16" i="4"/>
  <c r="C46" i="4" s="1"/>
  <c r="C57" i="4" s="1"/>
  <c r="F39" i="4"/>
  <c r="N16" i="4"/>
  <c r="F46" i="4" s="1"/>
  <c r="E58" i="4"/>
  <c r="F58" i="4"/>
  <c r="D41" i="4"/>
  <c r="E37" i="4"/>
  <c r="M14" i="4"/>
  <c r="E48" i="4" s="1"/>
  <c r="G37" i="4"/>
  <c r="O14" i="4"/>
  <c r="G48" i="4" s="1"/>
  <c r="D37" i="4"/>
  <c r="L14" i="4"/>
  <c r="D48" i="4" s="1"/>
  <c r="N12" i="4"/>
  <c r="F50" i="4" s="1"/>
  <c r="D58" i="4"/>
  <c r="F10" i="4"/>
  <c r="D10" i="4"/>
  <c r="C10" i="4"/>
  <c r="G10" i="4"/>
  <c r="E10" i="4"/>
  <c r="F8" i="4"/>
  <c r="D8" i="4"/>
  <c r="C8" i="4"/>
  <c r="G8" i="4"/>
  <c r="E8" i="4"/>
  <c r="E39" i="4"/>
  <c r="M16" i="4"/>
  <c r="E46" i="4" s="1"/>
  <c r="G39" i="4"/>
  <c r="O16" i="4"/>
  <c r="G46" i="4" s="1"/>
  <c r="D39" i="4"/>
  <c r="L16" i="4"/>
  <c r="D46" i="4" s="1"/>
  <c r="E41" i="4"/>
  <c r="F41" i="4"/>
  <c r="C36" i="4"/>
  <c r="K13" i="4"/>
  <c r="C49" i="4" s="1"/>
  <c r="C60" i="4" s="1"/>
  <c r="C37" i="4"/>
  <c r="K14" i="4"/>
  <c r="C48" i="4" s="1"/>
  <c r="C59" i="4" s="1"/>
  <c r="F37" i="4"/>
  <c r="N14" i="4"/>
  <c r="F48" i="4" s="1"/>
  <c r="M12" i="4" l="1"/>
  <c r="E50" i="4" s="1"/>
  <c r="E61" i="4" s="1"/>
  <c r="D57" i="4"/>
  <c r="D35" i="4"/>
  <c r="E36" i="4"/>
  <c r="D36" i="4"/>
  <c r="G36" i="4"/>
  <c r="F59" i="4"/>
  <c r="G57" i="4"/>
  <c r="K12" i="4"/>
  <c r="C50" i="4" s="1"/>
  <c r="C61" i="4" s="1"/>
  <c r="M13" i="4"/>
  <c r="E49" i="4" s="1"/>
  <c r="C35" i="4"/>
  <c r="E35" i="4"/>
  <c r="F36" i="4"/>
  <c r="G61" i="4"/>
  <c r="G35" i="4"/>
  <c r="O13" i="4"/>
  <c r="G49" i="4" s="1"/>
  <c r="N13" i="4"/>
  <c r="F49" i="4" s="1"/>
  <c r="D60" i="4"/>
  <c r="E57" i="4"/>
  <c r="E31" i="4"/>
  <c r="M8" i="4"/>
  <c r="E54" i="4" s="1"/>
  <c r="G31" i="4"/>
  <c r="O8" i="4"/>
  <c r="G54" i="4" s="1"/>
  <c r="D31" i="4"/>
  <c r="L8" i="4"/>
  <c r="D54" i="4" s="1"/>
  <c r="C33" i="4"/>
  <c r="K10" i="4"/>
  <c r="C52" i="4" s="1"/>
  <c r="C63" i="4" s="1"/>
  <c r="F33" i="4"/>
  <c r="N10" i="4"/>
  <c r="F52" i="4" s="1"/>
  <c r="F57" i="4"/>
  <c r="G34" i="4"/>
  <c r="O11" i="4"/>
  <c r="G51" i="4" s="1"/>
  <c r="D34" i="4"/>
  <c r="L11" i="4"/>
  <c r="D51" i="4" s="1"/>
  <c r="C34" i="4"/>
  <c r="K11" i="4"/>
  <c r="C51" i="4" s="1"/>
  <c r="C62" i="4" s="1"/>
  <c r="C32" i="4"/>
  <c r="K9" i="4"/>
  <c r="C53" i="4" s="1"/>
  <c r="C64" i="4" s="1"/>
  <c r="F32" i="4"/>
  <c r="N9" i="4"/>
  <c r="F53" i="4" s="1"/>
  <c r="C31" i="4"/>
  <c r="K8" i="4"/>
  <c r="C54" i="4" s="1"/>
  <c r="C65" i="4" s="1"/>
  <c r="F31" i="4"/>
  <c r="N8" i="4"/>
  <c r="F54" i="4" s="1"/>
  <c r="E33" i="4"/>
  <c r="M10" i="4"/>
  <c r="E52" i="4" s="1"/>
  <c r="G33" i="4"/>
  <c r="O10" i="4"/>
  <c r="G52" i="4" s="1"/>
  <c r="D33" i="4"/>
  <c r="L10" i="4"/>
  <c r="D52" i="4" s="1"/>
  <c r="F61" i="4"/>
  <c r="D59" i="4"/>
  <c r="G59" i="4"/>
  <c r="E59" i="4"/>
  <c r="F34" i="4"/>
  <c r="N11" i="4"/>
  <c r="F51" i="4" s="1"/>
  <c r="E34" i="4"/>
  <c r="M11" i="4"/>
  <c r="E51" i="4" s="1"/>
  <c r="E62" i="4" s="1"/>
  <c r="E32" i="4"/>
  <c r="M9" i="4"/>
  <c r="E53" i="4" s="1"/>
  <c r="G32" i="4"/>
  <c r="O9" i="4"/>
  <c r="G53" i="4" s="1"/>
  <c r="D32" i="4"/>
  <c r="L9" i="4"/>
  <c r="D53" i="4" s="1"/>
  <c r="F60" i="4" l="1"/>
  <c r="G64" i="4"/>
  <c r="E60" i="4"/>
  <c r="D61" i="4"/>
  <c r="G60" i="4"/>
  <c r="D64" i="4"/>
  <c r="F65" i="4"/>
  <c r="G65" i="4"/>
  <c r="F63" i="4"/>
  <c r="D65" i="4"/>
  <c r="E64" i="4"/>
  <c r="F62" i="4"/>
  <c r="D63" i="4"/>
  <c r="G63" i="4"/>
  <c r="E63" i="4"/>
  <c r="F64" i="4"/>
  <c r="D62" i="4"/>
  <c r="G62" i="4"/>
  <c r="E65" i="4"/>
</calcChain>
</file>

<file path=xl/sharedStrings.xml><?xml version="1.0" encoding="utf-8"?>
<sst xmlns="http://schemas.openxmlformats.org/spreadsheetml/2006/main" count="232" uniqueCount="134">
  <si>
    <t xml:space="preserve">Comparable Companies </t>
  </si>
  <si>
    <t>- TODAS LAS CASILLAS EN NEGRO SE AJUSTAN SOLAS = NO TOCAR!!</t>
  </si>
  <si>
    <t>(€ EUR in Millions Except Per Share Amounts in EUR as Stated)</t>
  </si>
  <si>
    <t>- USAR COMAS PARA SEPARAR DECIMALES, NO PUNTOS</t>
  </si>
  <si>
    <t>- FÓRMULAS DE 75 Ptl, 25Ptl &amp; Median de valores en € SE TIENEN QUE AJUSTAR A LA MUESTRA DE EMPRESAS QUE TENÉIS</t>
  </si>
  <si>
    <t>Company Name:</t>
  </si>
  <si>
    <t>XXXXXX</t>
  </si>
  <si>
    <t>PERO SI NO LO HACÉIS NO PASA NADA, REALMENTE SON USELESS</t>
  </si>
  <si>
    <t>Sharecount (in M):</t>
  </si>
  <si>
    <t xml:space="preserve">Shareprice (as stated): </t>
  </si>
  <si>
    <t>Operating Statistics:</t>
  </si>
  <si>
    <t>Capitalization</t>
  </si>
  <si>
    <t>Projected</t>
  </si>
  <si>
    <t>Share</t>
  </si>
  <si>
    <t>Diluted</t>
  </si>
  <si>
    <t>Equity</t>
  </si>
  <si>
    <t>Preferred</t>
  </si>
  <si>
    <t>Other &amp;</t>
  </si>
  <si>
    <t>Shareholders</t>
  </si>
  <si>
    <t>Interest</t>
  </si>
  <si>
    <t>Enterprise</t>
  </si>
  <si>
    <t>Revenue</t>
  </si>
  <si>
    <t>EBITDA</t>
  </si>
  <si>
    <t>Net Income</t>
  </si>
  <si>
    <t>EBITDA Margin</t>
  </si>
  <si>
    <t>Company Name</t>
  </si>
  <si>
    <t>Ticker</t>
  </si>
  <si>
    <t>Price</t>
  </si>
  <si>
    <t>Shares (M)</t>
  </si>
  <si>
    <t>Value</t>
  </si>
  <si>
    <t>Cash</t>
  </si>
  <si>
    <t>Debt</t>
  </si>
  <si>
    <t>Stock</t>
  </si>
  <si>
    <t>NCI</t>
  </si>
  <si>
    <t>Equity (BS)</t>
  </si>
  <si>
    <t>Expenses (BS)</t>
  </si>
  <si>
    <t>FY19</t>
  </si>
  <si>
    <t>Growth</t>
  </si>
  <si>
    <t>AI</t>
  </si>
  <si>
    <t>Iflytek Co Ltd.</t>
  </si>
  <si>
    <t>Hangzhou Hikvision Digital Technology Co Ltd</t>
  </si>
  <si>
    <t>Zhejiang Dahua Technology Co Ltd</t>
  </si>
  <si>
    <t>VR</t>
  </si>
  <si>
    <t>Silicon Motion Technology</t>
  </si>
  <si>
    <t>SIMO</t>
  </si>
  <si>
    <t>BIG DATA</t>
  </si>
  <si>
    <t>Cloudera Inc.</t>
  </si>
  <si>
    <t>CLDR</t>
  </si>
  <si>
    <t>Teradata Corp.</t>
  </si>
  <si>
    <t>TDC</t>
  </si>
  <si>
    <t>Alteryx Inc.</t>
  </si>
  <si>
    <t>AYX</t>
  </si>
  <si>
    <t>Vmware Inc.</t>
  </si>
  <si>
    <t>VMW</t>
  </si>
  <si>
    <t>ELECTRONICS</t>
  </si>
  <si>
    <t>STMicroelectronics Inc.</t>
  </si>
  <si>
    <t>STM</t>
  </si>
  <si>
    <t>E-COMMERCE</t>
  </si>
  <si>
    <t>58.com Inc.</t>
  </si>
  <si>
    <t>WUBA</t>
  </si>
  <si>
    <t>Quantum Computing</t>
  </si>
  <si>
    <t>IBM</t>
  </si>
  <si>
    <t>xxx</t>
  </si>
  <si>
    <t>XX</t>
  </si>
  <si>
    <t>Maximum</t>
  </si>
  <si>
    <t>75th Percentile</t>
  </si>
  <si>
    <t>Median</t>
  </si>
  <si>
    <t>25th Percentile</t>
  </si>
  <si>
    <t>Minimum</t>
  </si>
  <si>
    <t>Valuation Statistics:</t>
  </si>
  <si>
    <t>Enterprise Value /</t>
  </si>
  <si>
    <t>P / E Multiple</t>
  </si>
  <si>
    <t>DEBT/</t>
  </si>
  <si>
    <t>EBITDA/</t>
  </si>
  <si>
    <t>EBITDA / Eq.Value Multiple</t>
  </si>
  <si>
    <t>Explicación EBITDA / Eq. Value</t>
  </si>
  <si>
    <t xml:space="preserve">Precio por acción implícito de </t>
  </si>
  <si>
    <t>FY18</t>
  </si>
  <si>
    <t>Int Expenses</t>
  </si>
  <si>
    <t xml:space="preserve">- En principio nunca relacionariamos estas dos métricas porque EBITDA es una </t>
  </si>
  <si>
    <t>métrica que està disponible para todos los inversores de la empresa,</t>
  </si>
  <si>
    <t>mientras que Eq. Value es el valor de la empresa sólo para los inversores de Equity</t>
  </si>
  <si>
    <t>- Aquí los he juntado para hacer una aproximación a lo que sería el múltiplo de</t>
  </si>
  <si>
    <t>Yearly Cash Flow / Share price</t>
  </si>
  <si>
    <t xml:space="preserve">     - EBITDA es una "buena" proxis de CF y Equity Value es Shareprice*sharecount</t>
  </si>
  <si>
    <t>Leyenda del gráfico:    (lo que los colores muestran)</t>
  </si>
  <si>
    <t>Min a 25th Percentil / 25th Ptl a Valor Mediano / Valor mediano a 75th Ptl / 75th Ptl al Max</t>
  </si>
  <si>
    <t xml:space="preserve">- La idea és que si EBITDA &gt; Eq. Value, la empresa genera más cash cada año que </t>
  </si>
  <si>
    <t xml:space="preserve">el valor del mercado de toda la empresa. Obviamente es una situación que "nunca" </t>
  </si>
  <si>
    <t>75th Ptl al Max</t>
  </si>
  <si>
    <t xml:space="preserve">Valor mediano a 75th Ptl </t>
  </si>
  <si>
    <t xml:space="preserve">25th Ptl a Valor Mediano </t>
  </si>
  <si>
    <t xml:space="preserve">Del min al 25th Percentil </t>
  </si>
  <si>
    <t>encontraremos. Pero si lo hiciesemos, tendríamos una empresa que nos va a generar</t>
  </si>
  <si>
    <t>Precio por Acción implícito</t>
  </si>
  <si>
    <t>75th</t>
  </si>
  <si>
    <t>25th</t>
  </si>
  <si>
    <t>Applicable</t>
  </si>
  <si>
    <t>cada año más de lo que hemos pagado por ser accionistas.</t>
  </si>
  <si>
    <t>Percentile</t>
  </si>
  <si>
    <t>Company</t>
  </si>
  <si>
    <t>Methodology Name</t>
  </si>
  <si>
    <t>Multiple</t>
  </si>
  <si>
    <t>Figure</t>
  </si>
  <si>
    <t>Public Company Comparables:</t>
  </si>
  <si>
    <t>2016 EV / Revenue:</t>
  </si>
  <si>
    <t xml:space="preserve">- En este caso la comparación con las otras empresas es irrelevante. Lo único </t>
  </si>
  <si>
    <t>2017 EV / Revenue:</t>
  </si>
  <si>
    <t>importante es el valor de la métrica en nuestra empresa:</t>
  </si>
  <si>
    <t xml:space="preserve">      - Si EBITDA/Eq.Value &gt; 1 = Te ha tocado la bonoloto</t>
  </si>
  <si>
    <t>FY 18 EV / Revenue:</t>
  </si>
  <si>
    <t xml:space="preserve">      - Si EBITDA/Eq.Value &lt; 1 = #normal</t>
  </si>
  <si>
    <t>2016 EV / EBITDA:</t>
  </si>
  <si>
    <t>2017 EV / EBITDA:</t>
  </si>
  <si>
    <t>FY 18 EV / EBITDA:</t>
  </si>
  <si>
    <t>2016 P / E:</t>
  </si>
  <si>
    <t>2017 P / E:</t>
  </si>
  <si>
    <t>FY 18 P / E:</t>
  </si>
  <si>
    <t>DEBT / EQUITY</t>
  </si>
  <si>
    <t>EBITDA / INT. EXPENSES</t>
  </si>
  <si>
    <t>MULTIPLES GRAPH</t>
  </si>
  <si>
    <t>Min Point</t>
  </si>
  <si>
    <t>25th Point</t>
  </si>
  <si>
    <t>Median Point</t>
  </si>
  <si>
    <t>75th Point</t>
  </si>
  <si>
    <t>Max Point</t>
  </si>
  <si>
    <t>VAL Graph</t>
  </si>
  <si>
    <t>Min</t>
  </si>
  <si>
    <t xml:space="preserve">75th </t>
  </si>
  <si>
    <t>Max</t>
  </si>
  <si>
    <t>Margin Growth</t>
  </si>
  <si>
    <t>Price/ Book Value</t>
  </si>
  <si>
    <t>TTM</t>
  </si>
  <si>
    <t>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</si>
</sst>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\ [$€-1]"/>
    <numFmt numFmtId="165" formatCode="_(* #,##0.00_)\ [$€-1]_);\(#,##0.00\)\ [$€-1]_);_(* &quot;-&quot;??_)\ [$€-1]_);_(@"/>
    <numFmt numFmtId="166" formatCode="0.0%"/>
    <numFmt numFmtId="167" formatCode="0.0\x"/>
    <numFmt numFmtId="168" formatCode="_-* #,##0.0000\ [$€-C0A]_-;\-* #,##0.0000\ [$€-C0A]_-;_-* &quot;-&quot;??\ [$€-C0A]_-;_-@_-"/>
  </numFmts>
  <fonts count="39">
    <font>
      <sz val="10"/>
      <color rgb="FF000000"/>
      <name val="Arial"/>
    </font>
    <font>
      <sz val="12"/>
      <color theme="1"/>
      <name val="Calibri"/>
      <family val="2"/>
    </font>
    <font>
      <b/>
      <sz val="14"/>
      <color rgb="FF000000"/>
      <name val="Arial"/>
      <family val="2"/>
    </font>
    <font>
      <b/>
      <sz val="14"/>
      <color rgb="FF0000FF"/>
      <name val="Arial"/>
      <family val="2"/>
    </font>
    <font>
      <b/>
      <sz val="14"/>
      <color rgb="FFFF0000"/>
      <name val="Arial"/>
      <family val="2"/>
    </font>
    <font>
      <sz val="12"/>
      <color theme="1"/>
      <name val="Arial"/>
      <family val="2"/>
    </font>
    <font>
      <sz val="12"/>
      <color rgb="FFFF0000"/>
      <name val="Calibri"/>
      <family val="2"/>
    </font>
    <font>
      <sz val="12"/>
      <color rgb="FF0000FF"/>
      <name val="Arial"/>
      <family val="2"/>
    </font>
    <font>
      <sz val="12"/>
      <color rgb="FF000000"/>
      <name val="Calibri"/>
      <family val="2"/>
    </font>
    <font>
      <b/>
      <sz val="12"/>
      <color rgb="FFFFFFFF"/>
      <name val="Calibri"/>
      <family val="2"/>
    </font>
    <font>
      <sz val="10"/>
      <color theme="1"/>
      <name val="Arial"/>
      <family val="2"/>
    </font>
    <font>
      <b/>
      <u/>
      <sz val="12"/>
      <color rgb="FFFFFFFF"/>
      <name val="Calibri"/>
      <family val="2"/>
    </font>
    <font>
      <sz val="10"/>
      <name val="Arial"/>
      <family val="2"/>
    </font>
    <font>
      <sz val="12"/>
      <color rgb="FFFFFFFF"/>
      <name val="Calibri"/>
      <family val="2"/>
    </font>
    <font>
      <b/>
      <u/>
      <sz val="12"/>
      <color rgb="FFFFFFFF"/>
      <name val="Calibri"/>
      <family val="2"/>
    </font>
    <font>
      <b/>
      <sz val="12"/>
      <color rgb="FF000000"/>
      <name val="Calibri"/>
      <family val="2"/>
    </font>
    <font>
      <b/>
      <sz val="12"/>
      <color rgb="FFFFFFFF"/>
      <name val="Arial"/>
      <family val="2"/>
    </font>
    <font>
      <sz val="12"/>
      <color rgb="FF0000FF"/>
      <name val="Calibri"/>
      <family val="2"/>
    </font>
    <font>
      <sz val="11"/>
      <color rgb="FF313132"/>
      <name val="Knowledge-regular"/>
    </font>
    <font>
      <sz val="11"/>
      <color rgb="FF313132"/>
      <name val="Knowledge-medium"/>
    </font>
    <font>
      <b/>
      <sz val="11"/>
      <color rgb="FF444444"/>
      <name val="Roboto"/>
    </font>
    <font>
      <sz val="12"/>
      <color rgb="FF000000"/>
      <name val="Times"/>
    </font>
    <font>
      <b/>
      <sz val="12"/>
      <color theme="1"/>
      <name val="Calibri"/>
      <family val="2"/>
    </font>
    <font>
      <b/>
      <sz val="12"/>
      <color rgb="FFFF0000"/>
      <name val="Calibri"/>
      <family val="2"/>
    </font>
    <font>
      <b/>
      <sz val="12"/>
      <color rgb="FF000000"/>
      <name val="Arial"/>
      <family val="2"/>
    </font>
    <font>
      <b/>
      <sz val="12"/>
      <color rgb="FF0000FF"/>
      <name val="Arial"/>
      <family val="2"/>
    </font>
    <font>
      <b/>
      <u/>
      <sz val="12"/>
      <color rgb="FFFFFFFF"/>
      <name val="Arial"/>
      <family val="2"/>
    </font>
    <font>
      <b/>
      <u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Roboto"/>
    </font>
    <font>
      <sz val="12"/>
      <color rgb="FF000000"/>
      <name val="Arial"/>
      <family val="2"/>
    </font>
    <font>
      <sz val="12"/>
      <color rgb="FF00B050"/>
      <name val="Calibri"/>
      <family val="2"/>
    </font>
    <font>
      <sz val="10"/>
      <color rgb="FF00B050"/>
      <name val="Arial"/>
      <family val="2"/>
    </font>
    <font>
      <sz val="10"/>
      <color theme="1"/>
      <name val="Calibri"/>
      <family val="2"/>
    </font>
    <font>
      <sz val="10"/>
      <color rgb="FF00FF00"/>
      <name val="Arial"/>
      <family val="2"/>
    </font>
    <font>
      <sz val="10"/>
      <color rgb="FF000000"/>
      <name val="Arial"/>
    </font>
    <font>
      <b/>
      <sz val="12"/>
      <color theme="0"/>
      <name val="Calibri"/>
      <family val="2"/>
    </font>
    <font>
      <b/>
      <u/>
      <sz val="12"/>
      <color theme="0"/>
      <name val="Calibri"/>
      <family val="2"/>
    </font>
    <font>
      <b/>
      <u/>
      <sz val="12"/>
      <color theme="0"/>
      <name val="Calibri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8DB4E2"/>
        <bgColor rgb="FF8DB4E2"/>
      </patternFill>
    </fill>
    <fill>
      <patternFill patternType="solid">
        <fgColor rgb="FF0070C0"/>
        <bgColor rgb="FF0070C0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499984740745262"/>
        <bgColor indexed="64"/>
      </patternFill>
    </fill>
  </fills>
  <borders count="25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35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2" fillId="0" borderId="2" xfId="0" applyFont="1" applyBorder="1"/>
    <xf numFmtId="0" fontId="1" fillId="0" borderId="2" xfId="0" applyFont="1" applyBorder="1"/>
    <xf numFmtId="0" fontId="1" fillId="0" borderId="3" xfId="0" applyFont="1" applyBorder="1"/>
    <xf numFmtId="0" fontId="5" fillId="0" borderId="0" xfId="0" applyFont="1"/>
    <xf numFmtId="0" fontId="4" fillId="0" borderId="4" xfId="0" applyFont="1" applyBorder="1"/>
    <xf numFmtId="0" fontId="6" fillId="0" borderId="0" xfId="0" applyFont="1"/>
    <xf numFmtId="0" fontId="6" fillId="0" borderId="5" xfId="0" applyFont="1" applyBorder="1"/>
    <xf numFmtId="0" fontId="1" fillId="0" borderId="5" xfId="0" applyFont="1" applyBorder="1"/>
    <xf numFmtId="0" fontId="7" fillId="0" borderId="0" xfId="0" applyFont="1"/>
    <xf numFmtId="0" fontId="4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0" xfId="0" applyFont="1"/>
    <xf numFmtId="0" fontId="8" fillId="0" borderId="0" xfId="0" applyFont="1"/>
    <xf numFmtId="164" fontId="7" fillId="0" borderId="0" xfId="0" applyNumberFormat="1" applyFont="1"/>
    <xf numFmtId="0" fontId="9" fillId="2" borderId="9" xfId="0" applyFont="1" applyFill="1" applyBorder="1" applyAlignment="1">
      <alignment horizontal="left"/>
    </xf>
    <xf numFmtId="0" fontId="10" fillId="3" borderId="9" xfId="0" applyFont="1" applyFill="1" applyBorder="1"/>
    <xf numFmtId="0" fontId="9" fillId="2" borderId="9" xfId="0" applyFont="1" applyFill="1" applyBorder="1"/>
    <xf numFmtId="0" fontId="13" fillId="2" borderId="9" xfId="0" applyFont="1" applyFill="1" applyBorder="1"/>
    <xf numFmtId="0" fontId="9" fillId="2" borderId="9" xfId="0" applyFont="1" applyFill="1" applyBorder="1" applyAlignment="1">
      <alignment horizontal="center"/>
    </xf>
    <xf numFmtId="0" fontId="14" fillId="2" borderId="9" xfId="0" applyFont="1" applyFill="1" applyBorder="1"/>
    <xf numFmtId="0" fontId="15" fillId="0" borderId="0" xfId="0" applyFont="1"/>
    <xf numFmtId="0" fontId="9" fillId="2" borderId="13" xfId="0" applyFont="1" applyFill="1" applyBorder="1"/>
    <xf numFmtId="0" fontId="9" fillId="2" borderId="13" xfId="0" applyFont="1" applyFill="1" applyBorder="1" applyAlignment="1">
      <alignment horizontal="center"/>
    </xf>
    <xf numFmtId="0" fontId="16" fillId="2" borderId="1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7" fillId="0" borderId="0" xfId="0" applyFont="1"/>
    <xf numFmtId="165" fontId="7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 applyAlignment="1">
      <alignment horizontal="right"/>
    </xf>
    <xf numFmtId="0" fontId="8" fillId="0" borderId="0" xfId="0" applyFont="1" applyAlignment="1"/>
    <xf numFmtId="0" fontId="17" fillId="0" borderId="0" xfId="0" applyFont="1" applyAlignment="1"/>
    <xf numFmtId="165" fontId="7" fillId="0" borderId="0" xfId="0" applyNumberFormat="1" applyFont="1" applyAlignment="1"/>
    <xf numFmtId="0" fontId="7" fillId="0" borderId="0" xfId="0" applyFont="1" applyAlignment="1"/>
    <xf numFmtId="165" fontId="18" fillId="0" borderId="0" xfId="0" applyNumberFormat="1" applyFont="1" applyAlignment="1">
      <alignment horizontal="right"/>
    </xf>
    <xf numFmtId="165" fontId="19" fillId="0" borderId="0" xfId="0" applyNumberFormat="1" applyFont="1" applyAlignment="1">
      <alignment horizontal="right"/>
    </xf>
    <xf numFmtId="165" fontId="20" fillId="3" borderId="0" xfId="0" applyNumberFormat="1" applyFont="1" applyFill="1" applyAlignment="1">
      <alignment horizontal="left"/>
    </xf>
    <xf numFmtId="165" fontId="21" fillId="0" borderId="0" xfId="0" applyNumberFormat="1" applyFont="1"/>
    <xf numFmtId="0" fontId="1" fillId="0" borderId="14" xfId="0" applyFont="1" applyBorder="1"/>
    <xf numFmtId="0" fontId="1" fillId="0" borderId="15" xfId="0" applyFont="1" applyBorder="1"/>
    <xf numFmtId="165" fontId="1" fillId="0" borderId="15" xfId="0" applyNumberFormat="1" applyFont="1" applyBorder="1"/>
    <xf numFmtId="166" fontId="1" fillId="0" borderId="15" xfId="0" applyNumberFormat="1" applyFont="1" applyBorder="1"/>
    <xf numFmtId="0" fontId="1" fillId="0" borderId="16" xfId="0" applyFont="1" applyBorder="1"/>
    <xf numFmtId="165" fontId="6" fillId="0" borderId="0" xfId="0" applyNumberFormat="1" applyFont="1"/>
    <xf numFmtId="166" fontId="1" fillId="0" borderId="0" xfId="0" applyNumberFormat="1" applyFont="1"/>
    <xf numFmtId="0" fontId="22" fillId="4" borderId="17" xfId="0" applyFont="1" applyFill="1" applyBorder="1"/>
    <xf numFmtId="0" fontId="22" fillId="4" borderId="18" xfId="0" applyFont="1" applyFill="1" applyBorder="1"/>
    <xf numFmtId="165" fontId="23" fillId="4" borderId="18" xfId="0" applyNumberFormat="1" applyFont="1" applyFill="1" applyBorder="1"/>
    <xf numFmtId="0" fontId="23" fillId="4" borderId="18" xfId="0" applyFont="1" applyFill="1" applyBorder="1"/>
    <xf numFmtId="166" fontId="22" fillId="4" borderId="18" xfId="0" applyNumberFormat="1" applyFont="1" applyFill="1" applyBorder="1"/>
    <xf numFmtId="0" fontId="22" fillId="0" borderId="0" xfId="0" applyFont="1"/>
    <xf numFmtId="0" fontId="1" fillId="0" borderId="19" xfId="0" applyFont="1" applyBorder="1"/>
    <xf numFmtId="0" fontId="22" fillId="0" borderId="20" xfId="0" applyFont="1" applyBorder="1"/>
    <xf numFmtId="165" fontId="6" fillId="0" borderId="20" xfId="0" applyNumberFormat="1" applyFont="1" applyBorder="1"/>
    <xf numFmtId="0" fontId="6" fillId="0" borderId="20" xfId="0" applyFont="1" applyBorder="1"/>
    <xf numFmtId="166" fontId="1" fillId="0" borderId="20" xfId="0" applyNumberFormat="1" applyFont="1" applyBorder="1"/>
    <xf numFmtId="0" fontId="15" fillId="5" borderId="17" xfId="0" applyFont="1" applyFill="1" applyBorder="1"/>
    <xf numFmtId="0" fontId="15" fillId="5" borderId="18" xfId="0" applyFont="1" applyFill="1" applyBorder="1"/>
    <xf numFmtId="165" fontId="24" fillId="5" borderId="18" xfId="0" applyNumberFormat="1" applyFont="1" applyFill="1" applyBorder="1"/>
    <xf numFmtId="0" fontId="24" fillId="5" borderId="18" xfId="0" applyFont="1" applyFill="1" applyBorder="1"/>
    <xf numFmtId="165" fontId="25" fillId="5" borderId="18" xfId="0" applyNumberFormat="1" applyFont="1" applyFill="1" applyBorder="1"/>
    <xf numFmtId="10" fontId="15" fillId="5" borderId="18" xfId="0" applyNumberFormat="1" applyFont="1" applyFill="1" applyBorder="1" applyAlignment="1">
      <alignment horizontal="right"/>
    </xf>
    <xf numFmtId="0" fontId="16" fillId="2" borderId="9" xfId="0" applyFont="1" applyFill="1" applyBorder="1" applyAlignment="1">
      <alignment horizontal="center"/>
    </xf>
    <xf numFmtId="0" fontId="27" fillId="0" borderId="14" xfId="0" applyFont="1" applyBorder="1"/>
    <xf numFmtId="0" fontId="8" fillId="0" borderId="21" xfId="0" applyFont="1" applyBorder="1"/>
    <xf numFmtId="0" fontId="28" fillId="3" borderId="9" xfId="0" applyFont="1" applyFill="1" applyBorder="1"/>
    <xf numFmtId="0" fontId="8" fillId="0" borderId="22" xfId="0" applyFont="1" applyBorder="1"/>
    <xf numFmtId="167" fontId="1" fillId="0" borderId="0" xfId="0" applyNumberFormat="1" applyFont="1" applyAlignment="1">
      <alignment horizontal="right"/>
    </xf>
    <xf numFmtId="167" fontId="1" fillId="0" borderId="0" xfId="0" applyNumberFormat="1" applyFont="1"/>
    <xf numFmtId="0" fontId="5" fillId="0" borderId="16" xfId="0" applyFont="1" applyBorder="1"/>
    <xf numFmtId="0" fontId="0" fillId="3" borderId="9" xfId="0" applyFont="1" applyFill="1" applyBorder="1"/>
    <xf numFmtId="0" fontId="29" fillId="3" borderId="9" xfId="0" applyFont="1" applyFill="1" applyBorder="1"/>
    <xf numFmtId="0" fontId="28" fillId="0" borderId="0" xfId="0" applyFont="1"/>
    <xf numFmtId="0" fontId="10" fillId="0" borderId="0" xfId="0" applyFont="1"/>
    <xf numFmtId="0" fontId="0" fillId="0" borderId="0" xfId="0" applyFont="1"/>
    <xf numFmtId="0" fontId="30" fillId="0" borderId="0" xfId="0" applyFont="1" applyAlignment="1">
      <alignment horizontal="left"/>
    </xf>
    <xf numFmtId="167" fontId="8" fillId="0" borderId="0" xfId="0" applyNumberFormat="1" applyFont="1"/>
    <xf numFmtId="0" fontId="31" fillId="0" borderId="0" xfId="0" applyFont="1"/>
    <xf numFmtId="165" fontId="31" fillId="0" borderId="0" xfId="0" applyNumberFormat="1" applyFont="1"/>
    <xf numFmtId="165" fontId="8" fillId="0" borderId="0" xfId="0" applyNumberFormat="1" applyFont="1"/>
    <xf numFmtId="165" fontId="30" fillId="0" borderId="0" xfId="0" applyNumberFormat="1" applyFont="1"/>
    <xf numFmtId="0" fontId="5" fillId="0" borderId="19" xfId="0" applyFont="1" applyBorder="1"/>
    <xf numFmtId="0" fontId="8" fillId="0" borderId="23" xfId="0" applyFont="1" applyBorder="1"/>
    <xf numFmtId="167" fontId="1" fillId="0" borderId="15" xfId="0" applyNumberFormat="1" applyFont="1" applyBorder="1"/>
    <xf numFmtId="167" fontId="1" fillId="0" borderId="21" xfId="0" applyNumberFormat="1" applyFont="1" applyBorder="1"/>
    <xf numFmtId="167" fontId="1" fillId="0" borderId="22" xfId="0" applyNumberFormat="1" applyFont="1" applyBorder="1"/>
    <xf numFmtId="167" fontId="22" fillId="4" borderId="18" xfId="0" applyNumberFormat="1" applyFont="1" applyFill="1" applyBorder="1"/>
    <xf numFmtId="167" fontId="22" fillId="4" borderId="24" xfId="0" applyNumberFormat="1" applyFont="1" applyFill="1" applyBorder="1"/>
    <xf numFmtId="0" fontId="1" fillId="0" borderId="20" xfId="0" applyFont="1" applyBorder="1"/>
    <xf numFmtId="167" fontId="1" fillId="0" borderId="20" xfId="0" applyNumberFormat="1" applyFont="1" applyBorder="1"/>
    <xf numFmtId="167" fontId="1" fillId="0" borderId="23" xfId="0" applyNumberFormat="1" applyFont="1" applyBorder="1"/>
    <xf numFmtId="0" fontId="24" fillId="5" borderId="17" xfId="0" applyFont="1" applyFill="1" applyBorder="1"/>
    <xf numFmtId="165" fontId="15" fillId="5" borderId="18" xfId="0" applyNumberFormat="1" applyFont="1" applyFill="1" applyBorder="1"/>
    <xf numFmtId="167" fontId="10" fillId="0" borderId="0" xfId="0" applyNumberFormat="1" applyFont="1"/>
    <xf numFmtId="167" fontId="15" fillId="5" borderId="18" xfId="0" applyNumberFormat="1" applyFont="1" applyFill="1" applyBorder="1" applyAlignment="1">
      <alignment horizontal="right"/>
    </xf>
    <xf numFmtId="167" fontId="15" fillId="5" borderId="18" xfId="0" applyNumberFormat="1" applyFont="1" applyFill="1" applyBorder="1"/>
    <xf numFmtId="167" fontId="32" fillId="0" borderId="0" xfId="0" applyNumberFormat="1" applyFont="1"/>
    <xf numFmtId="0" fontId="33" fillId="0" borderId="0" xfId="0" applyFont="1"/>
    <xf numFmtId="165" fontId="32" fillId="0" borderId="0" xfId="0" applyNumberFormat="1" applyFont="1"/>
    <xf numFmtId="0" fontId="32" fillId="0" borderId="0" xfId="0" applyFont="1"/>
    <xf numFmtId="0" fontId="34" fillId="0" borderId="0" xfId="0" applyFont="1"/>
    <xf numFmtId="0" fontId="17" fillId="6" borderId="0" xfId="0" applyFont="1" applyFill="1"/>
    <xf numFmtId="0" fontId="17" fillId="7" borderId="0" xfId="0" applyFont="1" applyFill="1"/>
    <xf numFmtId="0" fontId="8" fillId="0" borderId="0" xfId="0" applyFont="1"/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/>
    <xf numFmtId="0" fontId="1" fillId="0" borderId="0" xfId="0" applyFont="1"/>
    <xf numFmtId="0" fontId="8" fillId="0" borderId="0" xfId="0" applyFont="1"/>
    <xf numFmtId="0" fontId="6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7" fillId="9" borderId="0" xfId="0" applyFont="1" applyFill="1"/>
    <xf numFmtId="165" fontId="7" fillId="9" borderId="0" xfId="0" applyNumberFormat="1" applyFont="1" applyFill="1"/>
    <xf numFmtId="0" fontId="7" fillId="9" borderId="0" xfId="0" applyFont="1" applyFill="1"/>
    <xf numFmtId="165" fontId="1" fillId="9" borderId="0" xfId="0" applyNumberFormat="1" applyFont="1" applyFill="1"/>
    <xf numFmtId="0" fontId="1" fillId="9" borderId="0" xfId="0" applyFont="1" applyFill="1"/>
    <xf numFmtId="167" fontId="1" fillId="9" borderId="0" xfId="0" applyNumberFormat="1" applyFont="1" applyFill="1" applyAlignment="1">
      <alignment horizontal="right"/>
    </xf>
    <xf numFmtId="167" fontId="1" fillId="9" borderId="0" xfId="0" applyNumberFormat="1" applyFont="1" applyFill="1"/>
    <xf numFmtId="0" fontId="1" fillId="10" borderId="0" xfId="0" applyFont="1" applyFill="1"/>
    <xf numFmtId="0" fontId="1" fillId="10" borderId="0" xfId="0" applyFont="1" applyFill="1" applyAlignment="1">
      <alignment horizontal="center"/>
    </xf>
    <xf numFmtId="0" fontId="22" fillId="10" borderId="0" xfId="0" applyFont="1" applyFill="1" applyAlignment="1">
      <alignment horizontal="center"/>
    </xf>
    <xf numFmtId="0" fontId="37" fillId="10" borderId="0" xfId="0" applyFont="1" applyFill="1"/>
    <xf numFmtId="0" fontId="36" fillId="10" borderId="0" xfId="0" applyFont="1" applyFill="1" applyAlignment="1">
      <alignment horizontal="center"/>
    </xf>
    <xf numFmtId="0" fontId="37" fillId="10" borderId="0" xfId="0" applyFont="1" applyFill="1" applyAlignment="1">
      <alignment horizontal="center"/>
    </xf>
    <xf numFmtId="0" fontId="13" fillId="2" borderId="12" xfId="0" applyFont="1" applyFill="1" applyBorder="1"/>
    <xf numFmtId="0" fontId="16" fillId="2" borderId="20" xfId="0" applyFont="1" applyFill="1" applyBorder="1" applyAlignment="1">
      <alignment horizontal="center"/>
    </xf>
    <xf numFmtId="166" fontId="1" fillId="9" borderId="0" xfId="0" applyNumberFormat="1" applyFont="1" applyFill="1" applyAlignment="1">
      <alignment horizontal="right"/>
    </xf>
    <xf numFmtId="0" fontId="16" fillId="2" borderId="20" xfId="0" applyFont="1" applyFill="1" applyBorder="1" applyAlignment="1">
      <alignment horizontal="center" vertical="center"/>
    </xf>
    <xf numFmtId="168" fontId="7" fillId="9" borderId="0" xfId="1" applyNumberFormat="1" applyFont="1" applyFill="1"/>
    <xf numFmtId="0" fontId="8" fillId="0" borderId="0" xfId="0" applyFont="1"/>
    <xf numFmtId="0" fontId="0" fillId="0" borderId="0" xfId="0" applyFont="1" applyAlignment="1"/>
    <xf numFmtId="0" fontId="1" fillId="0" borderId="0" xfId="0" applyFont="1"/>
    <xf numFmtId="0" fontId="15" fillId="0" borderId="0" xfId="0" applyFont="1"/>
    <xf numFmtId="0" fontId="11" fillId="2" borderId="10" xfId="0" applyFont="1" applyFill="1" applyBorder="1" applyAlignment="1">
      <alignment horizontal="center"/>
    </xf>
    <xf numFmtId="0" fontId="12" fillId="0" borderId="11" xfId="0" applyFont="1" applyBorder="1"/>
    <xf numFmtId="0" fontId="12" fillId="0" borderId="12" xfId="0" applyFont="1" applyBorder="1"/>
    <xf numFmtId="0" fontId="26" fillId="2" borderId="10" xfId="0" applyFont="1" applyFill="1" applyBorder="1" applyAlignment="1">
      <alignment horizontal="center"/>
    </xf>
    <xf numFmtId="0" fontId="2" fillId="0" borderId="0" xfId="0" applyFont="1"/>
    <xf numFmtId="0" fontId="9" fillId="2" borderId="12" xfId="0" applyFont="1" applyFill="1" applyBorder="1" applyAlignment="1">
      <alignment horizontal="center" vertical="center"/>
    </xf>
    <xf numFmtId="0" fontId="38" fillId="10" borderId="12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/>
    </xf>
    <xf numFmtId="0" fontId="12" fillId="10" borderId="12" xfId="0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barChart>
        <c:barDir val="col"/>
        <c:grouping val="stacked"/>
        <c:varyColors val="1"/>
        <c:ser>
          <c:idx val="0"/>
          <c:order val="0"/>
          <c:spPr>
            <a:solidFill>
              <a:srgbClr val="000000"/>
            </a:solidFill>
          </c:spPr>
          <c:invertIfNegative val="1"/>
          <c:cat>
            <c:strRef>
              <c:f>'Recap Info - NO TOCAR'!$B$31:$B$39</c:f>
              <c:strCache>
                <c:ptCount val="9"/>
                <c:pt idx="0">
                  <c:v>2016 EV / Revenue:</c:v>
                </c:pt>
                <c:pt idx="1">
                  <c:v>2017 EV / Revenue:</c:v>
                </c:pt>
                <c:pt idx="2">
                  <c:v>FY 18 EV / Revenue:</c:v>
                </c:pt>
                <c:pt idx="3">
                  <c:v>2016 EV / EBITDA:</c:v>
                </c:pt>
                <c:pt idx="4">
                  <c:v>2017 EV / EBITDA:</c:v>
                </c:pt>
                <c:pt idx="5">
                  <c:v>FY 18 EV / EBITDA:</c:v>
                </c:pt>
                <c:pt idx="6">
                  <c:v>2016 P / E:</c:v>
                </c:pt>
                <c:pt idx="7">
                  <c:v>2017 P / E:</c:v>
                </c:pt>
                <c:pt idx="8">
                  <c:v>FY 18 P / E:</c:v>
                </c:pt>
              </c:strCache>
            </c:strRef>
          </c:cat>
          <c:val>
            <c:numRef>
              <c:f>'Recap Info - NO TOCAR'!$C$31:$C$39</c:f>
              <c:numCache>
                <c:formatCode>0.0\x</c:formatCode>
                <c:ptCount val="9"/>
                <c:pt idx="0">
                  <c:v>1.8258930685203574</c:v>
                </c:pt>
                <c:pt idx="1">
                  <c:v>1.3992955251141552</c:v>
                </c:pt>
                <c:pt idx="2">
                  <c:v>1.2233362075848302</c:v>
                </c:pt>
                <c:pt idx="3">
                  <c:v>8.2083674999999996</c:v>
                </c:pt>
                <c:pt idx="4">
                  <c:v>6.5666939999999991</c:v>
                </c:pt>
                <c:pt idx="5">
                  <c:v>5.6924901547987616</c:v>
                </c:pt>
                <c:pt idx="6">
                  <c:v>14.462455539568344</c:v>
                </c:pt>
                <c:pt idx="7">
                  <c:v>9.4379404694835678</c:v>
                </c:pt>
                <c:pt idx="8">
                  <c:v>3.2319635369774917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B130-45D4-B1BB-EC728E434D43}"/>
            </c:ext>
          </c:extLst>
        </c:ser>
        <c:ser>
          <c:idx val="1"/>
          <c:order val="1"/>
          <c:spPr>
            <a:solidFill>
              <a:srgbClr val="ED7D31"/>
            </a:solidFill>
          </c:spPr>
          <c:invertIfNegative val="1"/>
          <c:cat>
            <c:strRef>
              <c:f>'Recap Info - NO TOCAR'!$B$31:$B$39</c:f>
              <c:strCache>
                <c:ptCount val="9"/>
                <c:pt idx="0">
                  <c:v>2016 EV / Revenue:</c:v>
                </c:pt>
                <c:pt idx="1">
                  <c:v>2017 EV / Revenue:</c:v>
                </c:pt>
                <c:pt idx="2">
                  <c:v>FY 18 EV / Revenue:</c:v>
                </c:pt>
                <c:pt idx="3">
                  <c:v>2016 EV / EBITDA:</c:v>
                </c:pt>
                <c:pt idx="4">
                  <c:v>2017 EV / EBITDA:</c:v>
                </c:pt>
                <c:pt idx="5">
                  <c:v>FY 18 EV / EBITDA:</c:v>
                </c:pt>
                <c:pt idx="6">
                  <c:v>2016 P / E:</c:v>
                </c:pt>
                <c:pt idx="7">
                  <c:v>2017 P / E:</c:v>
                </c:pt>
                <c:pt idx="8">
                  <c:v>FY 18 P / E:</c:v>
                </c:pt>
              </c:strCache>
            </c:strRef>
          </c:cat>
          <c:val>
            <c:numRef>
              <c:f>'Recap Info - NO TOCAR'!$D$31:$D$39</c:f>
              <c:numCache>
                <c:formatCode>0.0\x</c:formatCode>
                <c:ptCount val="9"/>
                <c:pt idx="0">
                  <c:v>0.44263369560148313</c:v>
                </c:pt>
                <c:pt idx="1">
                  <c:v>0.96490030600450449</c:v>
                </c:pt>
                <c:pt idx="2">
                  <c:v>1.2292457410472195</c:v>
                </c:pt>
                <c:pt idx="3">
                  <c:v>7.1383379824561413</c:v>
                </c:pt>
                <c:pt idx="4">
                  <c:v>7.0281949084817503</c:v>
                </c:pt>
                <c:pt idx="5">
                  <c:v>7.5891615693391703</c:v>
                </c:pt>
                <c:pt idx="6">
                  <c:v>7.6798270645972568</c:v>
                </c:pt>
                <c:pt idx="7">
                  <c:v>6.8939730763352891</c:v>
                </c:pt>
                <c:pt idx="8">
                  <c:v>13.886772147633284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B130-45D4-B1BB-EC728E434D43}"/>
            </c:ext>
          </c:extLst>
        </c:ser>
        <c:ser>
          <c:idx val="2"/>
          <c:order val="2"/>
          <c:spPr>
            <a:solidFill>
              <a:srgbClr val="A5A5A5"/>
            </a:solidFill>
          </c:spPr>
          <c:invertIfNegative val="1"/>
          <c:cat>
            <c:strRef>
              <c:f>'Recap Info - NO TOCAR'!$B$31:$B$39</c:f>
              <c:strCache>
                <c:ptCount val="9"/>
                <c:pt idx="0">
                  <c:v>2016 EV / Revenue:</c:v>
                </c:pt>
                <c:pt idx="1">
                  <c:v>2017 EV / Revenue:</c:v>
                </c:pt>
                <c:pt idx="2">
                  <c:v>FY 18 EV / Revenue:</c:v>
                </c:pt>
                <c:pt idx="3">
                  <c:v>2016 EV / EBITDA:</c:v>
                </c:pt>
                <c:pt idx="4">
                  <c:v>2017 EV / EBITDA:</c:v>
                </c:pt>
                <c:pt idx="5">
                  <c:v>FY 18 EV / EBITDA:</c:v>
                </c:pt>
                <c:pt idx="6">
                  <c:v>2016 P / E:</c:v>
                </c:pt>
                <c:pt idx="7">
                  <c:v>2017 P / E:</c:v>
                </c:pt>
                <c:pt idx="8">
                  <c:v>FY 18 P / E:</c:v>
                </c:pt>
              </c:strCache>
            </c:strRef>
          </c:cat>
          <c:val>
            <c:numRef>
              <c:f>'Recap Info - NO TOCAR'!$E$31:$E$39</c:f>
              <c:numCache>
                <c:formatCode>0.0\x</c:formatCode>
                <c:ptCount val="9"/>
                <c:pt idx="0">
                  <c:v>3.5559545570402968</c:v>
                </c:pt>
                <c:pt idx="1">
                  <c:v>4.1883292832473122</c:v>
                </c:pt>
                <c:pt idx="2">
                  <c:v>3.3927348886688282</c:v>
                </c:pt>
                <c:pt idx="3">
                  <c:v>6.1124234339525252</c:v>
                </c:pt>
                <c:pt idx="4">
                  <c:v>10.426381679753547</c:v>
                </c:pt>
                <c:pt idx="5">
                  <c:v>8.2110640653357532</c:v>
                </c:pt>
                <c:pt idx="6">
                  <c:v>6.1891206678932207</c:v>
                </c:pt>
                <c:pt idx="7">
                  <c:v>8.2376968889637467</c:v>
                </c:pt>
                <c:pt idx="8">
                  <c:v>5.3514210693089694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B130-45D4-B1BB-EC728E434D43}"/>
            </c:ext>
          </c:extLst>
        </c:ser>
        <c:ser>
          <c:idx val="3"/>
          <c:order val="3"/>
          <c:spPr>
            <a:solidFill>
              <a:srgbClr val="FFC000"/>
            </a:solidFill>
          </c:spPr>
          <c:invertIfNegative val="1"/>
          <c:cat>
            <c:strRef>
              <c:f>'Recap Info - NO TOCAR'!$B$31:$B$39</c:f>
              <c:strCache>
                <c:ptCount val="9"/>
                <c:pt idx="0">
                  <c:v>2016 EV / Revenue:</c:v>
                </c:pt>
                <c:pt idx="1">
                  <c:v>2017 EV / Revenue:</c:v>
                </c:pt>
                <c:pt idx="2">
                  <c:v>FY 18 EV / Revenue:</c:v>
                </c:pt>
                <c:pt idx="3">
                  <c:v>2016 EV / EBITDA:</c:v>
                </c:pt>
                <c:pt idx="4">
                  <c:v>2017 EV / EBITDA:</c:v>
                </c:pt>
                <c:pt idx="5">
                  <c:v>FY 18 EV / EBITDA:</c:v>
                </c:pt>
                <c:pt idx="6">
                  <c:v>2016 P / E:</c:v>
                </c:pt>
                <c:pt idx="7">
                  <c:v>2017 P / E:</c:v>
                </c:pt>
                <c:pt idx="8">
                  <c:v>FY 18 P / E:</c:v>
                </c:pt>
              </c:strCache>
            </c:strRef>
          </c:cat>
          <c:val>
            <c:numRef>
              <c:f>'Recap Info - NO TOCAR'!$F$31:$F$39</c:f>
              <c:numCache>
                <c:formatCode>0.0\x</c:formatCode>
                <c:ptCount val="9"/>
                <c:pt idx="0">
                  <c:v>7.8933403121587062</c:v>
                </c:pt>
                <c:pt idx="1">
                  <c:v>3.4583869590705465</c:v>
                </c:pt>
                <c:pt idx="2">
                  <c:v>2.826733208163736</c:v>
                </c:pt>
                <c:pt idx="3">
                  <c:v>14.727076414031323</c:v>
                </c:pt>
                <c:pt idx="4">
                  <c:v>12.426660826859049</c:v>
                </c:pt>
                <c:pt idx="5">
                  <c:v>7.2320480023478808</c:v>
                </c:pt>
                <c:pt idx="6">
                  <c:v>4.7552736610575437</c:v>
                </c:pt>
                <c:pt idx="7">
                  <c:v>26.87334098399586</c:v>
                </c:pt>
                <c:pt idx="8">
                  <c:v>2.850827641838876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3-B130-45D4-B1BB-EC728E434D43}"/>
            </c:ext>
          </c:extLst>
        </c:ser>
        <c:ser>
          <c:idx val="4"/>
          <c:order val="4"/>
          <c:spPr>
            <a:solidFill>
              <a:srgbClr val="4472C4"/>
            </a:solidFill>
          </c:spPr>
          <c:invertIfNegative val="1"/>
          <c:cat>
            <c:strRef>
              <c:f>'Recap Info - NO TOCAR'!$B$31:$B$39</c:f>
              <c:strCache>
                <c:ptCount val="9"/>
                <c:pt idx="0">
                  <c:v>2016 EV / Revenue:</c:v>
                </c:pt>
                <c:pt idx="1">
                  <c:v>2017 EV / Revenue:</c:v>
                </c:pt>
                <c:pt idx="2">
                  <c:v>FY 18 EV / Revenue:</c:v>
                </c:pt>
                <c:pt idx="3">
                  <c:v>2016 EV / EBITDA:</c:v>
                </c:pt>
                <c:pt idx="4">
                  <c:v>2017 EV / EBITDA:</c:v>
                </c:pt>
                <c:pt idx="5">
                  <c:v>FY 18 EV / EBITDA:</c:v>
                </c:pt>
                <c:pt idx="6">
                  <c:v>2016 P / E:</c:v>
                </c:pt>
                <c:pt idx="7">
                  <c:v>2017 P / E:</c:v>
                </c:pt>
                <c:pt idx="8">
                  <c:v>FY 18 P / E:</c:v>
                </c:pt>
              </c:strCache>
            </c:strRef>
          </c:cat>
          <c:val>
            <c:numRef>
              <c:f>'Recap Info - NO TOCAR'!$G$31:$G$39</c:f>
              <c:numCache>
                <c:formatCode>0.0\x</c:formatCode>
                <c:ptCount val="9"/>
                <c:pt idx="0">
                  <c:v>38.878272057363226</c:v>
                </c:pt>
                <c:pt idx="1">
                  <c:v>17.308690008828737</c:v>
                </c:pt>
                <c:pt idx="2">
                  <c:v>9.988703395798213</c:v>
                </c:pt>
                <c:pt idx="3">
                  <c:v>46.702591370590923</c:v>
                </c:pt>
                <c:pt idx="4">
                  <c:v>28.91965622718206</c:v>
                </c:pt>
                <c:pt idx="5">
                  <c:v>66.384574311935154</c:v>
                </c:pt>
                <c:pt idx="6">
                  <c:v>64.711289982572012</c:v>
                </c:pt>
                <c:pt idx="7">
                  <c:v>47.244248581221541</c:v>
                </c:pt>
                <c:pt idx="8">
                  <c:v>1.3333554790326971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4-B130-45D4-B1BB-EC728E434D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30680110"/>
        <c:axId val="574628602"/>
      </c:barChart>
      <c:catAx>
        <c:axId val="14306801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s-ES"/>
          </a:p>
        </c:txPr>
        <c:crossAx val="574628602"/>
        <c:crosses val="autoZero"/>
        <c:auto val="1"/>
        <c:lblAlgn val="ctr"/>
        <c:lblOffset val="100"/>
        <c:noMultiLvlLbl val="1"/>
      </c:catAx>
      <c:valAx>
        <c:axId val="5746286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0.0\x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s-ES"/>
          </a:p>
        </c:txPr>
        <c:crossAx val="1430680110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barChart>
        <c:barDir val="col"/>
        <c:grouping val="stacked"/>
        <c:varyColors val="1"/>
        <c:ser>
          <c:idx val="0"/>
          <c:order val="0"/>
          <c:spPr>
            <a:solidFill>
              <a:srgbClr val="000000"/>
            </a:solidFill>
          </c:spPr>
          <c:invertIfNegative val="1"/>
          <c:cat>
            <c:strRef>
              <c:f>'Recap Info - NO TOCAR'!$B$40</c:f>
              <c:strCache>
                <c:ptCount val="1"/>
                <c:pt idx="0">
                  <c:v>DEBT / EQUITY</c:v>
                </c:pt>
              </c:strCache>
            </c:strRef>
          </c:cat>
          <c:val>
            <c:numRef>
              <c:f>'Recap Info - NO TOCAR'!$C$40</c:f>
              <c:numCache>
                <c:formatCode>0.0\x</c:formatCode>
                <c:ptCount val="1"/>
                <c:pt idx="0">
                  <c:v>0.20590417926116308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619D-4DEF-92EC-BDF5C05D1947}"/>
            </c:ext>
          </c:extLst>
        </c:ser>
        <c:ser>
          <c:idx val="1"/>
          <c:order val="1"/>
          <c:spPr>
            <a:solidFill>
              <a:srgbClr val="ED7D31"/>
            </a:solidFill>
          </c:spPr>
          <c:invertIfNegative val="1"/>
          <c:cat>
            <c:strRef>
              <c:f>'Recap Info - NO TOCAR'!$B$40</c:f>
              <c:strCache>
                <c:ptCount val="1"/>
                <c:pt idx="0">
                  <c:v>DEBT / EQUITY</c:v>
                </c:pt>
              </c:strCache>
            </c:strRef>
          </c:cat>
          <c:val>
            <c:numRef>
              <c:f>'Recap Info - NO TOCAR'!$D$40</c:f>
              <c:numCache>
                <c:formatCode>0.0\x</c:formatCode>
                <c:ptCount val="1"/>
                <c:pt idx="0">
                  <c:v>0.25032168489222273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619D-4DEF-92EC-BDF5C05D1947}"/>
            </c:ext>
          </c:extLst>
        </c:ser>
        <c:ser>
          <c:idx val="2"/>
          <c:order val="2"/>
          <c:spPr>
            <a:solidFill>
              <a:srgbClr val="A5A5A5"/>
            </a:solidFill>
          </c:spPr>
          <c:invertIfNegative val="1"/>
          <c:cat>
            <c:strRef>
              <c:f>'Recap Info - NO TOCAR'!$B$40</c:f>
              <c:strCache>
                <c:ptCount val="1"/>
                <c:pt idx="0">
                  <c:v>DEBT / EQUITY</c:v>
                </c:pt>
              </c:strCache>
            </c:strRef>
          </c:cat>
          <c:val>
            <c:numRef>
              <c:f>'Recap Info - NO TOCAR'!$E$40</c:f>
              <c:numCache>
                <c:formatCode>0.0\x</c:formatCode>
                <c:ptCount val="1"/>
                <c:pt idx="0">
                  <c:v>0.25739484396282503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619D-4DEF-92EC-BDF5C05D1947}"/>
            </c:ext>
          </c:extLst>
        </c:ser>
        <c:ser>
          <c:idx val="3"/>
          <c:order val="3"/>
          <c:spPr>
            <a:solidFill>
              <a:srgbClr val="FFC000"/>
            </a:solidFill>
          </c:spPr>
          <c:invertIfNegative val="1"/>
          <c:cat>
            <c:strRef>
              <c:f>'Recap Info - NO TOCAR'!$B$40</c:f>
              <c:strCache>
                <c:ptCount val="1"/>
                <c:pt idx="0">
                  <c:v>DEBT / EQUITY</c:v>
                </c:pt>
              </c:strCache>
            </c:strRef>
          </c:cat>
          <c:val>
            <c:numRef>
              <c:f>'Recap Info - NO TOCAR'!$F$40</c:f>
              <c:numCache>
                <c:formatCode>0.0\x</c:formatCode>
                <c:ptCount val="1"/>
                <c:pt idx="0">
                  <c:v>0.87658394456831956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3-619D-4DEF-92EC-BDF5C05D1947}"/>
            </c:ext>
          </c:extLst>
        </c:ser>
        <c:ser>
          <c:idx val="4"/>
          <c:order val="4"/>
          <c:spPr>
            <a:solidFill>
              <a:srgbClr val="4472C4"/>
            </a:solidFill>
          </c:spPr>
          <c:invertIfNegative val="1"/>
          <c:cat>
            <c:strRef>
              <c:f>'Recap Info - NO TOCAR'!$B$40</c:f>
              <c:strCache>
                <c:ptCount val="1"/>
                <c:pt idx="0">
                  <c:v>DEBT / EQUITY</c:v>
                </c:pt>
              </c:strCache>
            </c:strRef>
          </c:cat>
          <c:val>
            <c:numRef>
              <c:f>'Recap Info - NO TOCAR'!$G$40</c:f>
              <c:numCache>
                <c:formatCode>0.0\x</c:formatCode>
                <c:ptCount val="1"/>
                <c:pt idx="0">
                  <c:v>3.4433319326813239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4-619D-4DEF-92EC-BDF5C05D19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7223182"/>
        <c:axId val="1754293956"/>
      </c:barChart>
      <c:catAx>
        <c:axId val="572231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s-ES"/>
          </a:p>
        </c:txPr>
        <c:crossAx val="1754293956"/>
        <c:crosses val="autoZero"/>
        <c:auto val="1"/>
        <c:lblAlgn val="ctr"/>
        <c:lblOffset val="100"/>
        <c:noMultiLvlLbl val="1"/>
      </c:catAx>
      <c:valAx>
        <c:axId val="17542939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0.0\x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s-ES"/>
          </a:p>
        </c:txPr>
        <c:crossAx val="57223182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barChart>
        <c:barDir val="col"/>
        <c:grouping val="stacked"/>
        <c:varyColors val="1"/>
        <c:ser>
          <c:idx val="0"/>
          <c:order val="0"/>
          <c:spPr>
            <a:solidFill>
              <a:srgbClr val="000000"/>
            </a:solidFill>
          </c:spPr>
          <c:invertIfNegative val="1"/>
          <c:cat>
            <c:strRef>
              <c:f>'Recap Info - NO TOCAR'!$B$41</c:f>
              <c:strCache>
                <c:ptCount val="1"/>
                <c:pt idx="0">
                  <c:v>EBITDA / INT. EXPENSES</c:v>
                </c:pt>
              </c:strCache>
            </c:strRef>
          </c:cat>
          <c:val>
            <c:numRef>
              <c:f>'Recap Info - NO TOCAR'!$C$41</c:f>
              <c:numCache>
                <c:formatCode>0.0\x</c:formatCode>
                <c:ptCount val="1"/>
                <c:pt idx="0">
                  <c:v>2.1586384071933202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6D7D-4C79-8620-FCA38782057D}"/>
            </c:ext>
          </c:extLst>
        </c:ser>
        <c:ser>
          <c:idx val="1"/>
          <c:order val="1"/>
          <c:spPr>
            <a:solidFill>
              <a:srgbClr val="ED7D31"/>
            </a:solidFill>
          </c:spPr>
          <c:invertIfNegative val="1"/>
          <c:cat>
            <c:strRef>
              <c:f>'Recap Info - NO TOCAR'!$B$41</c:f>
              <c:strCache>
                <c:ptCount val="1"/>
                <c:pt idx="0">
                  <c:v>EBITDA / INT. EXPENSES</c:v>
                </c:pt>
              </c:strCache>
            </c:strRef>
          </c:cat>
          <c:val>
            <c:numRef>
              <c:f>'Recap Info - NO TOCAR'!$D$41</c:f>
              <c:numCache>
                <c:formatCode>0.0\x</c:formatCode>
                <c:ptCount val="1"/>
                <c:pt idx="0">
                  <c:v>3.5080282594733467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6D7D-4C79-8620-FCA38782057D}"/>
            </c:ext>
          </c:extLst>
        </c:ser>
        <c:ser>
          <c:idx val="2"/>
          <c:order val="2"/>
          <c:spPr>
            <a:solidFill>
              <a:srgbClr val="A5A5A5"/>
            </a:solidFill>
          </c:spPr>
          <c:invertIfNegative val="1"/>
          <c:cat>
            <c:strRef>
              <c:f>'Recap Info - NO TOCAR'!$B$41</c:f>
              <c:strCache>
                <c:ptCount val="1"/>
                <c:pt idx="0">
                  <c:v>EBITDA / INT. EXPENSES</c:v>
                </c:pt>
              </c:strCache>
            </c:strRef>
          </c:cat>
          <c:val>
            <c:numRef>
              <c:f>'Recap Info - NO TOCAR'!$E$41</c:f>
              <c:numCache>
                <c:formatCode>0.0\x</c:formatCode>
                <c:ptCount val="1"/>
                <c:pt idx="0">
                  <c:v>4.7543859649122799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6D7D-4C79-8620-FCA38782057D}"/>
            </c:ext>
          </c:extLst>
        </c:ser>
        <c:ser>
          <c:idx val="3"/>
          <c:order val="3"/>
          <c:spPr>
            <a:solidFill>
              <a:srgbClr val="FFC000"/>
            </a:solidFill>
          </c:spPr>
          <c:invertIfNegative val="1"/>
          <c:cat>
            <c:strRef>
              <c:f>'Recap Info - NO TOCAR'!$B$41</c:f>
              <c:strCache>
                <c:ptCount val="1"/>
                <c:pt idx="0">
                  <c:v>EBITDA / INT. EXPENSES</c:v>
                </c:pt>
              </c:strCache>
            </c:strRef>
          </c:cat>
          <c:val>
            <c:numRef>
              <c:f>'Recap Info - NO TOCAR'!$F$41</c:f>
              <c:numCache>
                <c:formatCode>0.0\x</c:formatCode>
                <c:ptCount val="1"/>
                <c:pt idx="0">
                  <c:v>3.8832951945080083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3-6D7D-4C79-8620-FCA38782057D}"/>
            </c:ext>
          </c:extLst>
        </c:ser>
        <c:ser>
          <c:idx val="4"/>
          <c:order val="4"/>
          <c:spPr>
            <a:solidFill>
              <a:srgbClr val="4472C4"/>
            </a:solidFill>
          </c:spPr>
          <c:invertIfNegative val="1"/>
          <c:cat>
            <c:strRef>
              <c:f>'Recap Info - NO TOCAR'!$B$41</c:f>
              <c:strCache>
                <c:ptCount val="1"/>
                <c:pt idx="0">
                  <c:v>EBITDA / INT. EXPENSES</c:v>
                </c:pt>
              </c:strCache>
            </c:strRef>
          </c:cat>
          <c:val>
            <c:numRef>
              <c:f>'Recap Info - NO TOCAR'!$G$41</c:f>
              <c:numCache>
                <c:formatCode>0.0\x</c:formatCode>
                <c:ptCount val="1"/>
                <c:pt idx="0">
                  <c:v>2.0033444816053514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4-6D7D-4C79-8620-FCA3878205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01576010"/>
        <c:axId val="1199386789"/>
      </c:barChart>
      <c:catAx>
        <c:axId val="10015760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s-ES"/>
          </a:p>
        </c:txPr>
        <c:crossAx val="1199386789"/>
        <c:crosses val="autoZero"/>
        <c:auto val="1"/>
        <c:lblAlgn val="ctr"/>
        <c:lblOffset val="100"/>
        <c:noMultiLvlLbl val="1"/>
      </c:catAx>
      <c:valAx>
        <c:axId val="11993867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0.0\x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s-ES"/>
          </a:p>
        </c:txPr>
        <c:crossAx val="1001576010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barChart>
        <c:barDir val="bar"/>
        <c:grouping val="stacked"/>
        <c:varyColors val="1"/>
        <c:ser>
          <c:idx val="0"/>
          <c:order val="0"/>
          <c:invertIfNegative val="1"/>
          <c:cat>
            <c:strRef>
              <c:f>'Recap Info - NO TOCAR'!$B$57:$B$65</c:f>
              <c:strCache>
                <c:ptCount val="9"/>
                <c:pt idx="0">
                  <c:v>FY 18 P / E:</c:v>
                </c:pt>
                <c:pt idx="1">
                  <c:v>2017 P / E:</c:v>
                </c:pt>
                <c:pt idx="2">
                  <c:v>2016 P / E:</c:v>
                </c:pt>
                <c:pt idx="3">
                  <c:v>FY 18 EV / EBITDA:</c:v>
                </c:pt>
                <c:pt idx="4">
                  <c:v>2017 EV / EBITDA:</c:v>
                </c:pt>
                <c:pt idx="5">
                  <c:v>2016 EV / EBITDA:</c:v>
                </c:pt>
                <c:pt idx="6">
                  <c:v>FY 18 EV / Revenue:</c:v>
                </c:pt>
                <c:pt idx="7">
                  <c:v>2017 EV / Revenue:</c:v>
                </c:pt>
                <c:pt idx="8">
                  <c:v>2016 EV / Revenue:</c:v>
                </c:pt>
              </c:strCache>
            </c:strRef>
          </c:cat>
          <c:val>
            <c:numRef>
              <c:f>'Recap Info - NO TOCAR'!$C$57:$C$65</c:f>
              <c:numCache>
                <c:formatCode>_(* #,##0.00_)\ [$€-1]_);\(#,##0.00\)\ [$€-1]_);_(* "-"??_)\ [$€-1]_);_(@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6C-4142-BAC0-3AB0F15C9C76}"/>
            </c:ext>
          </c:extLst>
        </c:ser>
        <c:ser>
          <c:idx val="1"/>
          <c:order val="1"/>
          <c:invertIfNegative val="1"/>
          <c:cat>
            <c:strRef>
              <c:f>'Recap Info - NO TOCAR'!$B$57:$B$65</c:f>
              <c:strCache>
                <c:ptCount val="9"/>
                <c:pt idx="0">
                  <c:v>FY 18 P / E:</c:v>
                </c:pt>
                <c:pt idx="1">
                  <c:v>2017 P / E:</c:v>
                </c:pt>
                <c:pt idx="2">
                  <c:v>2016 P / E:</c:v>
                </c:pt>
                <c:pt idx="3">
                  <c:v>FY 18 EV / EBITDA:</c:v>
                </c:pt>
                <c:pt idx="4">
                  <c:v>2017 EV / EBITDA:</c:v>
                </c:pt>
                <c:pt idx="5">
                  <c:v>2016 EV / EBITDA:</c:v>
                </c:pt>
                <c:pt idx="6">
                  <c:v>FY 18 EV / Revenue:</c:v>
                </c:pt>
                <c:pt idx="7">
                  <c:v>2017 EV / Revenue:</c:v>
                </c:pt>
                <c:pt idx="8">
                  <c:v>2016 EV / Revenue:</c:v>
                </c:pt>
              </c:strCache>
            </c:strRef>
          </c:cat>
          <c:val>
            <c:numRef>
              <c:f>'Recap Info - NO TOCAR'!$D$57:$D$65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6C-4142-BAC0-3AB0F15C9C76}"/>
            </c:ext>
          </c:extLst>
        </c:ser>
        <c:ser>
          <c:idx val="2"/>
          <c:order val="2"/>
          <c:invertIfNegative val="1"/>
          <c:cat>
            <c:strRef>
              <c:f>'Recap Info - NO TOCAR'!$B$57:$B$65</c:f>
              <c:strCache>
                <c:ptCount val="9"/>
                <c:pt idx="0">
                  <c:v>FY 18 P / E:</c:v>
                </c:pt>
                <c:pt idx="1">
                  <c:v>2017 P / E:</c:v>
                </c:pt>
                <c:pt idx="2">
                  <c:v>2016 P / E:</c:v>
                </c:pt>
                <c:pt idx="3">
                  <c:v>FY 18 EV / EBITDA:</c:v>
                </c:pt>
                <c:pt idx="4">
                  <c:v>2017 EV / EBITDA:</c:v>
                </c:pt>
                <c:pt idx="5">
                  <c:v>2016 EV / EBITDA:</c:v>
                </c:pt>
                <c:pt idx="6">
                  <c:v>FY 18 EV / Revenue:</c:v>
                </c:pt>
                <c:pt idx="7">
                  <c:v>2017 EV / Revenue:</c:v>
                </c:pt>
                <c:pt idx="8">
                  <c:v>2016 EV / Revenue:</c:v>
                </c:pt>
              </c:strCache>
            </c:strRef>
          </c:cat>
          <c:val>
            <c:numRef>
              <c:f>'Recap Info - NO TOCAR'!$E$57:$E$65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6C-4142-BAC0-3AB0F15C9C76}"/>
            </c:ext>
          </c:extLst>
        </c:ser>
        <c:ser>
          <c:idx val="3"/>
          <c:order val="3"/>
          <c:invertIfNegative val="1"/>
          <c:cat>
            <c:strRef>
              <c:f>'Recap Info - NO TOCAR'!$B$57:$B$65</c:f>
              <c:strCache>
                <c:ptCount val="9"/>
                <c:pt idx="0">
                  <c:v>FY 18 P / E:</c:v>
                </c:pt>
                <c:pt idx="1">
                  <c:v>2017 P / E:</c:v>
                </c:pt>
                <c:pt idx="2">
                  <c:v>2016 P / E:</c:v>
                </c:pt>
                <c:pt idx="3">
                  <c:v>FY 18 EV / EBITDA:</c:v>
                </c:pt>
                <c:pt idx="4">
                  <c:v>2017 EV / EBITDA:</c:v>
                </c:pt>
                <c:pt idx="5">
                  <c:v>2016 EV / EBITDA:</c:v>
                </c:pt>
                <c:pt idx="6">
                  <c:v>FY 18 EV / Revenue:</c:v>
                </c:pt>
                <c:pt idx="7">
                  <c:v>2017 EV / Revenue:</c:v>
                </c:pt>
                <c:pt idx="8">
                  <c:v>2016 EV / Revenue:</c:v>
                </c:pt>
              </c:strCache>
            </c:strRef>
          </c:cat>
          <c:val>
            <c:numRef>
              <c:f>'Recap Info - NO TOCAR'!$F$57:$F$65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6C-4142-BAC0-3AB0F15C9C76}"/>
            </c:ext>
          </c:extLst>
        </c:ser>
        <c:ser>
          <c:idx val="4"/>
          <c:order val="4"/>
          <c:invertIfNegative val="1"/>
          <c:cat>
            <c:strRef>
              <c:f>'Recap Info - NO TOCAR'!$B$57:$B$65</c:f>
              <c:strCache>
                <c:ptCount val="9"/>
                <c:pt idx="0">
                  <c:v>FY 18 P / E:</c:v>
                </c:pt>
                <c:pt idx="1">
                  <c:v>2017 P / E:</c:v>
                </c:pt>
                <c:pt idx="2">
                  <c:v>2016 P / E:</c:v>
                </c:pt>
                <c:pt idx="3">
                  <c:v>FY 18 EV / EBITDA:</c:v>
                </c:pt>
                <c:pt idx="4">
                  <c:v>2017 EV / EBITDA:</c:v>
                </c:pt>
                <c:pt idx="5">
                  <c:v>2016 EV / EBITDA:</c:v>
                </c:pt>
                <c:pt idx="6">
                  <c:v>FY 18 EV / Revenue:</c:v>
                </c:pt>
                <c:pt idx="7">
                  <c:v>2017 EV / Revenue:</c:v>
                </c:pt>
                <c:pt idx="8">
                  <c:v>2016 EV / Revenue:</c:v>
                </c:pt>
              </c:strCache>
            </c:strRef>
          </c:cat>
          <c:val>
            <c:numRef>
              <c:f>'Recap Info - NO TOCAR'!$G$57:$G$65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56C-4142-BAC0-3AB0F15C9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45613072"/>
        <c:axId val="678740016"/>
      </c:barChart>
      <c:catAx>
        <c:axId val="245613072"/>
        <c:scaling>
          <c:orientation val="maxMin"/>
        </c:scaling>
        <c:delete val="0"/>
        <c:axPos val="l"/>
        <c:numFmt formatCode="General" sourceLinked="1"/>
        <c:majorTickMark val="cross"/>
        <c:minorTickMark val="cross"/>
        <c:tickLblPos val="nextTo"/>
        <c:crossAx val="678740016"/>
        <c:crosses val="autoZero"/>
        <c:auto val="1"/>
        <c:lblAlgn val="ctr"/>
        <c:lblOffset val="100"/>
        <c:noMultiLvlLbl val="1"/>
      </c:catAx>
      <c:valAx>
        <c:axId val="678740016"/>
        <c:scaling>
          <c:orientation val="minMax"/>
        </c:scaling>
        <c:delete val="0"/>
        <c:axPos val="b"/>
        <c:numFmt formatCode="_(* #,##0.00_)\ [$€-1]_);\(#,##0.00\)\ [$€-1]_);_(* &quot;-&quot;??_)\ [$€-1]_);_(@" sourceLinked="1"/>
        <c:majorTickMark val="cross"/>
        <c:minorTickMark val="cross"/>
        <c:tickLblPos val="nextTo"/>
        <c:spPr>
          <a:ln w="47625">
            <a:noFill/>
          </a:ln>
        </c:spPr>
        <c:crossAx val="245613072"/>
        <c:crosses val="max"/>
        <c:crossBetween val="between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  <a:endParaRPr lang="es-E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1</xdr:row>
      <xdr:rowOff>171450</xdr:rowOff>
    </xdr:from>
    <xdr:ext cx="7705725" cy="4762500"/>
    <xdr:graphicFrame macro="">
      <xdr:nvGraphicFramePr>
        <xdr:cNvPr id="1775968515" name="Chart 2" title="Gràfic">
          <a:extLst>
            <a:ext uri="{FF2B5EF4-FFF2-40B4-BE49-F238E27FC236}">
              <a16:creationId xmlns:a16="http://schemas.microsoft.com/office/drawing/2014/main" id="{00000000-0008-0000-0100-00000321DB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10</xdr:col>
      <xdr:colOff>0</xdr:colOff>
      <xdr:row>2</xdr:row>
      <xdr:rowOff>0</xdr:rowOff>
    </xdr:from>
    <xdr:ext cx="1685925" cy="4762500"/>
    <xdr:graphicFrame macro="">
      <xdr:nvGraphicFramePr>
        <xdr:cNvPr id="243738098" name="Chart 3" title="Gràfic">
          <a:extLst>
            <a:ext uri="{FF2B5EF4-FFF2-40B4-BE49-F238E27FC236}">
              <a16:creationId xmlns:a16="http://schemas.microsoft.com/office/drawing/2014/main" id="{00000000-0008-0000-0100-0000F22587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12</xdr:col>
      <xdr:colOff>209550</xdr:colOff>
      <xdr:row>2</xdr:row>
      <xdr:rowOff>9525</xdr:rowOff>
    </xdr:from>
    <xdr:ext cx="1685925" cy="4762500"/>
    <xdr:graphicFrame macro="">
      <xdr:nvGraphicFramePr>
        <xdr:cNvPr id="1702476845" name="Chart 4" title="Gràfic">
          <a:extLst>
            <a:ext uri="{FF2B5EF4-FFF2-40B4-BE49-F238E27FC236}">
              <a16:creationId xmlns:a16="http://schemas.microsoft.com/office/drawing/2014/main" id="{00000000-0008-0000-0100-00002DBC79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0</xdr:col>
      <xdr:colOff>609600</xdr:colOff>
      <xdr:row>27</xdr:row>
      <xdr:rowOff>171450</xdr:rowOff>
    </xdr:from>
    <xdr:ext cx="352425" cy="876300"/>
    <xdr:pic>
      <xdr:nvPicPr>
        <xdr:cNvPr id="2" name="image3.jpg" title="Imat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942975</xdr:colOff>
      <xdr:row>4</xdr:row>
      <xdr:rowOff>0</xdr:rowOff>
    </xdr:from>
    <xdr:ext cx="8772525" cy="4305300"/>
    <xdr:graphicFrame macro="">
      <xdr:nvGraphicFramePr>
        <xdr:cNvPr id="836124111" name="Chart 1" title="Gràfic">
          <a:extLst>
            <a:ext uri="{FF2B5EF4-FFF2-40B4-BE49-F238E27FC236}">
              <a16:creationId xmlns:a16="http://schemas.microsoft.com/office/drawing/2014/main" id="{00000000-0008-0000-0200-0000CF3DD6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133350</xdr:colOff>
      <xdr:row>29</xdr:row>
      <xdr:rowOff>133350</xdr:rowOff>
    </xdr:from>
    <xdr:ext cx="1162050" cy="4857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4769738" y="3541875"/>
          <a:ext cx="1152525" cy="476250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133350</xdr:colOff>
      <xdr:row>30</xdr:row>
      <xdr:rowOff>133350</xdr:rowOff>
    </xdr:from>
    <xdr:ext cx="3505200" cy="21621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3598163" y="2703675"/>
          <a:ext cx="3495675" cy="2152650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419100</xdr:colOff>
      <xdr:row>27</xdr:row>
      <xdr:rowOff>76200</xdr:rowOff>
    </xdr:from>
    <xdr:ext cx="876300" cy="352425"/>
    <xdr:pic>
      <xdr:nvPicPr>
        <xdr:cNvPr id="2" name="image1.jpg" title="Imat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628650</xdr:colOff>
      <xdr:row>27</xdr:row>
      <xdr:rowOff>76200</xdr:rowOff>
    </xdr:from>
    <xdr:ext cx="876300" cy="352425"/>
    <xdr:pic>
      <xdr:nvPicPr>
        <xdr:cNvPr id="5" name="image1.jpg" title="Imatge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885825</xdr:colOff>
      <xdr:row>27</xdr:row>
      <xdr:rowOff>47625</xdr:rowOff>
    </xdr:from>
    <xdr:ext cx="876300" cy="352425"/>
    <xdr:pic>
      <xdr:nvPicPr>
        <xdr:cNvPr id="6" name="image1.jpg" title="Imatge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895350</xdr:colOff>
      <xdr:row>27</xdr:row>
      <xdr:rowOff>66675</xdr:rowOff>
    </xdr:from>
    <xdr:ext cx="876300" cy="352425"/>
    <xdr:pic>
      <xdr:nvPicPr>
        <xdr:cNvPr id="7" name="image1.jpg" title="Imatge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666750</xdr:colOff>
      <xdr:row>27</xdr:row>
      <xdr:rowOff>180975</xdr:rowOff>
    </xdr:from>
    <xdr:ext cx="600075" cy="190500"/>
    <xdr:pic>
      <xdr:nvPicPr>
        <xdr:cNvPr id="8" name="image2.jpg" title="Imatge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266700</xdr:colOff>
      <xdr:row>27</xdr:row>
      <xdr:rowOff>133350</xdr:rowOff>
    </xdr:from>
    <xdr:ext cx="600075" cy="190500"/>
    <xdr:pic>
      <xdr:nvPicPr>
        <xdr:cNvPr id="9" name="image2.jpg" title="Imatge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742950</xdr:colOff>
      <xdr:row>27</xdr:row>
      <xdr:rowOff>133350</xdr:rowOff>
    </xdr:from>
    <xdr:ext cx="600075" cy="190500"/>
    <xdr:pic>
      <xdr:nvPicPr>
        <xdr:cNvPr id="10" name="image2.jpg" title="Imatge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104775</xdr:colOff>
      <xdr:row>27</xdr:row>
      <xdr:rowOff>133350</xdr:rowOff>
    </xdr:from>
    <xdr:ext cx="600075" cy="190500"/>
    <xdr:pic>
      <xdr:nvPicPr>
        <xdr:cNvPr id="11" name="image2.jpg" title="Imatge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695325</xdr:colOff>
      <xdr:row>27</xdr:row>
      <xdr:rowOff>114300</xdr:rowOff>
    </xdr:from>
    <xdr:ext cx="600075" cy="190500"/>
    <xdr:pic>
      <xdr:nvPicPr>
        <xdr:cNvPr id="12" name="image2.jpg" title="Imatge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581025</xdr:colOff>
      <xdr:row>27</xdr:row>
      <xdr:rowOff>123825</xdr:rowOff>
    </xdr:from>
    <xdr:ext cx="600075" cy="190500"/>
    <xdr:pic>
      <xdr:nvPicPr>
        <xdr:cNvPr id="13" name="image2.jpg" title="Imatge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609600</xdr:colOff>
      <xdr:row>27</xdr:row>
      <xdr:rowOff>133350</xdr:rowOff>
    </xdr:from>
    <xdr:ext cx="600075" cy="190500"/>
    <xdr:pic>
      <xdr:nvPicPr>
        <xdr:cNvPr id="14" name="image2.jpg" title="Imatge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X1000"/>
  <sheetViews>
    <sheetView tabSelected="1" topLeftCell="I1" zoomScale="62" zoomScaleNormal="51" workbookViewId="0">
      <selection activeCell="P16" sqref="P16"/>
    </sheetView>
  </sheetViews>
  <sheetFormatPr baseColWidth="10" defaultColWidth="14.44140625" defaultRowHeight="15" customHeight="1"/>
  <cols>
    <col min="3" max="5" width="14.5546875" bestFit="1" customWidth="1"/>
    <col min="6" max="6" width="16.6640625" customWidth="1"/>
    <col min="7" max="7" width="14.5546875" bestFit="1" customWidth="1"/>
    <col min="8" max="8" width="15.109375" customWidth="1"/>
    <col min="9" max="9" width="14.5546875" bestFit="1" customWidth="1"/>
    <col min="10" max="11" width="15.109375" customWidth="1"/>
    <col min="12" max="12" width="14.5546875" bestFit="1" customWidth="1"/>
    <col min="13" max="13" width="17.33203125" customWidth="1"/>
    <col min="14" max="15" width="15.109375" customWidth="1"/>
    <col min="16" max="16" width="17.6640625" customWidth="1"/>
    <col min="17" max="18" width="14.5546875" bestFit="1" customWidth="1"/>
    <col min="19" max="19" width="15.109375" bestFit="1" customWidth="1"/>
    <col min="20" max="20" width="14.5546875" bestFit="1" customWidth="1"/>
    <col min="21" max="21" width="15.109375" customWidth="1"/>
    <col min="22" max="22" width="14.5546875" bestFit="1" customWidth="1"/>
    <col min="23" max="23" width="14.5546875" style="109" customWidth="1"/>
    <col min="24" max="24" width="14.5546875" style="111" customWidth="1"/>
    <col min="25" max="25" width="14.5546875" style="109" customWidth="1"/>
    <col min="26" max="30" width="14.5546875" bestFit="1" customWidth="1"/>
    <col min="32" max="33" width="14.44140625" style="109"/>
    <col min="36" max="36" width="71.6640625" customWidth="1"/>
    <col min="37" max="37" width="57" customWidth="1"/>
  </cols>
  <sheetData>
    <row r="1" spans="1:50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10"/>
      <c r="X1" s="112"/>
      <c r="Y1" s="110"/>
      <c r="Z1" s="1"/>
      <c r="AA1" s="1"/>
      <c r="AB1" s="1"/>
      <c r="AC1" s="1"/>
      <c r="AD1" s="1"/>
      <c r="AE1" s="1"/>
      <c r="AF1" s="110"/>
      <c r="AG1" s="110"/>
      <c r="AH1" s="1"/>
    </row>
    <row r="2" spans="1:50" ht="15.75" customHeight="1">
      <c r="A2" s="1"/>
      <c r="B2" s="142" t="s">
        <v>0</v>
      </c>
      <c r="C2" s="135"/>
      <c r="D2" s="135"/>
      <c r="E2" s="3"/>
      <c r="F2" s="2"/>
      <c r="G2" s="2"/>
      <c r="H2" s="2"/>
      <c r="I2" s="4" t="s">
        <v>1</v>
      </c>
      <c r="J2" s="5"/>
      <c r="K2" s="5"/>
      <c r="L2" s="5"/>
      <c r="M2" s="5"/>
      <c r="N2" s="5"/>
      <c r="O2" s="6"/>
      <c r="P2" s="6"/>
      <c r="Q2" s="6"/>
      <c r="R2" s="6"/>
      <c r="S2" s="6"/>
      <c r="T2" s="6"/>
      <c r="U2" s="7"/>
      <c r="V2" s="1"/>
      <c r="W2" s="110"/>
      <c r="X2" s="112"/>
      <c r="Y2" s="110"/>
      <c r="Z2" s="1"/>
      <c r="AA2" s="1"/>
      <c r="AB2" s="1"/>
      <c r="AC2" s="1"/>
      <c r="AD2" s="1"/>
      <c r="AE2" s="1"/>
      <c r="AF2" s="110"/>
      <c r="AG2" s="110"/>
      <c r="AH2" s="1"/>
    </row>
    <row r="3" spans="1:50" ht="15.75" customHeight="1">
      <c r="A3" s="1"/>
      <c r="B3" s="8" t="s">
        <v>2</v>
      </c>
      <c r="C3" s="8"/>
      <c r="D3" s="8"/>
      <c r="E3" s="8"/>
      <c r="F3" s="8"/>
      <c r="G3" s="8"/>
      <c r="H3" s="8"/>
      <c r="I3" s="9" t="s">
        <v>3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1"/>
      <c r="V3" s="1"/>
      <c r="W3" s="110"/>
      <c r="X3" s="112"/>
      <c r="Y3" s="110"/>
      <c r="Z3" s="1"/>
      <c r="AA3" s="1"/>
      <c r="AB3" s="1"/>
      <c r="AC3" s="1"/>
      <c r="AD3" s="1"/>
      <c r="AE3" s="1"/>
      <c r="AF3" s="110"/>
      <c r="AG3" s="110"/>
      <c r="AH3" s="1"/>
    </row>
    <row r="4" spans="1:50" ht="15.75" customHeight="1">
      <c r="A4" s="1"/>
      <c r="B4" s="1"/>
      <c r="C4" s="1"/>
      <c r="D4" s="1"/>
      <c r="E4" s="1"/>
      <c r="F4" s="1"/>
      <c r="G4" s="1"/>
      <c r="H4" s="1"/>
      <c r="I4" s="9" t="s">
        <v>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2"/>
      <c r="V4" s="1"/>
      <c r="W4" s="110"/>
      <c r="X4" s="112"/>
      <c r="Y4" s="110"/>
      <c r="Z4" s="1"/>
      <c r="AA4" s="1"/>
      <c r="AB4" s="1"/>
      <c r="AC4" s="1"/>
      <c r="AD4" s="1"/>
      <c r="AE4" s="1"/>
      <c r="AF4" s="110"/>
      <c r="AG4" s="110"/>
      <c r="AH4" s="1"/>
    </row>
    <row r="5" spans="1:50" ht="15.75" customHeight="1">
      <c r="A5" s="1"/>
      <c r="B5" s="8" t="s">
        <v>5</v>
      </c>
      <c r="C5" s="1"/>
      <c r="D5" s="13" t="s">
        <v>6</v>
      </c>
      <c r="E5" s="1"/>
      <c r="F5" s="1"/>
      <c r="G5" s="1"/>
      <c r="H5" s="1"/>
      <c r="I5" s="14" t="s">
        <v>7</v>
      </c>
      <c r="J5" s="15"/>
      <c r="K5" s="16"/>
      <c r="L5" s="15"/>
      <c r="M5" s="15"/>
      <c r="N5" s="15"/>
      <c r="O5" s="15"/>
      <c r="P5" s="15"/>
      <c r="Q5" s="15"/>
      <c r="R5" s="15"/>
      <c r="S5" s="15"/>
      <c r="T5" s="15"/>
      <c r="U5" s="16"/>
      <c r="V5" s="1"/>
      <c r="W5" s="110"/>
      <c r="X5" s="112"/>
      <c r="Y5" s="110"/>
      <c r="Z5" s="1"/>
      <c r="AA5" s="1"/>
      <c r="AB5" s="1"/>
      <c r="AC5" s="1"/>
      <c r="AD5" s="1"/>
      <c r="AE5" s="1"/>
      <c r="AF5" s="110"/>
      <c r="AG5" s="110"/>
      <c r="AH5" s="1"/>
    </row>
    <row r="6" spans="1:50" ht="15.75" customHeight="1">
      <c r="A6" s="1"/>
      <c r="B6" s="8" t="s">
        <v>8</v>
      </c>
      <c r="C6" s="1"/>
      <c r="D6" s="13">
        <v>0</v>
      </c>
      <c r="E6" s="1"/>
      <c r="F6" s="1"/>
      <c r="G6" s="1"/>
      <c r="H6" s="1"/>
      <c r="I6" s="1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10"/>
      <c r="X6" s="112"/>
      <c r="Y6" s="110"/>
      <c r="Z6" s="1"/>
      <c r="AA6" s="1"/>
      <c r="AB6" s="1"/>
      <c r="AC6" s="1"/>
      <c r="AD6" s="1"/>
      <c r="AE6" s="1"/>
      <c r="AF6" s="110"/>
      <c r="AG6" s="110"/>
      <c r="AH6" s="1"/>
      <c r="AI6" s="1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</row>
    <row r="7" spans="1:50" ht="15.75" customHeight="1">
      <c r="A7" s="1"/>
      <c r="B7" s="8" t="s">
        <v>9</v>
      </c>
      <c r="C7" s="1"/>
      <c r="D7" s="19">
        <v>0</v>
      </c>
      <c r="E7" s="1"/>
      <c r="F7" s="1"/>
      <c r="G7" s="1"/>
      <c r="H7" s="1"/>
      <c r="I7" s="1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10"/>
      <c r="X7" s="112"/>
      <c r="Y7" s="110"/>
      <c r="Z7" s="1"/>
      <c r="AA7" s="1"/>
      <c r="AB7" s="1"/>
      <c r="AC7" s="1"/>
      <c r="AD7" s="1"/>
      <c r="AE7" s="1"/>
      <c r="AF7" s="110"/>
      <c r="AG7" s="110"/>
      <c r="AH7" s="1"/>
      <c r="AI7" s="1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</row>
    <row r="8" spans="1:50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10"/>
      <c r="X8" s="112"/>
      <c r="Y8" s="110"/>
      <c r="Z8" s="1"/>
      <c r="AA8" s="1"/>
      <c r="AB8" s="1"/>
      <c r="AC8" s="1"/>
      <c r="AD8" s="1"/>
      <c r="AE8" s="1"/>
      <c r="AF8" s="110"/>
      <c r="AG8" s="110"/>
      <c r="AH8" s="1"/>
      <c r="AI8" s="1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</row>
    <row r="9" spans="1:50" ht="15.75" customHeight="1">
      <c r="A9" s="1"/>
      <c r="B9" s="20" t="s">
        <v>10</v>
      </c>
      <c r="C9" s="22"/>
      <c r="D9" s="22"/>
      <c r="E9" s="22"/>
      <c r="F9" s="138" t="s">
        <v>11</v>
      </c>
      <c r="G9" s="139"/>
      <c r="H9" s="139"/>
      <c r="I9" s="139"/>
      <c r="J9" s="139"/>
      <c r="K9" s="139"/>
      <c r="L9" s="139"/>
      <c r="M9" s="140"/>
      <c r="N9" s="23"/>
      <c r="O9" s="23"/>
      <c r="P9" s="23"/>
      <c r="Q9" s="23"/>
      <c r="R9" s="23"/>
      <c r="S9" s="23"/>
      <c r="T9" s="23"/>
      <c r="U9" s="23"/>
      <c r="V9" s="23"/>
      <c r="W9" s="143" t="s">
        <v>130</v>
      </c>
      <c r="X9" s="143"/>
      <c r="Y9" s="143"/>
      <c r="Z9" s="24" t="s">
        <v>12</v>
      </c>
      <c r="AA9" s="24" t="s">
        <v>12</v>
      </c>
      <c r="AB9" s="25"/>
      <c r="AC9" s="25"/>
      <c r="AD9" s="23"/>
      <c r="AE9" s="18"/>
      <c r="AF9" s="108"/>
      <c r="AG9" s="108"/>
      <c r="AH9" s="137"/>
      <c r="AI9" s="135"/>
      <c r="AJ9" s="26"/>
      <c r="AK9" s="26"/>
      <c r="AL9" s="26"/>
      <c r="AM9" s="26"/>
      <c r="AN9" s="26"/>
      <c r="AO9" s="26"/>
      <c r="AP9" s="26"/>
      <c r="AQ9" s="26"/>
      <c r="AR9" s="1"/>
      <c r="AS9" s="1"/>
      <c r="AT9" s="18"/>
      <c r="AU9" s="18"/>
    </row>
    <row r="10" spans="1:50" ht="15.75" customHeight="1">
      <c r="A10" s="1"/>
      <c r="B10" s="23"/>
      <c r="C10" s="23"/>
      <c r="D10" s="24" t="s">
        <v>13</v>
      </c>
      <c r="E10" s="24" t="s">
        <v>14</v>
      </c>
      <c r="F10" s="24" t="s">
        <v>15</v>
      </c>
      <c r="G10" s="24"/>
      <c r="H10" s="24"/>
      <c r="I10" s="24" t="s">
        <v>16</v>
      </c>
      <c r="J10" s="24" t="s">
        <v>17</v>
      </c>
      <c r="K10" s="24" t="s">
        <v>18</v>
      </c>
      <c r="L10" s="24" t="s">
        <v>19</v>
      </c>
      <c r="M10" s="24" t="s">
        <v>20</v>
      </c>
      <c r="N10" s="138" t="s">
        <v>21</v>
      </c>
      <c r="O10" s="139"/>
      <c r="P10" s="140"/>
      <c r="Q10" s="138" t="s">
        <v>22</v>
      </c>
      <c r="R10" s="139"/>
      <c r="S10" s="140"/>
      <c r="T10" s="138" t="s">
        <v>23</v>
      </c>
      <c r="U10" s="139"/>
      <c r="V10" s="140"/>
      <c r="W10" s="144" t="s">
        <v>23</v>
      </c>
      <c r="X10" s="144"/>
      <c r="Y10" s="144"/>
      <c r="Z10" s="24" t="s">
        <v>21</v>
      </c>
      <c r="AA10" s="24" t="s">
        <v>22</v>
      </c>
      <c r="AB10" s="138" t="s">
        <v>24</v>
      </c>
      <c r="AC10" s="139"/>
      <c r="AD10" s="140"/>
      <c r="AE10" s="18"/>
      <c r="AF10" s="108"/>
      <c r="AG10" s="108"/>
      <c r="AH10" s="10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8"/>
      <c r="AU10" s="18"/>
    </row>
    <row r="11" spans="1:50" ht="15.75" customHeight="1">
      <c r="A11" s="1"/>
      <c r="B11" s="27" t="s">
        <v>25</v>
      </c>
      <c r="C11" s="27" t="s">
        <v>26</v>
      </c>
      <c r="D11" s="28" t="s">
        <v>27</v>
      </c>
      <c r="E11" s="29" t="s">
        <v>28</v>
      </c>
      <c r="F11" s="28" t="s">
        <v>29</v>
      </c>
      <c r="G11" s="28" t="s">
        <v>30</v>
      </c>
      <c r="H11" s="28" t="s">
        <v>31</v>
      </c>
      <c r="I11" s="28" t="s">
        <v>32</v>
      </c>
      <c r="J11" s="28" t="s">
        <v>33</v>
      </c>
      <c r="K11" s="28" t="s">
        <v>34</v>
      </c>
      <c r="L11" s="28" t="s">
        <v>35</v>
      </c>
      <c r="M11" s="28" t="s">
        <v>29</v>
      </c>
      <c r="N11" s="29">
        <v>2017</v>
      </c>
      <c r="O11" s="29">
        <v>2018</v>
      </c>
      <c r="P11" s="29" t="s">
        <v>36</v>
      </c>
      <c r="Q11" s="29">
        <v>2017</v>
      </c>
      <c r="R11" s="29">
        <v>2018</v>
      </c>
      <c r="S11" s="29" t="s">
        <v>36</v>
      </c>
      <c r="T11" s="29">
        <v>2017</v>
      </c>
      <c r="U11" s="29">
        <v>2018</v>
      </c>
      <c r="V11" s="29" t="s">
        <v>36</v>
      </c>
      <c r="W11" s="132">
        <v>2018</v>
      </c>
      <c r="X11" s="132"/>
      <c r="Y11" s="132" t="s">
        <v>36</v>
      </c>
      <c r="Z11" s="28" t="s">
        <v>37</v>
      </c>
      <c r="AA11" s="28" t="s">
        <v>37</v>
      </c>
      <c r="AB11" s="29">
        <v>2017</v>
      </c>
      <c r="AC11" s="29">
        <v>2018</v>
      </c>
      <c r="AD11" s="29" t="s">
        <v>36</v>
      </c>
      <c r="AE11" s="18"/>
      <c r="AF11" s="108"/>
      <c r="AG11" s="108"/>
      <c r="AH11" s="10"/>
      <c r="AI11" s="136"/>
      <c r="AJ11" s="135"/>
      <c r="AK11" s="135"/>
      <c r="AL11" s="135"/>
      <c r="AM11" s="135"/>
      <c r="AN11" s="135"/>
      <c r="AO11" s="135"/>
      <c r="AP11" s="1"/>
      <c r="AQ11" s="1"/>
      <c r="AR11" s="1"/>
      <c r="AS11" s="1"/>
      <c r="AT11" s="18"/>
      <c r="AU11" s="18"/>
    </row>
    <row r="12" spans="1:50" ht="15.75" customHeight="1">
      <c r="A12" s="30" t="s">
        <v>38</v>
      </c>
      <c r="B12" s="106" t="s">
        <v>39</v>
      </c>
      <c r="C12" s="31">
        <v>2230</v>
      </c>
      <c r="D12" s="32">
        <f>0.13*34.66</f>
        <v>4.5057999999999998</v>
      </c>
      <c r="E12" s="13">
        <v>2198.58</v>
      </c>
      <c r="F12" s="33">
        <f t="shared" ref="F12:F31" si="0">+D12*E12</f>
        <v>9906.3617639999993</v>
      </c>
      <c r="G12" s="32">
        <f>4138.34*0.13</f>
        <v>537.98419999999999</v>
      </c>
      <c r="H12" s="32">
        <f>7997.69*0.13</f>
        <v>1039.6996999999999</v>
      </c>
      <c r="I12" s="32">
        <v>0</v>
      </c>
      <c r="J12" s="32">
        <f>340*0.13</f>
        <v>44.2</v>
      </c>
      <c r="K12" s="32">
        <f>11207.2*0.13</f>
        <v>1456.9360000000001</v>
      </c>
      <c r="L12" s="32">
        <v>0</v>
      </c>
      <c r="M12" s="33">
        <f>F12-G12+H12+I12+J12</f>
        <v>10452.277263999998</v>
      </c>
      <c r="N12" s="32">
        <f>5444.69*0.13</f>
        <v>707.80970000000002</v>
      </c>
      <c r="O12" s="32">
        <f>7917.22*0.13</f>
        <v>1029.2386000000001</v>
      </c>
      <c r="P12" s="32">
        <f>9210*0.13</f>
        <v>1197.3</v>
      </c>
      <c r="Q12" s="32">
        <f>(400+570)*0.13</f>
        <v>126.10000000000001</v>
      </c>
      <c r="R12" s="32">
        <f>(610+620)*0.13</f>
        <v>159.9</v>
      </c>
      <c r="S12" s="32">
        <f>(890+790)*0.13</f>
        <v>218.4</v>
      </c>
      <c r="T12" s="32">
        <f>430*0.13</f>
        <v>55.9</v>
      </c>
      <c r="U12" s="32">
        <f>540*0.13</f>
        <v>70.2</v>
      </c>
      <c r="V12" s="32">
        <f>700*0.13</f>
        <v>91</v>
      </c>
      <c r="W12" s="32"/>
      <c r="X12" s="32"/>
      <c r="Y12" s="32"/>
      <c r="Z12" s="34">
        <f t="shared" ref="Z12:Z31" si="1">IFERROR(+P12/O12-1,"N/A")</f>
        <v>0.16328711340596813</v>
      </c>
      <c r="AA12" s="34">
        <f t="shared" ref="AA12:AA31" si="2">IFERROR(+S12/R12-1,"N/A")</f>
        <v>0.36585365853658525</v>
      </c>
      <c r="AB12" s="34">
        <f t="shared" ref="AB12:AB31" si="3">IFERROR(Q12/N12,"N/A")</f>
        <v>0.17815523014166096</v>
      </c>
      <c r="AC12" s="34">
        <f t="shared" ref="AC12:AC31" si="4">IFERROR(R12/O12,"N/A")</f>
        <v>0.15535756237669282</v>
      </c>
      <c r="AD12" s="34">
        <f t="shared" ref="AD12:AD31" si="5">IFERROR(S12/P12,"N/A")</f>
        <v>0.18241042345276876</v>
      </c>
      <c r="AE12" s="18"/>
      <c r="AF12" s="108"/>
      <c r="AG12" s="108"/>
      <c r="AH12" s="10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"/>
      <c r="AT12" s="1"/>
      <c r="AU12" s="1"/>
    </row>
    <row r="13" spans="1:50" ht="15.75" customHeight="1">
      <c r="A13" s="30" t="s">
        <v>38</v>
      </c>
      <c r="B13" s="31" t="s">
        <v>40</v>
      </c>
      <c r="C13" s="31">
        <v>2415</v>
      </c>
      <c r="D13" s="32">
        <f>34.17*0.13</f>
        <v>4.4420999999999999</v>
      </c>
      <c r="E13" s="13">
        <v>9345.01</v>
      </c>
      <c r="F13" s="33">
        <f t="shared" si="0"/>
        <v>41511.468921</v>
      </c>
      <c r="G13" s="32">
        <f>21170.57*0.13</f>
        <v>2752.1741000000002</v>
      </c>
      <c r="H13" s="32">
        <f>27849.43*0.13</f>
        <v>3620.4259000000002</v>
      </c>
      <c r="I13" s="32">
        <v>0</v>
      </c>
      <c r="J13" s="32">
        <f>580*0.13</f>
        <v>75.400000000000006</v>
      </c>
      <c r="K13" s="32">
        <f>40439.4*0.13</f>
        <v>5257.1220000000003</v>
      </c>
      <c r="L13" s="32">
        <v>0</v>
      </c>
      <c r="M13" s="33">
        <f t="shared" ref="M13:M31" si="6">+F13-G13+H13+I13+J13</f>
        <v>42455.120721000007</v>
      </c>
      <c r="N13" s="32">
        <f>41910*0.13</f>
        <v>5448.3</v>
      </c>
      <c r="O13" s="32">
        <f>49840*0.13</f>
        <v>6479.2</v>
      </c>
      <c r="P13" s="32">
        <f>55870*0.13</f>
        <v>7263.1</v>
      </c>
      <c r="Q13" s="32">
        <f>(11100+340)*0.13</f>
        <v>1487.2</v>
      </c>
      <c r="R13" s="32">
        <f>(12270+480)*0.13</f>
        <v>1657.5</v>
      </c>
      <c r="S13" s="32">
        <f>(13370+570)*0.13</f>
        <v>1812.2</v>
      </c>
      <c r="T13" s="32">
        <f>9410*0.13</f>
        <v>1223.3</v>
      </c>
      <c r="U13" s="32">
        <f>11350*0.13</f>
        <v>1475.5</v>
      </c>
      <c r="V13" s="32">
        <f>11980*0.13</f>
        <v>1557.4</v>
      </c>
      <c r="W13" s="32"/>
      <c r="X13" s="32"/>
      <c r="Y13" s="32"/>
      <c r="Z13" s="34">
        <f t="shared" si="1"/>
        <v>0.12098715890850742</v>
      </c>
      <c r="AA13" s="34">
        <f t="shared" si="2"/>
        <v>9.3333333333333268E-2</v>
      </c>
      <c r="AB13" s="34">
        <f t="shared" si="3"/>
        <v>0.27296587926509186</v>
      </c>
      <c r="AC13" s="34">
        <f t="shared" si="4"/>
        <v>0.25581861958266455</v>
      </c>
      <c r="AD13" s="34">
        <f t="shared" si="5"/>
        <v>0.24950778593162698</v>
      </c>
      <c r="AE13" s="18"/>
      <c r="AF13" s="108"/>
      <c r="AG13" s="108"/>
      <c r="AH13" s="18"/>
      <c r="AI13" s="134"/>
      <c r="AJ13" s="135"/>
      <c r="AK13" s="135"/>
      <c r="AL13" s="135"/>
      <c r="AM13" s="135"/>
      <c r="AN13" s="135"/>
      <c r="AO13" s="135"/>
      <c r="AP13" s="135"/>
      <c r="AQ13" s="135"/>
      <c r="AR13" s="135"/>
      <c r="AS13" s="1"/>
      <c r="AT13" s="1"/>
      <c r="AU13" s="1"/>
    </row>
    <row r="14" spans="1:50" ht="15.75" customHeight="1">
      <c r="A14" s="30" t="s">
        <v>38</v>
      </c>
      <c r="B14" s="107" t="s">
        <v>41</v>
      </c>
      <c r="C14" s="31">
        <v>2236</v>
      </c>
      <c r="D14" s="32">
        <f>0.13*21.49</f>
        <v>2.7936999999999999</v>
      </c>
      <c r="E14" s="13">
        <v>2892.56</v>
      </c>
      <c r="F14" s="33">
        <f t="shared" si="0"/>
        <v>8080.9448719999991</v>
      </c>
      <c r="G14" s="32">
        <f>3555.38*0.13</f>
        <v>462.19940000000003</v>
      </c>
      <c r="H14" s="32">
        <f>13789.84*0.13</f>
        <v>1792.6792</v>
      </c>
      <c r="I14" s="32">
        <v>0</v>
      </c>
      <c r="J14" s="32">
        <f>280*0.13</f>
        <v>36.4</v>
      </c>
      <c r="K14" s="32">
        <f>14130.31*0.13</f>
        <v>1836.9403</v>
      </c>
      <c r="L14" s="32">
        <f>230*0.13</f>
        <v>29.900000000000002</v>
      </c>
      <c r="M14" s="33">
        <f t="shared" si="6"/>
        <v>9447.8246719999988</v>
      </c>
      <c r="N14" s="32">
        <f>18844.46*0.13</f>
        <v>2449.7797999999998</v>
      </c>
      <c r="O14" s="32">
        <f>23665.69*0.13</f>
        <v>3076.5396999999998</v>
      </c>
      <c r="P14" s="32">
        <f>25060*0.13</f>
        <v>3257.8</v>
      </c>
      <c r="Q14" s="32">
        <f>(3070+160)*0.13</f>
        <v>419.90000000000003</v>
      </c>
      <c r="R14" s="32">
        <f>(3050+240)*0.13</f>
        <v>427.7</v>
      </c>
      <c r="S14" s="32">
        <f>(3420+280)*0.13</f>
        <v>481</v>
      </c>
      <c r="T14" s="32">
        <f>(2380)*0.13</f>
        <v>309.40000000000003</v>
      </c>
      <c r="U14" s="32">
        <f>(2530)*0.13</f>
        <v>328.90000000000003</v>
      </c>
      <c r="V14" s="32">
        <f>2840*0.13</f>
        <v>369.2</v>
      </c>
      <c r="W14" s="32"/>
      <c r="X14" s="32"/>
      <c r="Y14" s="32"/>
      <c r="Z14" s="34">
        <f t="shared" si="1"/>
        <v>5.8916938403232866E-2</v>
      </c>
      <c r="AA14" s="34">
        <f t="shared" si="2"/>
        <v>0.12462006079027366</v>
      </c>
      <c r="AB14" s="34">
        <f t="shared" si="3"/>
        <v>0.17140316039833461</v>
      </c>
      <c r="AC14" s="34">
        <f t="shared" si="4"/>
        <v>0.13901982152221212</v>
      </c>
      <c r="AD14" s="34">
        <f t="shared" si="5"/>
        <v>0.14764565043894651</v>
      </c>
      <c r="AE14" s="18"/>
      <c r="AF14" s="108"/>
      <c r="AG14" s="10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"/>
      <c r="AT14" s="1"/>
      <c r="AU14" s="1"/>
    </row>
    <row r="15" spans="1:50" ht="15.75" customHeight="1">
      <c r="A15" s="30" t="s">
        <v>42</v>
      </c>
      <c r="B15" s="31" t="s">
        <v>43</v>
      </c>
      <c r="C15" s="31" t="s">
        <v>44</v>
      </c>
      <c r="D15" s="32">
        <f>50.67*0.9</f>
        <v>45.603000000000002</v>
      </c>
      <c r="E15" s="13">
        <v>144.68</v>
      </c>
      <c r="F15" s="33">
        <f t="shared" si="0"/>
        <v>6597.8420400000005</v>
      </c>
      <c r="G15" s="32">
        <f>533.1*0.9</f>
        <v>479.79</v>
      </c>
      <c r="H15" s="32">
        <f>113.76*0.9</f>
        <v>102.384</v>
      </c>
      <c r="I15" s="32">
        <v>0</v>
      </c>
      <c r="J15" s="32">
        <v>0</v>
      </c>
      <c r="K15" s="32">
        <f>552.49*0.9</f>
        <v>497.24100000000004</v>
      </c>
      <c r="L15" s="32">
        <v>0</v>
      </c>
      <c r="M15" s="33">
        <f t="shared" si="6"/>
        <v>6220.4360400000005</v>
      </c>
      <c r="N15" s="32">
        <f>523.4*0.9</f>
        <v>471.06</v>
      </c>
      <c r="O15" s="32">
        <f>530.35*0.9</f>
        <v>477.31500000000005</v>
      </c>
      <c r="P15" s="32">
        <f>427.44*0.9</f>
        <v>384.69600000000003</v>
      </c>
      <c r="Q15" s="32">
        <f>(103.81+13.13)*0.9</f>
        <v>105.246</v>
      </c>
      <c r="R15" s="32">
        <f>(108.9+14.8)*0.9</f>
        <v>111.33</v>
      </c>
      <c r="S15" s="32">
        <f>(58.91+13.76)*0.9</f>
        <v>65.403000000000006</v>
      </c>
      <c r="T15" s="32">
        <f>74.96*0.9</f>
        <v>67.463999999999999</v>
      </c>
      <c r="U15" s="32">
        <f>98.07*0.9</f>
        <v>88.262999999999991</v>
      </c>
      <c r="V15" s="32">
        <f>54.07*0.9</f>
        <v>48.663000000000004</v>
      </c>
      <c r="W15" s="32"/>
      <c r="X15" s="32"/>
      <c r="Y15" s="32"/>
      <c r="Z15" s="34">
        <f t="shared" si="1"/>
        <v>-0.19404167059489019</v>
      </c>
      <c r="AA15" s="34">
        <f t="shared" si="2"/>
        <v>-0.41253031527890049</v>
      </c>
      <c r="AB15" s="34">
        <f t="shared" si="3"/>
        <v>0.22342376767290789</v>
      </c>
      <c r="AC15" s="34">
        <f t="shared" si="4"/>
        <v>0.23324219854812855</v>
      </c>
      <c r="AD15" s="34">
        <f t="shared" si="5"/>
        <v>0.17001216545012166</v>
      </c>
      <c r="AE15" s="18"/>
      <c r="AF15" s="108"/>
      <c r="AG15" s="108"/>
      <c r="AH15" s="18"/>
      <c r="AI15" s="137"/>
      <c r="AJ15" s="135"/>
      <c r="AK15" s="135"/>
      <c r="AL15" s="135"/>
      <c r="AM15" s="135"/>
      <c r="AN15" s="135"/>
      <c r="AO15" s="135"/>
      <c r="AP15" s="135"/>
      <c r="AQ15" s="135"/>
      <c r="AR15" s="18"/>
      <c r="AS15" s="1"/>
      <c r="AT15" s="1"/>
      <c r="AU15" s="1"/>
    </row>
    <row r="16" spans="1:50" ht="15.75" customHeight="1">
      <c r="A16" s="115" t="s">
        <v>45</v>
      </c>
      <c r="B16" s="116" t="s">
        <v>46</v>
      </c>
      <c r="C16" s="116" t="s">
        <v>47</v>
      </c>
      <c r="D16" s="117">
        <f>11.31*0.9</f>
        <v>10.179</v>
      </c>
      <c r="E16" s="118">
        <v>287.12</v>
      </c>
      <c r="F16" s="119">
        <f t="shared" si="0"/>
        <v>2922.5944800000002</v>
      </c>
      <c r="G16" s="117">
        <f>406.01*0.9</f>
        <v>365.40899999999999</v>
      </c>
      <c r="H16" s="117">
        <f>784.05*0.9</f>
        <v>705.64499999999998</v>
      </c>
      <c r="I16" s="117">
        <v>0</v>
      </c>
      <c r="J16" s="117">
        <v>0</v>
      </c>
      <c r="K16" s="117">
        <f>1448.86*0.9</f>
        <v>1303.9739999999999</v>
      </c>
      <c r="L16" s="117">
        <v>0</v>
      </c>
      <c r="M16" s="119">
        <f t="shared" si="6"/>
        <v>3262.8304800000001</v>
      </c>
      <c r="N16" s="117">
        <f>261.03*0.9</f>
        <v>234.92699999999999</v>
      </c>
      <c r="O16" s="117">
        <f>367.443*0.9</f>
        <v>330.69869999999997</v>
      </c>
      <c r="P16" s="117">
        <f>479.94*0.9</f>
        <v>431.94600000000003</v>
      </c>
      <c r="Q16" s="117">
        <f>(-187.346+10.13+2.87)*0.9</f>
        <v>-156.91140000000001</v>
      </c>
      <c r="R16" s="117">
        <f>(-390.29+12.61)*0.9</f>
        <v>-339.91200000000003</v>
      </c>
      <c r="S16" s="117">
        <f>(-193.76+16.02)*0.9</f>
        <v>-159.96599999999998</v>
      </c>
      <c r="T16" s="117">
        <f>-187.32*0.9</f>
        <v>-168.58799999999999</v>
      </c>
      <c r="U16" s="117">
        <f>-385.79*0.9</f>
        <v>-347.21100000000001</v>
      </c>
      <c r="V16" s="117">
        <f>-192.95*0.9</f>
        <v>-173.655</v>
      </c>
      <c r="W16" s="133">
        <f t="shared" ref="W16:W18" si="7">(U16-T16)/(T16)</f>
        <v>1.0595238095238098</v>
      </c>
      <c r="X16" s="133"/>
      <c r="Y16" s="133">
        <f>(V16-U16)/(U16)</f>
        <v>-0.49985743539231192</v>
      </c>
      <c r="Z16" s="131">
        <f t="shared" si="1"/>
        <v>0.30616177202994765</v>
      </c>
      <c r="AA16" s="131">
        <f t="shared" si="2"/>
        <v>-0.52938995975428949</v>
      </c>
      <c r="AB16" s="131">
        <f t="shared" si="3"/>
        <v>-0.66791556526069806</v>
      </c>
      <c r="AC16" s="131">
        <f t="shared" si="4"/>
        <v>-1.0278601034718311</v>
      </c>
      <c r="AD16" s="131">
        <f t="shared" si="5"/>
        <v>-0.37033795891153054</v>
      </c>
      <c r="AE16" s="18"/>
      <c r="AF16" s="108"/>
      <c r="AG16" s="108"/>
      <c r="AH16" s="10"/>
      <c r="AI16" s="134"/>
      <c r="AJ16" s="135"/>
      <c r="AK16" s="135"/>
      <c r="AL16" s="135"/>
      <c r="AM16" s="135"/>
      <c r="AN16" s="135"/>
      <c r="AO16" s="135"/>
      <c r="AP16" s="135"/>
      <c r="AQ16" s="135"/>
      <c r="AR16" s="135"/>
      <c r="AS16" s="1"/>
      <c r="AT16" s="1"/>
      <c r="AU16" s="1"/>
    </row>
    <row r="17" spans="1:47" ht="15.75" customHeight="1">
      <c r="A17" s="115" t="s">
        <v>45</v>
      </c>
      <c r="B17" s="116" t="s">
        <v>48</v>
      </c>
      <c r="C17" s="116" t="s">
        <v>49</v>
      </c>
      <c r="D17" s="117">
        <f>26.34*0.9</f>
        <v>23.706</v>
      </c>
      <c r="E17" s="118">
        <v>112.4</v>
      </c>
      <c r="F17" s="119">
        <f t="shared" si="0"/>
        <v>2664.5544</v>
      </c>
      <c r="G17" s="117">
        <f>528*0.9</f>
        <v>475.2</v>
      </c>
      <c r="H17" s="117">
        <f>1651*0.9</f>
        <v>1485.9</v>
      </c>
      <c r="I17" s="117">
        <v>0</v>
      </c>
      <c r="J17" s="117">
        <v>0</v>
      </c>
      <c r="K17" s="117">
        <f>328*0.9</f>
        <v>295.2</v>
      </c>
      <c r="L17" s="117">
        <f>30*0.9</f>
        <v>27</v>
      </c>
      <c r="M17" s="119">
        <f t="shared" si="6"/>
        <v>3675.2544000000003</v>
      </c>
      <c r="N17" s="117">
        <f t="shared" ref="N17:O17" si="8">2160*0.9</f>
        <v>1944</v>
      </c>
      <c r="O17" s="117">
        <f t="shared" si="8"/>
        <v>1944</v>
      </c>
      <c r="P17" s="117">
        <f>1990*0.9</f>
        <v>1791</v>
      </c>
      <c r="Q17" s="117">
        <f>(140+60)*0.9</f>
        <v>180</v>
      </c>
      <c r="R17" s="117">
        <f>(130+40)*0.9</f>
        <v>153</v>
      </c>
      <c r="S17" s="117">
        <f>(150+40)*0.9</f>
        <v>171</v>
      </c>
      <c r="T17" s="117">
        <f>-70*0.9</f>
        <v>-63</v>
      </c>
      <c r="U17" s="117">
        <f>30*0.9</f>
        <v>27</v>
      </c>
      <c r="V17" s="117">
        <f>10*0.9</f>
        <v>9</v>
      </c>
      <c r="W17" s="133">
        <f t="shared" si="7"/>
        <v>-1.4285714285714286</v>
      </c>
      <c r="X17" s="133"/>
      <c r="Y17" s="133">
        <f>(V17-U17)/(U17)</f>
        <v>-0.66666666666666663</v>
      </c>
      <c r="Z17" s="131">
        <f t="shared" si="1"/>
        <v>-7.870370370370372E-2</v>
      </c>
      <c r="AA17" s="131">
        <f t="shared" si="2"/>
        <v>0.11764705882352944</v>
      </c>
      <c r="AB17" s="131">
        <f t="shared" si="3"/>
        <v>9.2592592592592587E-2</v>
      </c>
      <c r="AC17" s="131">
        <f t="shared" si="4"/>
        <v>7.8703703703703706E-2</v>
      </c>
      <c r="AD17" s="131">
        <f t="shared" si="5"/>
        <v>9.5477386934673364E-2</v>
      </c>
      <c r="AE17" s="18"/>
      <c r="AF17" s="108"/>
      <c r="AG17" s="108"/>
      <c r="AH17" s="10"/>
      <c r="AI17" s="134"/>
      <c r="AJ17" s="135"/>
      <c r="AK17" s="135"/>
      <c r="AL17" s="135"/>
      <c r="AM17" s="18"/>
      <c r="AN17" s="18"/>
      <c r="AO17" s="18"/>
      <c r="AP17" s="18"/>
      <c r="AQ17" s="18"/>
      <c r="AR17" s="18"/>
      <c r="AS17" s="1"/>
      <c r="AT17" s="1"/>
      <c r="AU17" s="1"/>
    </row>
    <row r="18" spans="1:47" ht="15.75" customHeight="1">
      <c r="A18" s="115" t="s">
        <v>45</v>
      </c>
      <c r="B18" s="116" t="s">
        <v>50</v>
      </c>
      <c r="C18" s="116" t="s">
        <v>51</v>
      </c>
      <c r="D18" s="117">
        <f>106.83*0.9</f>
        <v>96.147000000000006</v>
      </c>
      <c r="E18" s="118">
        <v>65.05</v>
      </c>
      <c r="F18" s="119">
        <f t="shared" si="0"/>
        <v>6254.3623500000003</v>
      </c>
      <c r="G18" s="117">
        <f>874.43*0.9</f>
        <v>786.98699999999997</v>
      </c>
      <c r="H18" s="117">
        <f>852.57*0.9</f>
        <v>767.3130000000001</v>
      </c>
      <c r="I18" s="117">
        <v>0</v>
      </c>
      <c r="J18" s="117">
        <v>0</v>
      </c>
      <c r="K18" s="117">
        <f>386.74*0.9</f>
        <v>348.06600000000003</v>
      </c>
      <c r="L18" s="117">
        <f>15.57*0.9</f>
        <v>14.013</v>
      </c>
      <c r="M18" s="119">
        <f t="shared" si="6"/>
        <v>6234.6883500000004</v>
      </c>
      <c r="N18" s="117">
        <f>131.71*0.9</f>
        <v>118.53900000000002</v>
      </c>
      <c r="O18" s="117">
        <f>253.57*0.9</f>
        <v>228.21299999999999</v>
      </c>
      <c r="P18" s="117">
        <f>371.23*0.9</f>
        <v>334.10700000000003</v>
      </c>
      <c r="Q18" s="117">
        <f>(-18.2+3.96)*0.9</f>
        <v>-12.815999999999999</v>
      </c>
      <c r="R18" s="117">
        <f>(29.77+3.84)*0.9</f>
        <v>30.248999999999999</v>
      </c>
      <c r="S18" s="117">
        <f>(44.16+3.92)*0.9</f>
        <v>43.271999999999998</v>
      </c>
      <c r="T18" s="117">
        <f>-17.5*0.9</f>
        <v>-15.75</v>
      </c>
      <c r="U18" s="117">
        <f>28.02*0.9</f>
        <v>25.218</v>
      </c>
      <c r="V18" s="117">
        <f>35.2*0.9</f>
        <v>31.680000000000003</v>
      </c>
      <c r="W18" s="133">
        <f t="shared" si="7"/>
        <v>-2.6011428571428574</v>
      </c>
      <c r="X18" s="133"/>
      <c r="Y18" s="133">
        <f>(V18-U18)/(U18)</f>
        <v>0.25624553890078527</v>
      </c>
      <c r="Z18" s="131">
        <f t="shared" si="1"/>
        <v>0.46401388176834812</v>
      </c>
      <c r="AA18" s="131">
        <f t="shared" si="2"/>
        <v>0.43052662897947047</v>
      </c>
      <c r="AB18" s="131">
        <f t="shared" si="3"/>
        <v>-0.10811631614911546</v>
      </c>
      <c r="AC18" s="131">
        <f t="shared" si="4"/>
        <v>0.1325472256181725</v>
      </c>
      <c r="AD18" s="131">
        <f t="shared" si="5"/>
        <v>0.12951539476874174</v>
      </c>
      <c r="AE18" s="18"/>
      <c r="AF18" s="108"/>
      <c r="AG18" s="108"/>
      <c r="AH18" s="10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"/>
      <c r="AT18" s="1"/>
      <c r="AU18" s="1"/>
    </row>
    <row r="19" spans="1:47" ht="15.75" customHeight="1">
      <c r="A19" s="115" t="s">
        <v>45</v>
      </c>
      <c r="B19" s="116" t="s">
        <v>52</v>
      </c>
      <c r="C19" s="116" t="s">
        <v>53</v>
      </c>
      <c r="D19" s="117">
        <f>154.02*0.9</f>
        <v>138.61800000000002</v>
      </c>
      <c r="E19" s="118">
        <v>409.73</v>
      </c>
      <c r="F19" s="119">
        <f t="shared" si="0"/>
        <v>56795.953140000012</v>
      </c>
      <c r="G19" s="117">
        <f>2025*0.9</f>
        <v>1822.5</v>
      </c>
      <c r="H19" s="117">
        <f>16188*0.9</f>
        <v>14569.2</v>
      </c>
      <c r="I19" s="117">
        <v>0</v>
      </c>
      <c r="J19" s="117">
        <v>0</v>
      </c>
      <c r="K19" s="117">
        <f>5814*0.9</f>
        <v>5232.6000000000004</v>
      </c>
      <c r="L19" s="117">
        <f>130*0.9</f>
        <v>117</v>
      </c>
      <c r="M19" s="119">
        <f t="shared" si="6"/>
        <v>69542.653140000009</v>
      </c>
      <c r="N19" s="117">
        <v>0</v>
      </c>
      <c r="O19" s="117">
        <f>7920*0.9</f>
        <v>7128</v>
      </c>
      <c r="P19" s="117">
        <f>8970*0.9</f>
        <v>8073</v>
      </c>
      <c r="Q19" s="117">
        <v>0</v>
      </c>
      <c r="R19" s="117">
        <f>(1780+340)*0.9</f>
        <v>1908</v>
      </c>
      <c r="S19" s="117">
        <f>(2060+630)*0.9</f>
        <v>2421</v>
      </c>
      <c r="T19" s="117">
        <v>0</v>
      </c>
      <c r="U19" s="117">
        <f>570*0.9</f>
        <v>513</v>
      </c>
      <c r="V19" s="117">
        <f>2420*0.9</f>
        <v>2178</v>
      </c>
      <c r="W19" s="133"/>
      <c r="X19" s="133"/>
      <c r="Y19" s="133">
        <f>(V19-U19)/(U19)</f>
        <v>3.2456140350877192</v>
      </c>
      <c r="Z19" s="131">
        <f t="shared" si="1"/>
        <v>0.13257575757575757</v>
      </c>
      <c r="AA19" s="131">
        <f t="shared" si="2"/>
        <v>0.26886792452830188</v>
      </c>
      <c r="AB19" s="131" t="str">
        <f t="shared" si="3"/>
        <v>N/A</v>
      </c>
      <c r="AC19" s="131">
        <f t="shared" si="4"/>
        <v>0.26767676767676768</v>
      </c>
      <c r="AD19" s="131">
        <f t="shared" si="5"/>
        <v>0.29988851727982163</v>
      </c>
      <c r="AE19" s="18"/>
      <c r="AF19" s="108"/>
      <c r="AG19" s="108"/>
      <c r="AH19" s="10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"/>
      <c r="AT19" s="1"/>
      <c r="AU19" s="1"/>
    </row>
    <row r="20" spans="1:47" ht="15.75" customHeight="1">
      <c r="A20" s="30" t="s">
        <v>54</v>
      </c>
      <c r="B20" s="31" t="s">
        <v>55</v>
      </c>
      <c r="C20" s="31" t="s">
        <v>56</v>
      </c>
      <c r="D20" s="32">
        <f>27.33*0.9</f>
        <v>24.596999999999998</v>
      </c>
      <c r="E20" s="13">
        <v>894.1</v>
      </c>
      <c r="F20" s="33">
        <f t="shared" si="0"/>
        <v>21992.1777</v>
      </c>
      <c r="G20" s="32">
        <f>2478*0.9</f>
        <v>2230.2000000000003</v>
      </c>
      <c r="H20" s="32">
        <f>5004*0.9</f>
        <v>4503.6000000000004</v>
      </c>
      <c r="I20" s="32">
        <v>0</v>
      </c>
      <c r="J20" s="32">
        <v>0</v>
      </c>
      <c r="K20" s="32">
        <f>6618*0.9</f>
        <v>5956.2</v>
      </c>
      <c r="L20" s="32">
        <v>190</v>
      </c>
      <c r="M20" s="33">
        <f t="shared" si="6"/>
        <v>24265.577700000002</v>
      </c>
      <c r="N20" s="32">
        <f>8350*0.9</f>
        <v>7515</v>
      </c>
      <c r="O20" s="32">
        <f>9660*0.9</f>
        <v>8694</v>
      </c>
      <c r="P20" s="32">
        <f>9450*0.9</f>
        <v>8505</v>
      </c>
      <c r="Q20" s="32">
        <f>(1040+650)*0.9</f>
        <v>1521</v>
      </c>
      <c r="R20" s="32">
        <f>(1410+790)*0.9</f>
        <v>1980</v>
      </c>
      <c r="S20" s="32">
        <f>(1180+850)*0.9</f>
        <v>1827</v>
      </c>
      <c r="T20" s="32">
        <f>800*0.9</f>
        <v>720</v>
      </c>
      <c r="U20" s="32">
        <f>1290*0.9</f>
        <v>1161</v>
      </c>
      <c r="V20" s="32">
        <f>1060*0.9</f>
        <v>954</v>
      </c>
      <c r="W20" s="32"/>
      <c r="X20" s="32"/>
      <c r="Y20" s="32"/>
      <c r="Z20" s="34">
        <f t="shared" si="1"/>
        <v>-2.1739130434782594E-2</v>
      </c>
      <c r="AA20" s="34">
        <f t="shared" si="2"/>
        <v>-7.7272727272727271E-2</v>
      </c>
      <c r="AB20" s="34">
        <f t="shared" si="3"/>
        <v>0.20239520958083831</v>
      </c>
      <c r="AC20" s="34">
        <f t="shared" si="4"/>
        <v>0.2277432712215321</v>
      </c>
      <c r="AD20" s="34">
        <f t="shared" si="5"/>
        <v>0.21481481481481482</v>
      </c>
      <c r="AE20" s="18"/>
      <c r="AF20" s="108"/>
      <c r="AG20" s="108"/>
      <c r="AH20" s="10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"/>
      <c r="AT20" s="1"/>
      <c r="AU20" s="1"/>
    </row>
    <row r="21" spans="1:47" ht="15.75" customHeight="1">
      <c r="A21" s="30" t="s">
        <v>57</v>
      </c>
      <c r="B21" s="31" t="s">
        <v>58</v>
      </c>
      <c r="C21" s="31" t="s">
        <v>59</v>
      </c>
      <c r="D21" s="32">
        <f>67.22*0.9</f>
        <v>60.497999999999998</v>
      </c>
      <c r="E21" s="13">
        <v>299.06</v>
      </c>
      <c r="F21" s="33">
        <f t="shared" si="0"/>
        <v>18092.531879999999</v>
      </c>
      <c r="G21" s="32">
        <f>9422.37*0.9</f>
        <v>8480.1330000000016</v>
      </c>
      <c r="H21" s="32">
        <f>7706.3*0.9</f>
        <v>6935.67</v>
      </c>
      <c r="I21" s="32">
        <v>0</v>
      </c>
      <c r="J21" s="32">
        <v>0</v>
      </c>
      <c r="K21" s="32">
        <f>28152.15*0.9</f>
        <v>25336.935000000001</v>
      </c>
      <c r="L21" s="32">
        <v>0</v>
      </c>
      <c r="M21" s="33">
        <f t="shared" si="6"/>
        <v>16548.068879999999</v>
      </c>
      <c r="N21" s="32">
        <f>10070*0.9</f>
        <v>9063</v>
      </c>
      <c r="O21" s="32">
        <f>13140*0.9</f>
        <v>11826</v>
      </c>
      <c r="P21" s="32">
        <f>15030*0.9</f>
        <v>13527</v>
      </c>
      <c r="Q21" s="32">
        <f>(1800+440)*0.9</f>
        <v>2016</v>
      </c>
      <c r="R21" s="32">
        <f>(2390+410)*0.9</f>
        <v>2520</v>
      </c>
      <c r="S21" s="32">
        <f>(2820+410)*0.9</f>
        <v>2907</v>
      </c>
      <c r="T21" s="32">
        <f>1390*0.9</f>
        <v>1251</v>
      </c>
      <c r="U21" s="32">
        <f>2130*0.9</f>
        <v>1917</v>
      </c>
      <c r="V21" s="32">
        <f>6220*0.9</f>
        <v>5598</v>
      </c>
      <c r="W21" s="32"/>
      <c r="X21" s="32"/>
      <c r="Y21" s="32"/>
      <c r="Z21" s="34">
        <f t="shared" si="1"/>
        <v>0.14383561643835607</v>
      </c>
      <c r="AA21" s="34">
        <f t="shared" si="2"/>
        <v>0.15357142857142847</v>
      </c>
      <c r="AB21" s="34">
        <f t="shared" si="3"/>
        <v>0.22244289970208539</v>
      </c>
      <c r="AC21" s="34">
        <f t="shared" si="4"/>
        <v>0.21308980213089801</v>
      </c>
      <c r="AD21" s="34">
        <f t="shared" si="5"/>
        <v>0.21490352628077178</v>
      </c>
      <c r="AE21" s="18"/>
      <c r="AF21" s="108"/>
      <c r="AG21" s="108"/>
      <c r="AH21" s="10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"/>
      <c r="AT21" s="1"/>
      <c r="AU21" s="1"/>
    </row>
    <row r="22" spans="1:47" ht="15.75" customHeight="1">
      <c r="A22" s="35" t="s">
        <v>60</v>
      </c>
      <c r="B22" s="36" t="s">
        <v>61</v>
      </c>
      <c r="C22" s="36" t="s">
        <v>61</v>
      </c>
      <c r="D22" s="37">
        <v>134.11000000000001</v>
      </c>
      <c r="E22" s="38">
        <v>893</v>
      </c>
      <c r="F22" s="33">
        <f t="shared" si="0"/>
        <v>119760.23000000001</v>
      </c>
      <c r="G22" s="39">
        <v>11379</v>
      </c>
      <c r="H22" s="40">
        <v>45812</v>
      </c>
      <c r="I22" s="32">
        <v>0</v>
      </c>
      <c r="J22" s="32">
        <v>0</v>
      </c>
      <c r="K22" s="40">
        <v>123382</v>
      </c>
      <c r="L22" s="32">
        <v>0</v>
      </c>
      <c r="M22" s="33">
        <f t="shared" si="6"/>
        <v>154193.23000000001</v>
      </c>
      <c r="N22" s="39">
        <v>79139</v>
      </c>
      <c r="O22" s="39">
        <v>79591</v>
      </c>
      <c r="P22" s="41">
        <v>77131</v>
      </c>
      <c r="Q22" s="39">
        <v>11400</v>
      </c>
      <c r="R22" s="39">
        <v>11342</v>
      </c>
      <c r="S22" s="37">
        <v>15974</v>
      </c>
      <c r="T22" s="39">
        <v>5753</v>
      </c>
      <c r="U22" s="40">
        <v>8728</v>
      </c>
      <c r="V22" s="37">
        <v>7712</v>
      </c>
      <c r="W22" s="37"/>
      <c r="X22" s="37"/>
      <c r="Y22" s="37"/>
      <c r="Z22" s="34">
        <f t="shared" si="1"/>
        <v>-3.090801723812997E-2</v>
      </c>
      <c r="AA22" s="34">
        <f t="shared" si="2"/>
        <v>0.40839358137894544</v>
      </c>
      <c r="AB22" s="34">
        <f t="shared" si="3"/>
        <v>0.14405034180366191</v>
      </c>
      <c r="AC22" s="34">
        <f t="shared" si="4"/>
        <v>0.14250354939628854</v>
      </c>
      <c r="AD22" s="34">
        <f t="shared" si="5"/>
        <v>0.20710220274597763</v>
      </c>
      <c r="AE22" s="18"/>
      <c r="AF22" s="108"/>
      <c r="AG22" s="108"/>
      <c r="AH22" s="10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"/>
      <c r="AT22" s="1"/>
      <c r="AU22" s="1"/>
    </row>
    <row r="23" spans="1:47" ht="15.75" customHeight="1">
      <c r="A23" s="1"/>
      <c r="B23" s="31" t="s">
        <v>62</v>
      </c>
      <c r="C23" s="31" t="s">
        <v>63</v>
      </c>
      <c r="D23" s="32">
        <v>0</v>
      </c>
      <c r="E23" s="13">
        <v>0</v>
      </c>
      <c r="F23" s="33">
        <f t="shared" si="0"/>
        <v>0</v>
      </c>
      <c r="G23" s="42"/>
      <c r="H23" s="42"/>
      <c r="I23" s="32">
        <v>0</v>
      </c>
      <c r="J23" s="32">
        <v>0</v>
      </c>
      <c r="K23" s="42"/>
      <c r="L23" s="32">
        <v>0</v>
      </c>
      <c r="M23" s="33">
        <f t="shared" si="6"/>
        <v>0</v>
      </c>
      <c r="N23" s="42"/>
      <c r="O23" s="42"/>
      <c r="P23" s="32">
        <v>0</v>
      </c>
      <c r="Q23" s="42"/>
      <c r="R23" s="32">
        <v>0</v>
      </c>
      <c r="S23" s="32">
        <v>0</v>
      </c>
      <c r="T23" s="42"/>
      <c r="U23" s="42"/>
      <c r="V23" s="32">
        <v>0</v>
      </c>
      <c r="W23" s="32"/>
      <c r="X23" s="32"/>
      <c r="Y23" s="32"/>
      <c r="Z23" s="34" t="str">
        <f t="shared" si="1"/>
        <v>N/A</v>
      </c>
      <c r="AA23" s="34" t="str">
        <f t="shared" si="2"/>
        <v>N/A</v>
      </c>
      <c r="AB23" s="34" t="str">
        <f t="shared" si="3"/>
        <v>N/A</v>
      </c>
      <c r="AC23" s="34" t="str">
        <f t="shared" si="4"/>
        <v>N/A</v>
      </c>
      <c r="AD23" s="34" t="str">
        <f t="shared" si="5"/>
        <v>N/A</v>
      </c>
      <c r="AE23" s="18"/>
      <c r="AF23" s="108"/>
      <c r="AG23" s="108"/>
      <c r="AH23" s="10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"/>
      <c r="AT23" s="1"/>
      <c r="AU23" s="1"/>
    </row>
    <row r="24" spans="1:47" ht="15.75" customHeight="1">
      <c r="A24" s="1"/>
      <c r="B24" s="31" t="s">
        <v>62</v>
      </c>
      <c r="C24" s="31" t="s">
        <v>63</v>
      </c>
      <c r="D24" s="32">
        <v>0</v>
      </c>
      <c r="E24" s="13">
        <v>0</v>
      </c>
      <c r="F24" s="33">
        <f t="shared" si="0"/>
        <v>0</v>
      </c>
      <c r="G24" s="32">
        <v>0</v>
      </c>
      <c r="H24" s="32">
        <v>0</v>
      </c>
      <c r="I24" s="32">
        <v>0</v>
      </c>
      <c r="J24" s="32">
        <v>0</v>
      </c>
      <c r="K24" s="32">
        <v>0</v>
      </c>
      <c r="L24" s="32">
        <v>0</v>
      </c>
      <c r="M24" s="33">
        <f t="shared" si="6"/>
        <v>0</v>
      </c>
      <c r="N24" s="32">
        <v>0</v>
      </c>
      <c r="O24" s="32">
        <v>0</v>
      </c>
      <c r="P24" s="32">
        <v>0</v>
      </c>
      <c r="Q24" s="32">
        <v>0</v>
      </c>
      <c r="R24" s="32">
        <v>0</v>
      </c>
      <c r="S24" s="32">
        <v>0</v>
      </c>
      <c r="T24" s="32">
        <v>0</v>
      </c>
      <c r="U24" s="32">
        <v>0</v>
      </c>
      <c r="V24" s="32">
        <v>0</v>
      </c>
      <c r="W24" s="32"/>
      <c r="X24" s="32"/>
      <c r="Y24" s="32"/>
      <c r="Z24" s="34" t="str">
        <f t="shared" si="1"/>
        <v>N/A</v>
      </c>
      <c r="AA24" s="34" t="str">
        <f t="shared" si="2"/>
        <v>N/A</v>
      </c>
      <c r="AB24" s="34" t="str">
        <f t="shared" si="3"/>
        <v>N/A</v>
      </c>
      <c r="AC24" s="34" t="str">
        <f t="shared" si="4"/>
        <v>N/A</v>
      </c>
      <c r="AD24" s="34" t="str">
        <f t="shared" si="5"/>
        <v>N/A</v>
      </c>
      <c r="AE24" s="18"/>
      <c r="AF24" s="108"/>
      <c r="AG24" s="108"/>
      <c r="AH24" s="10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"/>
      <c r="AT24" s="1"/>
      <c r="AU24" s="1"/>
    </row>
    <row r="25" spans="1:47" ht="15.75" customHeight="1">
      <c r="A25" s="1"/>
      <c r="B25" s="31" t="s">
        <v>62</v>
      </c>
      <c r="C25" s="31" t="s">
        <v>63</v>
      </c>
      <c r="D25" s="32">
        <v>0</v>
      </c>
      <c r="E25" s="13">
        <v>0</v>
      </c>
      <c r="F25" s="33">
        <f t="shared" si="0"/>
        <v>0</v>
      </c>
      <c r="G25" s="32">
        <v>0</v>
      </c>
      <c r="H25" s="32">
        <v>0</v>
      </c>
      <c r="I25" s="32">
        <v>0</v>
      </c>
      <c r="J25" s="32">
        <v>0</v>
      </c>
      <c r="K25" s="32">
        <v>0</v>
      </c>
      <c r="L25" s="32">
        <v>0</v>
      </c>
      <c r="M25" s="33">
        <f t="shared" si="6"/>
        <v>0</v>
      </c>
      <c r="N25" s="32">
        <v>0</v>
      </c>
      <c r="O25" s="32">
        <v>0</v>
      </c>
      <c r="P25" s="32">
        <v>0</v>
      </c>
      <c r="Q25" s="32">
        <v>0</v>
      </c>
      <c r="R25" s="32">
        <v>0</v>
      </c>
      <c r="S25" s="32">
        <v>0</v>
      </c>
      <c r="T25" s="32">
        <v>0</v>
      </c>
      <c r="U25" s="32">
        <v>0</v>
      </c>
      <c r="V25" s="32">
        <v>0</v>
      </c>
      <c r="W25" s="32"/>
      <c r="X25" s="32"/>
      <c r="Y25" s="32"/>
      <c r="Z25" s="34" t="str">
        <f t="shared" si="1"/>
        <v>N/A</v>
      </c>
      <c r="AA25" s="34" t="str">
        <f t="shared" si="2"/>
        <v>N/A</v>
      </c>
      <c r="AB25" s="34" t="str">
        <f t="shared" si="3"/>
        <v>N/A</v>
      </c>
      <c r="AC25" s="34" t="str">
        <f t="shared" si="4"/>
        <v>N/A</v>
      </c>
      <c r="AD25" s="34" t="str">
        <f t="shared" si="5"/>
        <v>N/A</v>
      </c>
      <c r="AE25" s="18"/>
      <c r="AF25" s="108"/>
      <c r="AG25" s="108"/>
      <c r="AH25" s="10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"/>
      <c r="AT25" s="1"/>
      <c r="AU25" s="1"/>
    </row>
    <row r="26" spans="1:47" ht="15.75" customHeight="1">
      <c r="A26" s="1"/>
      <c r="B26" s="31" t="s">
        <v>62</v>
      </c>
      <c r="C26" s="31" t="s">
        <v>63</v>
      </c>
      <c r="D26" s="32">
        <v>0</v>
      </c>
      <c r="E26" s="13">
        <v>0</v>
      </c>
      <c r="F26" s="33">
        <f t="shared" si="0"/>
        <v>0</v>
      </c>
      <c r="G26" s="32">
        <v>0</v>
      </c>
      <c r="H26" s="32">
        <v>0</v>
      </c>
      <c r="I26" s="32">
        <v>0</v>
      </c>
      <c r="J26" s="32">
        <v>0</v>
      </c>
      <c r="K26" s="32">
        <v>0</v>
      </c>
      <c r="L26" s="32">
        <v>0</v>
      </c>
      <c r="M26" s="33">
        <f t="shared" si="6"/>
        <v>0</v>
      </c>
      <c r="N26" s="32">
        <v>0</v>
      </c>
      <c r="O26" s="32">
        <v>0</v>
      </c>
      <c r="P26" s="32">
        <v>0</v>
      </c>
      <c r="Q26" s="32">
        <v>0</v>
      </c>
      <c r="R26" s="32">
        <v>0</v>
      </c>
      <c r="S26" s="32">
        <v>0</v>
      </c>
      <c r="T26" s="32">
        <v>0</v>
      </c>
      <c r="U26" s="32">
        <v>0</v>
      </c>
      <c r="V26" s="32">
        <v>0</v>
      </c>
      <c r="W26" s="32"/>
      <c r="X26" s="32"/>
      <c r="Y26" s="32"/>
      <c r="Z26" s="34" t="str">
        <f t="shared" si="1"/>
        <v>N/A</v>
      </c>
      <c r="AA26" s="34" t="str">
        <f t="shared" si="2"/>
        <v>N/A</v>
      </c>
      <c r="AB26" s="34" t="str">
        <f t="shared" si="3"/>
        <v>N/A</v>
      </c>
      <c r="AC26" s="34" t="str">
        <f t="shared" si="4"/>
        <v>N/A</v>
      </c>
      <c r="AD26" s="34" t="str">
        <f t="shared" si="5"/>
        <v>N/A</v>
      </c>
      <c r="AE26" s="18"/>
      <c r="AF26" s="108"/>
      <c r="AG26" s="108"/>
      <c r="AH26" s="10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"/>
      <c r="AT26" s="1"/>
      <c r="AU26" s="1"/>
    </row>
    <row r="27" spans="1:47" ht="15.75" customHeight="1">
      <c r="A27" s="1"/>
      <c r="B27" s="31" t="s">
        <v>62</v>
      </c>
      <c r="C27" s="31" t="s">
        <v>63</v>
      </c>
      <c r="D27" s="32">
        <v>0</v>
      </c>
      <c r="E27" s="13">
        <v>0</v>
      </c>
      <c r="F27" s="33">
        <f t="shared" si="0"/>
        <v>0</v>
      </c>
      <c r="G27" s="32">
        <v>0</v>
      </c>
      <c r="H27" s="32">
        <v>0</v>
      </c>
      <c r="I27" s="32">
        <v>0</v>
      </c>
      <c r="J27" s="32">
        <v>0</v>
      </c>
      <c r="K27" s="32">
        <v>0</v>
      </c>
      <c r="L27" s="32">
        <v>0</v>
      </c>
      <c r="M27" s="33">
        <f t="shared" si="6"/>
        <v>0</v>
      </c>
      <c r="N27" s="32">
        <v>0</v>
      </c>
      <c r="O27" s="32">
        <v>0</v>
      </c>
      <c r="P27" s="32">
        <v>0</v>
      </c>
      <c r="Q27" s="32">
        <v>0</v>
      </c>
      <c r="R27" s="32">
        <v>0</v>
      </c>
      <c r="S27" s="32">
        <v>0</v>
      </c>
      <c r="T27" s="32">
        <v>0</v>
      </c>
      <c r="U27" s="32">
        <v>0</v>
      </c>
      <c r="V27" s="32">
        <v>0</v>
      </c>
      <c r="W27" s="32"/>
      <c r="X27" s="32"/>
      <c r="Y27" s="32"/>
      <c r="Z27" s="34" t="str">
        <f t="shared" si="1"/>
        <v>N/A</v>
      </c>
      <c r="AA27" s="34" t="str">
        <f t="shared" si="2"/>
        <v>N/A</v>
      </c>
      <c r="AB27" s="34" t="str">
        <f t="shared" si="3"/>
        <v>N/A</v>
      </c>
      <c r="AC27" s="34" t="str">
        <f t="shared" si="4"/>
        <v>N/A</v>
      </c>
      <c r="AD27" s="34" t="str">
        <f t="shared" si="5"/>
        <v>N/A</v>
      </c>
      <c r="AE27" s="18"/>
      <c r="AF27" s="108"/>
      <c r="AG27" s="108"/>
      <c r="AH27" s="10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"/>
      <c r="AT27" s="1"/>
      <c r="AU27" s="1"/>
    </row>
    <row r="28" spans="1:47" ht="15.75" customHeight="1">
      <c r="A28" s="1"/>
      <c r="B28" s="31" t="s">
        <v>62</v>
      </c>
      <c r="C28" s="31" t="s">
        <v>63</v>
      </c>
      <c r="D28" s="32">
        <v>0</v>
      </c>
      <c r="E28" s="13">
        <v>0</v>
      </c>
      <c r="F28" s="33">
        <f t="shared" si="0"/>
        <v>0</v>
      </c>
      <c r="G28" s="32">
        <v>0</v>
      </c>
      <c r="H28" s="32">
        <v>0</v>
      </c>
      <c r="I28" s="32">
        <v>0</v>
      </c>
      <c r="J28" s="32">
        <v>0</v>
      </c>
      <c r="K28" s="32">
        <v>0</v>
      </c>
      <c r="L28" s="32">
        <v>0</v>
      </c>
      <c r="M28" s="33">
        <f t="shared" si="6"/>
        <v>0</v>
      </c>
      <c r="N28" s="32">
        <v>0</v>
      </c>
      <c r="O28" s="32">
        <v>0</v>
      </c>
      <c r="P28" s="32">
        <v>0</v>
      </c>
      <c r="Q28" s="32">
        <v>0</v>
      </c>
      <c r="R28" s="32">
        <v>0</v>
      </c>
      <c r="S28" s="32">
        <v>0</v>
      </c>
      <c r="T28" s="32">
        <v>0</v>
      </c>
      <c r="U28" s="32">
        <v>0</v>
      </c>
      <c r="V28" s="32">
        <v>0</v>
      </c>
      <c r="W28" s="32"/>
      <c r="X28" s="32"/>
      <c r="Y28" s="32"/>
      <c r="Z28" s="34" t="str">
        <f t="shared" si="1"/>
        <v>N/A</v>
      </c>
      <c r="AA28" s="34" t="str">
        <f t="shared" si="2"/>
        <v>N/A</v>
      </c>
      <c r="AB28" s="34" t="str">
        <f t="shared" si="3"/>
        <v>N/A</v>
      </c>
      <c r="AC28" s="34" t="str">
        <f t="shared" si="4"/>
        <v>N/A</v>
      </c>
      <c r="AD28" s="34" t="str">
        <f t="shared" si="5"/>
        <v>N/A</v>
      </c>
      <c r="AE28" s="18"/>
      <c r="AF28" s="108"/>
      <c r="AG28" s="108"/>
      <c r="AH28" s="10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"/>
      <c r="AT28" s="1"/>
      <c r="AU28" s="1"/>
    </row>
    <row r="29" spans="1:47" ht="15.75" customHeight="1">
      <c r="A29" s="1"/>
      <c r="B29" s="31" t="s">
        <v>62</v>
      </c>
      <c r="C29" s="31" t="s">
        <v>63</v>
      </c>
      <c r="D29" s="32">
        <v>0</v>
      </c>
      <c r="E29" s="13">
        <v>0</v>
      </c>
      <c r="F29" s="33">
        <f t="shared" si="0"/>
        <v>0</v>
      </c>
      <c r="G29" s="32">
        <v>0</v>
      </c>
      <c r="H29" s="32">
        <v>0</v>
      </c>
      <c r="I29" s="32">
        <v>0</v>
      </c>
      <c r="J29" s="32">
        <v>0</v>
      </c>
      <c r="K29" s="32">
        <v>0</v>
      </c>
      <c r="L29" s="32">
        <v>0</v>
      </c>
      <c r="M29" s="33">
        <f t="shared" si="6"/>
        <v>0</v>
      </c>
      <c r="N29" s="32">
        <v>0</v>
      </c>
      <c r="O29" s="32">
        <v>0</v>
      </c>
      <c r="P29" s="32">
        <v>0</v>
      </c>
      <c r="Q29" s="32">
        <v>0</v>
      </c>
      <c r="R29" s="32">
        <v>0</v>
      </c>
      <c r="S29" s="32">
        <v>0</v>
      </c>
      <c r="T29" s="32">
        <v>0</v>
      </c>
      <c r="U29" s="32">
        <v>0</v>
      </c>
      <c r="V29" s="32">
        <v>0</v>
      </c>
      <c r="W29" s="32"/>
      <c r="X29" s="32"/>
      <c r="Y29" s="32"/>
      <c r="Z29" s="34" t="str">
        <f t="shared" si="1"/>
        <v>N/A</v>
      </c>
      <c r="AA29" s="34" t="str">
        <f t="shared" si="2"/>
        <v>N/A</v>
      </c>
      <c r="AB29" s="34" t="str">
        <f t="shared" si="3"/>
        <v>N/A</v>
      </c>
      <c r="AC29" s="34" t="str">
        <f t="shared" si="4"/>
        <v>N/A</v>
      </c>
      <c r="AD29" s="34" t="str">
        <f t="shared" si="5"/>
        <v>N/A</v>
      </c>
      <c r="AE29" s="18"/>
      <c r="AF29" s="108"/>
      <c r="AG29" s="108"/>
      <c r="AH29" s="10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"/>
      <c r="AT29" s="1"/>
      <c r="AU29" s="1"/>
    </row>
    <row r="30" spans="1:47" ht="15.75" customHeight="1">
      <c r="A30" s="1"/>
      <c r="B30" s="31" t="s">
        <v>62</v>
      </c>
      <c r="C30" s="31" t="s">
        <v>63</v>
      </c>
      <c r="D30" s="32">
        <v>0</v>
      </c>
      <c r="E30" s="13">
        <v>0</v>
      </c>
      <c r="F30" s="33">
        <f t="shared" si="0"/>
        <v>0</v>
      </c>
      <c r="G30" s="32">
        <v>0</v>
      </c>
      <c r="H30" s="32">
        <v>0</v>
      </c>
      <c r="I30" s="32">
        <v>0</v>
      </c>
      <c r="J30" s="32">
        <v>0</v>
      </c>
      <c r="K30" s="32">
        <v>0</v>
      </c>
      <c r="L30" s="32">
        <v>0</v>
      </c>
      <c r="M30" s="33">
        <f t="shared" si="6"/>
        <v>0</v>
      </c>
      <c r="N30" s="32">
        <v>0</v>
      </c>
      <c r="O30" s="32">
        <v>0</v>
      </c>
      <c r="P30" s="32">
        <v>0</v>
      </c>
      <c r="Q30" s="32">
        <v>0</v>
      </c>
      <c r="R30" s="32">
        <v>0</v>
      </c>
      <c r="S30" s="32">
        <v>0</v>
      </c>
      <c r="T30" s="32">
        <v>0</v>
      </c>
      <c r="U30" s="32">
        <v>0</v>
      </c>
      <c r="V30" s="32">
        <v>0</v>
      </c>
      <c r="W30" s="32"/>
      <c r="X30" s="32"/>
      <c r="Y30" s="32"/>
      <c r="Z30" s="34" t="str">
        <f t="shared" si="1"/>
        <v>N/A</v>
      </c>
      <c r="AA30" s="34" t="str">
        <f t="shared" si="2"/>
        <v>N/A</v>
      </c>
      <c r="AB30" s="34" t="str">
        <f t="shared" si="3"/>
        <v>N/A</v>
      </c>
      <c r="AC30" s="34" t="str">
        <f t="shared" si="4"/>
        <v>N/A</v>
      </c>
      <c r="AD30" s="34" t="str">
        <f t="shared" si="5"/>
        <v>N/A</v>
      </c>
      <c r="AE30" s="18"/>
      <c r="AF30" s="108"/>
      <c r="AG30" s="108"/>
      <c r="AH30" s="10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"/>
      <c r="AT30" s="1"/>
      <c r="AU30" s="1"/>
    </row>
    <row r="31" spans="1:47" ht="15.75" customHeight="1">
      <c r="A31" s="1"/>
      <c r="B31" s="31" t="s">
        <v>62</v>
      </c>
      <c r="C31" s="31" t="s">
        <v>63</v>
      </c>
      <c r="D31" s="32">
        <v>0</v>
      </c>
      <c r="E31" s="13">
        <v>0</v>
      </c>
      <c r="F31" s="33">
        <f t="shared" si="0"/>
        <v>0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  <c r="L31" s="32">
        <v>0</v>
      </c>
      <c r="M31" s="33">
        <f t="shared" si="6"/>
        <v>0</v>
      </c>
      <c r="N31" s="32">
        <v>0</v>
      </c>
      <c r="O31" s="32">
        <v>0</v>
      </c>
      <c r="P31" s="32">
        <v>0</v>
      </c>
      <c r="Q31" s="32">
        <v>0</v>
      </c>
      <c r="R31" s="32">
        <v>0</v>
      </c>
      <c r="S31" s="32">
        <v>0</v>
      </c>
      <c r="T31" s="32">
        <v>0</v>
      </c>
      <c r="U31" s="32">
        <v>0</v>
      </c>
      <c r="V31" s="32">
        <v>0</v>
      </c>
      <c r="W31" s="32"/>
      <c r="X31" s="32"/>
      <c r="Y31" s="32"/>
      <c r="Z31" s="34" t="str">
        <f t="shared" si="1"/>
        <v>N/A</v>
      </c>
      <c r="AA31" s="34" t="str">
        <f t="shared" si="2"/>
        <v>N/A</v>
      </c>
      <c r="AB31" s="34" t="str">
        <f t="shared" si="3"/>
        <v>N/A</v>
      </c>
      <c r="AC31" s="34" t="str">
        <f t="shared" si="4"/>
        <v>N/A</v>
      </c>
      <c r="AD31" s="34" t="str">
        <f t="shared" si="5"/>
        <v>N/A</v>
      </c>
      <c r="AE31" s="18"/>
      <c r="AF31" s="108"/>
      <c r="AG31" s="108"/>
      <c r="AH31" s="10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"/>
      <c r="AT31" s="1"/>
      <c r="AU31" s="1"/>
    </row>
    <row r="32" spans="1:47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10"/>
      <c r="X32" s="112"/>
      <c r="Y32" s="110"/>
      <c r="Z32" s="1"/>
      <c r="AA32" s="1"/>
      <c r="AB32" s="1"/>
      <c r="AC32" s="1"/>
      <c r="AD32" s="1"/>
      <c r="AE32" s="18"/>
      <c r="AF32" s="108"/>
      <c r="AG32" s="108"/>
      <c r="AH32" s="10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"/>
      <c r="AT32" s="1"/>
      <c r="AU32" s="1"/>
    </row>
    <row r="33" spans="1:50" ht="15.75" customHeight="1">
      <c r="A33" s="1"/>
      <c r="B33" s="43" t="s">
        <v>64</v>
      </c>
      <c r="C33" s="44"/>
      <c r="D33" s="45">
        <f>MAX(D12:D31)</f>
        <v>138.61800000000002</v>
      </c>
      <c r="E33" s="44"/>
      <c r="F33" s="45">
        <f>MAX(F12:F31)</f>
        <v>119760.23000000001</v>
      </c>
      <c r="G33" s="44"/>
      <c r="H33" s="44"/>
      <c r="I33" s="44"/>
      <c r="J33" s="44"/>
      <c r="K33" s="44"/>
      <c r="L33" s="44"/>
      <c r="M33" s="45">
        <f t="shared" ref="M33:AD33" si="9">MAX(M12:M31)</f>
        <v>154193.23000000001</v>
      </c>
      <c r="N33" s="45">
        <f t="shared" si="9"/>
        <v>79139</v>
      </c>
      <c r="O33" s="45">
        <f t="shared" si="9"/>
        <v>79591</v>
      </c>
      <c r="P33" s="45">
        <f t="shared" si="9"/>
        <v>77131</v>
      </c>
      <c r="Q33" s="45">
        <f t="shared" si="9"/>
        <v>11400</v>
      </c>
      <c r="R33" s="45">
        <f t="shared" si="9"/>
        <v>11342</v>
      </c>
      <c r="S33" s="45">
        <f t="shared" si="9"/>
        <v>15974</v>
      </c>
      <c r="T33" s="45">
        <f t="shared" si="9"/>
        <v>5753</v>
      </c>
      <c r="U33" s="45">
        <f t="shared" si="9"/>
        <v>8728</v>
      </c>
      <c r="V33" s="45">
        <f t="shared" si="9"/>
        <v>7712</v>
      </c>
      <c r="W33" s="45"/>
      <c r="X33" s="45"/>
      <c r="Y33" s="45"/>
      <c r="Z33" s="46">
        <f t="shared" si="9"/>
        <v>0.46401388176834812</v>
      </c>
      <c r="AA33" s="46">
        <f t="shared" si="9"/>
        <v>0.43052662897947047</v>
      </c>
      <c r="AB33" s="46">
        <f t="shared" si="9"/>
        <v>0.27296587926509186</v>
      </c>
      <c r="AC33" s="46">
        <f t="shared" si="9"/>
        <v>0.26767676767676768</v>
      </c>
      <c r="AD33" s="46">
        <f t="shared" si="9"/>
        <v>0.29988851727982163</v>
      </c>
      <c r="AE33" s="18"/>
      <c r="AF33" s="108"/>
      <c r="AG33" s="108"/>
      <c r="AH33" s="18"/>
      <c r="AI33" s="134"/>
      <c r="AJ33" s="135"/>
      <c r="AK33" s="135"/>
      <c r="AL33" s="135"/>
      <c r="AM33" s="135"/>
      <c r="AN33" s="135"/>
      <c r="AO33" s="135"/>
      <c r="AP33" s="135"/>
      <c r="AQ33" s="135"/>
      <c r="AR33" s="135"/>
      <c r="AS33" s="1"/>
      <c r="AT33" s="1"/>
      <c r="AU33" s="1"/>
    </row>
    <row r="34" spans="1:50" ht="15.75" customHeight="1">
      <c r="A34" s="1"/>
      <c r="B34" s="47" t="s">
        <v>65</v>
      </c>
      <c r="C34" s="1"/>
      <c r="D34" s="48">
        <f>QUARTILE(D12:D31,3)</f>
        <v>29.848499999999998</v>
      </c>
      <c r="E34" s="10"/>
      <c r="F34" s="48">
        <f>QUARTILE(F12:F31,3)</f>
        <v>11952.904293</v>
      </c>
      <c r="G34" s="1"/>
      <c r="H34" s="1"/>
      <c r="I34" s="1"/>
      <c r="J34" s="1"/>
      <c r="K34" s="48"/>
      <c r="L34" s="48"/>
      <c r="M34" s="48">
        <f t="shared" ref="M34:AD34" si="10">QUARTILE(M12:M31,3)</f>
        <v>11976.225167999999</v>
      </c>
      <c r="N34" s="48">
        <f t="shared" si="10"/>
        <v>2196.8899000000001</v>
      </c>
      <c r="O34" s="48">
        <f t="shared" si="10"/>
        <v>4777.86985</v>
      </c>
      <c r="P34" s="48">
        <f t="shared" si="10"/>
        <v>4259.125</v>
      </c>
      <c r="Q34" s="48">
        <f t="shared" si="10"/>
        <v>299.95000000000005</v>
      </c>
      <c r="R34" s="48">
        <f t="shared" si="10"/>
        <v>735.15</v>
      </c>
      <c r="S34" s="48">
        <f t="shared" si="10"/>
        <v>813.8</v>
      </c>
      <c r="T34" s="48">
        <f t="shared" si="10"/>
        <v>188.43200000000002</v>
      </c>
      <c r="U34" s="48">
        <f t="shared" si="10"/>
        <v>420.95000000000005</v>
      </c>
      <c r="V34" s="48">
        <f t="shared" si="10"/>
        <v>515.4</v>
      </c>
      <c r="W34" s="48"/>
      <c r="X34" s="48"/>
      <c r="Y34" s="48"/>
      <c r="Z34" s="49">
        <f t="shared" si="10"/>
        <v>0.1535613649221621</v>
      </c>
      <c r="AA34" s="49">
        <f t="shared" si="10"/>
        <v>0.31736079153244356</v>
      </c>
      <c r="AB34" s="49">
        <f t="shared" si="10"/>
        <v>0.21743097717177362</v>
      </c>
      <c r="AC34" s="49">
        <f t="shared" si="10"/>
        <v>0.23049273488483032</v>
      </c>
      <c r="AD34" s="49">
        <f t="shared" si="10"/>
        <v>0.2148591705477933</v>
      </c>
      <c r="AE34" s="18"/>
      <c r="AF34" s="108"/>
      <c r="AG34" s="108"/>
      <c r="AH34" s="10"/>
      <c r="AI34" s="136"/>
      <c r="AJ34" s="135"/>
      <c r="AK34" s="135"/>
      <c r="AL34" s="135"/>
      <c r="AM34" s="1"/>
      <c r="AN34" s="1"/>
      <c r="AO34" s="1"/>
      <c r="AP34" s="1"/>
      <c r="AQ34" s="1"/>
      <c r="AR34" s="18"/>
      <c r="AS34" s="1"/>
      <c r="AT34" s="1"/>
      <c r="AU34" s="1"/>
    </row>
    <row r="35" spans="1:50" ht="15.75" customHeight="1">
      <c r="A35" s="1"/>
      <c r="B35" s="50" t="s">
        <v>66</v>
      </c>
      <c r="C35" s="51"/>
      <c r="D35" s="52">
        <f>MEDIAN(D12:D31)</f>
        <v>3.6178999999999997</v>
      </c>
      <c r="E35" s="53"/>
      <c r="F35" s="52">
        <f>MEDIAN(F12:F31)</f>
        <v>2793.5744400000003</v>
      </c>
      <c r="G35" s="51"/>
      <c r="H35" s="51"/>
      <c r="I35" s="51"/>
      <c r="J35" s="51"/>
      <c r="K35" s="53"/>
      <c r="L35" s="53"/>
      <c r="M35" s="52">
        <f t="shared" ref="M35:AD35" si="11">MEDIAN(M12:M31)</f>
        <v>3469.0424400000002</v>
      </c>
      <c r="N35" s="52">
        <f t="shared" si="11"/>
        <v>118.53900000000002</v>
      </c>
      <c r="O35" s="52">
        <f t="shared" si="11"/>
        <v>330.69869999999997</v>
      </c>
      <c r="P35" s="52">
        <f t="shared" si="11"/>
        <v>359.40150000000006</v>
      </c>
      <c r="Q35" s="52">
        <f t="shared" si="11"/>
        <v>0</v>
      </c>
      <c r="R35" s="52">
        <f t="shared" si="11"/>
        <v>15.124499999999999</v>
      </c>
      <c r="S35" s="52">
        <f t="shared" si="11"/>
        <v>21.635999999999999</v>
      </c>
      <c r="T35" s="52">
        <f t="shared" si="11"/>
        <v>0</v>
      </c>
      <c r="U35" s="52">
        <f t="shared" si="11"/>
        <v>25.218</v>
      </c>
      <c r="V35" s="52">
        <f t="shared" si="11"/>
        <v>4.5</v>
      </c>
      <c r="W35" s="52"/>
      <c r="X35" s="52"/>
      <c r="Y35" s="52"/>
      <c r="Z35" s="54">
        <f t="shared" si="11"/>
        <v>0.12098715890850742</v>
      </c>
      <c r="AA35" s="54">
        <f t="shared" si="11"/>
        <v>0.12462006079027366</v>
      </c>
      <c r="AB35" s="54">
        <f t="shared" si="11"/>
        <v>0.1747791952699978</v>
      </c>
      <c r="AC35" s="54">
        <f t="shared" si="11"/>
        <v>0.15535756237669282</v>
      </c>
      <c r="AD35" s="54">
        <f t="shared" si="11"/>
        <v>0.18241042345276876</v>
      </c>
      <c r="AE35" s="18"/>
      <c r="AF35" s="108"/>
      <c r="AG35" s="108"/>
      <c r="AH35" s="10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"/>
      <c r="AT35" s="1"/>
      <c r="AU35" s="1"/>
    </row>
    <row r="36" spans="1:50" ht="15.75" customHeight="1">
      <c r="A36" s="1"/>
      <c r="B36" s="47" t="s">
        <v>67</v>
      </c>
      <c r="C36" s="55"/>
      <c r="D36" s="48">
        <f>QUARTILE(D12:D31,1)</f>
        <v>0</v>
      </c>
      <c r="E36" s="48"/>
      <c r="F36" s="48">
        <f>QUARTILE(F12:F31,1)</f>
        <v>0</v>
      </c>
      <c r="G36" s="1"/>
      <c r="H36" s="1"/>
      <c r="I36" s="1"/>
      <c r="J36" s="1"/>
      <c r="K36" s="48"/>
      <c r="L36" s="48"/>
      <c r="M36" s="48">
        <f t="shared" ref="M36:AD36" si="12">QUARTILE(M12:M31,1)</f>
        <v>0</v>
      </c>
      <c r="N36" s="48">
        <f t="shared" si="12"/>
        <v>0</v>
      </c>
      <c r="O36" s="48">
        <f t="shared" si="12"/>
        <v>0</v>
      </c>
      <c r="P36" s="48">
        <f t="shared" si="12"/>
        <v>0</v>
      </c>
      <c r="Q36" s="48">
        <f t="shared" si="12"/>
        <v>0</v>
      </c>
      <c r="R36" s="48">
        <f t="shared" si="12"/>
        <v>0</v>
      </c>
      <c r="S36" s="48">
        <f t="shared" si="12"/>
        <v>0</v>
      </c>
      <c r="T36" s="48">
        <f t="shared" si="12"/>
        <v>0</v>
      </c>
      <c r="U36" s="48">
        <f t="shared" si="12"/>
        <v>0</v>
      </c>
      <c r="V36" s="48">
        <f t="shared" si="12"/>
        <v>0</v>
      </c>
      <c r="W36" s="48"/>
      <c r="X36" s="48"/>
      <c r="Y36" s="48"/>
      <c r="Z36" s="49">
        <f t="shared" si="12"/>
        <v>-2.6323573836456282E-2</v>
      </c>
      <c r="AA36" s="49">
        <f t="shared" si="12"/>
        <v>8.0303030303029987E-3</v>
      </c>
      <c r="AB36" s="49">
        <f t="shared" si="12"/>
        <v>0.10545702989535992</v>
      </c>
      <c r="AC36" s="49">
        <f t="shared" si="12"/>
        <v>0.1357835235701923</v>
      </c>
      <c r="AD36" s="49">
        <f t="shared" si="12"/>
        <v>0.13858052260384413</v>
      </c>
      <c r="AE36" s="18"/>
      <c r="AF36" s="108"/>
      <c r="AG36" s="108"/>
      <c r="AH36" s="10"/>
      <c r="AI36" s="134"/>
      <c r="AJ36" s="135"/>
      <c r="AK36" s="135"/>
      <c r="AL36" s="135"/>
      <c r="AM36" s="135"/>
      <c r="AN36" s="135"/>
      <c r="AO36" s="135"/>
      <c r="AP36" s="135"/>
      <c r="AQ36" s="135"/>
      <c r="AR36" s="18"/>
      <c r="AS36" s="1"/>
      <c r="AT36" s="1"/>
      <c r="AU36" s="1"/>
    </row>
    <row r="37" spans="1:50" ht="15.75" customHeight="1">
      <c r="A37" s="1"/>
      <c r="B37" s="56" t="s">
        <v>68</v>
      </c>
      <c r="C37" s="57"/>
      <c r="D37" s="58">
        <f>MIN(D12:D31)</f>
        <v>0</v>
      </c>
      <c r="E37" s="59"/>
      <c r="F37" s="58">
        <f>MIN(F12:F31)</f>
        <v>0</v>
      </c>
      <c r="G37" s="59"/>
      <c r="H37" s="59"/>
      <c r="I37" s="59"/>
      <c r="J37" s="59"/>
      <c r="K37" s="59"/>
      <c r="L37" s="59"/>
      <c r="M37" s="58">
        <f t="shared" ref="M37:AD37" si="13">MIN(M12:M31)</f>
        <v>0</v>
      </c>
      <c r="N37" s="58">
        <f t="shared" si="13"/>
        <v>0</v>
      </c>
      <c r="O37" s="58">
        <f t="shared" si="13"/>
        <v>0</v>
      </c>
      <c r="P37" s="58">
        <f t="shared" si="13"/>
        <v>0</v>
      </c>
      <c r="Q37" s="58">
        <f t="shared" si="13"/>
        <v>-156.91140000000001</v>
      </c>
      <c r="R37" s="58">
        <f t="shared" si="13"/>
        <v>-339.91200000000003</v>
      </c>
      <c r="S37" s="58">
        <f t="shared" si="13"/>
        <v>-159.96599999999998</v>
      </c>
      <c r="T37" s="58">
        <f t="shared" si="13"/>
        <v>-168.58799999999999</v>
      </c>
      <c r="U37" s="58">
        <f t="shared" si="13"/>
        <v>-347.21100000000001</v>
      </c>
      <c r="V37" s="58">
        <f t="shared" si="13"/>
        <v>-173.655</v>
      </c>
      <c r="W37" s="58"/>
      <c r="X37" s="58"/>
      <c r="Y37" s="58"/>
      <c r="Z37" s="60">
        <f t="shared" si="13"/>
        <v>-0.19404167059489019</v>
      </c>
      <c r="AA37" s="60">
        <f t="shared" si="13"/>
        <v>-0.52938995975428949</v>
      </c>
      <c r="AB37" s="60">
        <f t="shared" si="13"/>
        <v>-0.66791556526069806</v>
      </c>
      <c r="AC37" s="60">
        <f t="shared" si="13"/>
        <v>-1.0278601034718311</v>
      </c>
      <c r="AD37" s="60">
        <f t="shared" si="13"/>
        <v>-0.37033795891153054</v>
      </c>
      <c r="AE37" s="18"/>
      <c r="AF37" s="108"/>
      <c r="AG37" s="108"/>
      <c r="AH37" s="10"/>
      <c r="AI37" s="134"/>
      <c r="AJ37" s="135"/>
      <c r="AK37" s="135"/>
      <c r="AL37" s="135"/>
      <c r="AM37" s="135"/>
      <c r="AN37" s="135"/>
      <c r="AO37" s="18"/>
      <c r="AP37" s="18"/>
      <c r="AQ37" s="18"/>
      <c r="AR37" s="18"/>
      <c r="AS37" s="1"/>
      <c r="AT37" s="1"/>
      <c r="AU37" s="1"/>
    </row>
    <row r="38" spans="1:5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10"/>
      <c r="X38" s="112"/>
      <c r="Y38" s="110"/>
      <c r="Z38" s="1"/>
      <c r="AA38" s="1"/>
      <c r="AB38" s="1"/>
      <c r="AC38" s="1"/>
      <c r="AD38" s="1"/>
      <c r="AE38" s="18"/>
      <c r="AF38" s="108"/>
      <c r="AG38" s="108"/>
      <c r="AH38" s="10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50" ht="15.75" customHeight="1">
      <c r="A39" s="1"/>
      <c r="B39" s="61" t="str">
        <f>D5</f>
        <v>XXXXXX</v>
      </c>
      <c r="C39" s="62"/>
      <c r="D39" s="63">
        <f>D7</f>
        <v>0</v>
      </c>
      <c r="E39" s="64">
        <f>D6</f>
        <v>0</v>
      </c>
      <c r="F39" s="63">
        <f>E39*D39</f>
        <v>0</v>
      </c>
      <c r="G39" s="65">
        <v>0</v>
      </c>
      <c r="H39" s="65">
        <v>0</v>
      </c>
      <c r="I39" s="65">
        <v>0</v>
      </c>
      <c r="J39" s="65">
        <v>0</v>
      </c>
      <c r="K39" s="65">
        <v>0</v>
      </c>
      <c r="L39" s="65">
        <v>0</v>
      </c>
      <c r="M39" s="63">
        <f>IFERROR(+F39+G39+H39+I39+J39,"N/A")</f>
        <v>0</v>
      </c>
      <c r="N39" s="65">
        <v>0</v>
      </c>
      <c r="O39" s="65">
        <v>0</v>
      </c>
      <c r="P39" s="65">
        <v>0</v>
      </c>
      <c r="Q39" s="65">
        <v>0</v>
      </c>
      <c r="R39" s="65">
        <v>0</v>
      </c>
      <c r="S39" s="65">
        <v>0</v>
      </c>
      <c r="T39" s="65">
        <v>0</v>
      </c>
      <c r="U39" s="65">
        <v>0</v>
      </c>
      <c r="V39" s="65">
        <v>0</v>
      </c>
      <c r="W39" s="65"/>
      <c r="X39" s="65"/>
      <c r="Y39" s="65"/>
      <c r="Z39" s="66" t="str">
        <f>IFERROR(+P39/O39-1,"N/A")</f>
        <v>N/A</v>
      </c>
      <c r="AA39" s="66" t="str">
        <f>IFERROR(+S39/R39-1,"N/A")</f>
        <v>N/A</v>
      </c>
      <c r="AB39" s="66" t="str">
        <f>IFERROR(Q39/N39,"N/A")</f>
        <v>N/A</v>
      </c>
      <c r="AC39" s="66" t="str">
        <f>IFERROR(R39/O39,"N/A")</f>
        <v>N/A</v>
      </c>
      <c r="AD39" s="66" t="str">
        <f>IFERROR(S39/P39,"N/A")</f>
        <v>N/A</v>
      </c>
      <c r="AE39" s="18"/>
      <c r="AF39" s="108"/>
      <c r="AG39" s="108"/>
      <c r="AH39" s="137"/>
      <c r="AI39" s="135"/>
      <c r="AJ39" s="135"/>
      <c r="AK39" s="135"/>
      <c r="AL39" s="26"/>
      <c r="AM39" s="26"/>
      <c r="AN39" s="26"/>
      <c r="AO39" s="26"/>
      <c r="AP39" s="26"/>
      <c r="AQ39" s="26"/>
      <c r="AR39" s="1"/>
      <c r="AS39" s="1"/>
      <c r="AT39" s="1"/>
      <c r="AU39" s="1"/>
    </row>
    <row r="40" spans="1:5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10"/>
      <c r="X40" s="112"/>
      <c r="Y40" s="110"/>
      <c r="Z40" s="1"/>
      <c r="AA40" s="1"/>
      <c r="AB40" s="1"/>
      <c r="AC40" s="1"/>
      <c r="AD40" s="1"/>
      <c r="AE40" s="1"/>
      <c r="AF40" s="110"/>
      <c r="AG40" s="110"/>
      <c r="AH40" s="1"/>
      <c r="AI40" s="1"/>
      <c r="AJ40" s="18"/>
      <c r="AK40" s="10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ht="15.75" customHeight="1">
      <c r="A41" s="1"/>
      <c r="B41" s="22" t="s">
        <v>69</v>
      </c>
      <c r="C41" s="22"/>
      <c r="D41" s="22"/>
      <c r="E41" s="22"/>
      <c r="F41" s="138" t="s">
        <v>11</v>
      </c>
      <c r="G41" s="139"/>
      <c r="H41" s="139"/>
      <c r="I41" s="139"/>
      <c r="J41" s="139"/>
      <c r="K41" s="139"/>
      <c r="L41" s="139"/>
      <c r="M41" s="140"/>
      <c r="N41" s="138" t="s">
        <v>70</v>
      </c>
      <c r="O41" s="139"/>
      <c r="P41" s="140"/>
      <c r="Q41" s="138" t="s">
        <v>70</v>
      </c>
      <c r="R41" s="139"/>
      <c r="S41" s="140"/>
      <c r="T41" s="23"/>
      <c r="U41" s="23"/>
      <c r="V41" s="23"/>
      <c r="W41" s="129"/>
      <c r="X41" s="129"/>
      <c r="Y41" s="129"/>
      <c r="Z41" s="23"/>
      <c r="AA41" s="23"/>
      <c r="AB41" s="23"/>
      <c r="AC41" s="23"/>
      <c r="AD41" s="23"/>
      <c r="AE41" s="123"/>
      <c r="AF41" s="126"/>
      <c r="AG41" s="123"/>
      <c r="AH41" s="1"/>
      <c r="AI41" s="18"/>
      <c r="AJ41" s="10"/>
      <c r="AK41" s="136"/>
      <c r="AL41" s="135"/>
      <c r="AM41" s="135"/>
      <c r="AN41" s="135"/>
      <c r="AO41" s="135"/>
      <c r="AP41" s="135"/>
      <c r="AQ41" s="135"/>
      <c r="AR41" s="135"/>
      <c r="AS41" s="135"/>
      <c r="AT41" s="1"/>
      <c r="AU41" s="1"/>
      <c r="AV41" s="1"/>
      <c r="AW41" s="1"/>
    </row>
    <row r="42" spans="1:50" ht="15.75" customHeight="1">
      <c r="A42" s="1"/>
      <c r="B42" s="23"/>
      <c r="C42" s="23"/>
      <c r="D42" s="24"/>
      <c r="E42" s="24"/>
      <c r="F42" s="24" t="s">
        <v>15</v>
      </c>
      <c r="G42" s="24"/>
      <c r="H42" s="24"/>
      <c r="I42" s="24"/>
      <c r="J42" s="24"/>
      <c r="K42" s="24"/>
      <c r="L42" s="24"/>
      <c r="M42" s="24" t="s">
        <v>20</v>
      </c>
      <c r="N42" s="138" t="s">
        <v>21</v>
      </c>
      <c r="O42" s="139"/>
      <c r="P42" s="140"/>
      <c r="Q42" s="138" t="s">
        <v>22</v>
      </c>
      <c r="R42" s="139"/>
      <c r="S42" s="140"/>
      <c r="T42" s="138" t="s">
        <v>71</v>
      </c>
      <c r="U42" s="139"/>
      <c r="V42" s="140"/>
      <c r="W42" s="146" t="s">
        <v>133</v>
      </c>
      <c r="X42" s="146"/>
      <c r="Y42" s="146"/>
      <c r="Z42" s="67" t="s">
        <v>72</v>
      </c>
      <c r="AA42" s="67" t="s">
        <v>73</v>
      </c>
      <c r="AB42" s="141" t="s">
        <v>74</v>
      </c>
      <c r="AC42" s="139"/>
      <c r="AD42" s="140"/>
      <c r="AE42" s="124"/>
      <c r="AF42" s="128" t="s">
        <v>131</v>
      </c>
      <c r="AG42" s="124"/>
      <c r="AH42" s="68" t="s">
        <v>75</v>
      </c>
      <c r="AI42" s="69"/>
      <c r="AJ42" s="10"/>
      <c r="AK42" s="136"/>
      <c r="AL42" s="135"/>
      <c r="AM42" s="135"/>
      <c r="AN42" s="135"/>
      <c r="AO42" s="1"/>
      <c r="AP42" s="1"/>
      <c r="AQ42" s="1"/>
      <c r="AR42" s="1"/>
      <c r="AS42" s="1"/>
      <c r="AT42" s="1"/>
      <c r="AU42" s="1"/>
      <c r="AV42" s="1"/>
      <c r="AW42" s="1"/>
    </row>
    <row r="43" spans="1:50" ht="15.75" customHeight="1">
      <c r="A43" s="1"/>
      <c r="B43" s="27" t="s">
        <v>25</v>
      </c>
      <c r="C43" s="27"/>
      <c r="D43" s="28"/>
      <c r="E43" s="28"/>
      <c r="F43" s="28" t="s">
        <v>29</v>
      </c>
      <c r="G43" s="28"/>
      <c r="H43" s="28"/>
      <c r="I43" s="28"/>
      <c r="J43" s="28"/>
      <c r="K43" s="28"/>
      <c r="L43" s="28"/>
      <c r="M43" s="28" t="s">
        <v>29</v>
      </c>
      <c r="N43" s="29">
        <v>2016</v>
      </c>
      <c r="O43" s="29">
        <v>2017</v>
      </c>
      <c r="P43" s="29" t="s">
        <v>77</v>
      </c>
      <c r="Q43" s="29">
        <v>2016</v>
      </c>
      <c r="R43" s="29">
        <v>2017</v>
      </c>
      <c r="S43" s="29" t="s">
        <v>77</v>
      </c>
      <c r="T43" s="29">
        <v>2016</v>
      </c>
      <c r="U43" s="29">
        <v>2017</v>
      </c>
      <c r="V43" s="29" t="s">
        <v>77</v>
      </c>
      <c r="W43" s="130">
        <v>2017</v>
      </c>
      <c r="X43" s="130">
        <v>2018</v>
      </c>
      <c r="Y43" s="130">
        <v>2019</v>
      </c>
      <c r="Z43" s="29" t="s">
        <v>15</v>
      </c>
      <c r="AA43" s="29" t="s">
        <v>78</v>
      </c>
      <c r="AB43" s="29">
        <v>2016</v>
      </c>
      <c r="AC43" s="29">
        <v>2017</v>
      </c>
      <c r="AD43" s="29" t="s">
        <v>77</v>
      </c>
      <c r="AE43" s="127">
        <v>2017</v>
      </c>
      <c r="AF43" s="127">
        <v>2018</v>
      </c>
      <c r="AG43" s="125" t="s">
        <v>132</v>
      </c>
      <c r="AH43" s="47"/>
      <c r="AI43" s="71"/>
      <c r="AJ43" s="10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50" ht="15.75" customHeight="1">
      <c r="A44" s="30" t="s">
        <v>38</v>
      </c>
      <c r="B44" s="1" t="str">
        <f t="shared" ref="B44:C44" si="14">B12</f>
        <v>Iflytek Co Ltd.</v>
      </c>
      <c r="C44" s="1">
        <f t="shared" si="14"/>
        <v>2230</v>
      </c>
      <c r="D44" s="31"/>
      <c r="E44" s="31"/>
      <c r="F44" s="33">
        <f t="shared" ref="F44:F63" si="15">F12</f>
        <v>9906.3617639999993</v>
      </c>
      <c r="G44" s="31"/>
      <c r="H44" s="31"/>
      <c r="I44" s="31"/>
      <c r="J44" s="31"/>
      <c r="K44" s="1"/>
      <c r="L44" s="1"/>
      <c r="M44" s="33">
        <f t="shared" ref="M44:M63" si="16">M12</f>
        <v>10452.277263999998</v>
      </c>
      <c r="N44" s="72">
        <f t="shared" ref="N44:S44" si="17">IFERROR(IF(OR(+$M12/N12&lt;0,+$M12/N12&gt;=100),"NM",+$M12/N12),"N/A")</f>
        <v>14.767072652437509</v>
      </c>
      <c r="O44" s="72">
        <f t="shared" si="17"/>
        <v>10.155349074548893</v>
      </c>
      <c r="P44" s="72">
        <f t="shared" si="17"/>
        <v>8.7298732681867524</v>
      </c>
      <c r="Q44" s="73">
        <f t="shared" si="17"/>
        <v>82.888796701030913</v>
      </c>
      <c r="R44" s="73">
        <f t="shared" si="17"/>
        <v>65.367587642276405</v>
      </c>
      <c r="S44" s="73">
        <f t="shared" si="17"/>
        <v>47.858412380952373</v>
      </c>
      <c r="T44" s="73" t="str">
        <f t="shared" ref="T44:V44" si="18">IFERROR(IF(OR(+$F12/T12&lt;0,+$F12/T12&gt;=100),"NM",+$F12/T12),"N/A")</f>
        <v>NM</v>
      </c>
      <c r="U44" s="73" t="str">
        <f t="shared" si="18"/>
        <v>NM</v>
      </c>
      <c r="V44" s="73" t="str">
        <f t="shared" si="18"/>
        <v>NM</v>
      </c>
      <c r="W44" s="73"/>
      <c r="X44" s="73"/>
      <c r="Y44" s="73"/>
      <c r="Z44" s="73">
        <f t="shared" ref="Z44:Z63" si="19">IFERROR(IF(OR(+$H12/K12&lt;0,+$H12/K12&gt;=100),"NM",+$H12/K12),"N/A")</f>
        <v>0.71362070811621081</v>
      </c>
      <c r="AA44" s="73" t="str">
        <f t="shared" ref="AA44:AA63" si="20">IFERROR(IF(OR(+$R12/L12&lt;0,+$R12/L12&gt;=100),"NM",+$R12/L12),"N/A")</f>
        <v>N/A</v>
      </c>
      <c r="AB44" s="73">
        <f t="shared" ref="AB44:AB63" si="21">IFERROR(IF(OR(+$F12/Q12&lt;0,+$F12/Q12&gt;=100),"NM",+$F12/Q12),"N/A")</f>
        <v>78.559569896907206</v>
      </c>
      <c r="AC44" s="73">
        <f t="shared" ref="AC44:AC63" si="22">IFERROR(IF(OR(+$F12/R12&lt;0,+$F12/R12&gt;=100),"NM",+$F12/R12),"N/A")</f>
        <v>61.953481951219509</v>
      </c>
      <c r="AD44" s="73">
        <f t="shared" ref="AD44:AD63" si="23">IFERROR(IF(OR(+$F12/S12&lt;0,+$F12/S12&gt;=100),"NM",+$F12/S12),"N/A")</f>
        <v>45.358799285714284</v>
      </c>
      <c r="AE44" s="1"/>
      <c r="AF44" s="110"/>
      <c r="AG44" s="110"/>
      <c r="AH44" s="74" t="s">
        <v>79</v>
      </c>
      <c r="AI44" s="71"/>
      <c r="AJ44" s="10"/>
      <c r="AK44" s="136"/>
      <c r="AL44" s="135"/>
      <c r="AM44" s="135"/>
      <c r="AN44" s="135"/>
      <c r="AO44" s="135"/>
      <c r="AP44" s="135"/>
      <c r="AQ44" s="135"/>
      <c r="AR44" s="135"/>
      <c r="AS44" s="135"/>
      <c r="AT44" s="135"/>
      <c r="AU44" s="1"/>
      <c r="AV44" s="1"/>
      <c r="AW44" s="1"/>
    </row>
    <row r="45" spans="1:50" ht="15.75" customHeight="1">
      <c r="A45" s="30" t="s">
        <v>38</v>
      </c>
      <c r="B45" s="1" t="str">
        <f t="shared" ref="B45:C45" si="24">B13</f>
        <v>Hangzhou Hikvision Digital Technology Co Ltd</v>
      </c>
      <c r="C45" s="1">
        <f t="shared" si="24"/>
        <v>2415</v>
      </c>
      <c r="D45" s="31"/>
      <c r="E45" s="31"/>
      <c r="F45" s="33">
        <f t="shared" si="15"/>
        <v>41511.468921</v>
      </c>
      <c r="G45" s="31"/>
      <c r="H45" s="31"/>
      <c r="I45" s="31"/>
      <c r="J45" s="31"/>
      <c r="K45" s="1"/>
      <c r="L45" s="1"/>
      <c r="M45" s="33">
        <f t="shared" si="16"/>
        <v>42455.120721000007</v>
      </c>
      <c r="N45" s="72">
        <f t="shared" ref="N45:S45" si="25">IFERROR(IF(OR(+$M13/N13&lt;0,+$M13/N13&gt;=100),"NM",+$M13/N13),"N/A")</f>
        <v>7.792361052254833</v>
      </c>
      <c r="O45" s="72">
        <f t="shared" si="25"/>
        <v>6.552525114365972</v>
      </c>
      <c r="P45" s="72">
        <f t="shared" si="25"/>
        <v>5.8453168373008779</v>
      </c>
      <c r="Q45" s="73">
        <f t="shared" si="25"/>
        <v>28.547015008741262</v>
      </c>
      <c r="R45" s="73">
        <f t="shared" si="25"/>
        <v>25.613949152941181</v>
      </c>
      <c r="S45" s="73">
        <f t="shared" si="25"/>
        <v>23.427392517934006</v>
      </c>
      <c r="T45" s="73">
        <f t="shared" ref="T45:V45" si="26">IFERROR(IF(OR(+$F13/T13&lt;0,+$F13/T13&gt;=100),"NM",+$F13/T13),"N/A")</f>
        <v>33.934005494155159</v>
      </c>
      <c r="U45" s="73">
        <f t="shared" si="26"/>
        <v>28.133831867841408</v>
      </c>
      <c r="V45" s="73">
        <f t="shared" si="26"/>
        <v>26.654339874791319</v>
      </c>
      <c r="W45" s="73"/>
      <c r="X45" s="73"/>
      <c r="Y45" s="73"/>
      <c r="Z45" s="73">
        <f t="shared" si="19"/>
        <v>0.68867070233485161</v>
      </c>
      <c r="AA45" s="73" t="str">
        <f t="shared" si="20"/>
        <v>N/A</v>
      </c>
      <c r="AB45" s="73">
        <f t="shared" si="21"/>
        <v>27.912499274475522</v>
      </c>
      <c r="AC45" s="73">
        <f t="shared" si="22"/>
        <v>25.0446268</v>
      </c>
      <c r="AD45" s="73">
        <f t="shared" si="23"/>
        <v>22.906670853658536</v>
      </c>
      <c r="AE45" s="1"/>
      <c r="AF45" s="110"/>
      <c r="AG45" s="110"/>
      <c r="AH45" s="74" t="s">
        <v>80</v>
      </c>
      <c r="AI45" s="71"/>
      <c r="AJ45" s="10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50" ht="15.75" customHeight="1">
      <c r="A46" s="30" t="s">
        <v>38</v>
      </c>
      <c r="B46" s="1" t="str">
        <f t="shared" ref="B46:C46" si="27">B14</f>
        <v>Zhejiang Dahua Technology Co Ltd</v>
      </c>
      <c r="C46" s="1">
        <f t="shared" si="27"/>
        <v>2236</v>
      </c>
      <c r="D46" s="31"/>
      <c r="E46" s="31"/>
      <c r="F46" s="33">
        <f t="shared" si="15"/>
        <v>8080.9448719999991</v>
      </c>
      <c r="G46" s="31"/>
      <c r="H46" s="31"/>
      <c r="I46" s="31"/>
      <c r="J46" s="31"/>
      <c r="K46" s="1"/>
      <c r="L46" s="1"/>
      <c r="M46" s="33">
        <f t="shared" si="16"/>
        <v>9447.8246719999988</v>
      </c>
      <c r="N46" s="72">
        <f t="shared" ref="N46:S46" si="28">IFERROR(IF(OR(+$M14/N14&lt;0,+$M14/N14&gt;=100),"NM",+$M14/N14),"N/A")</f>
        <v>3.8566015900694421</v>
      </c>
      <c r="O46" s="72">
        <f t="shared" si="28"/>
        <v>3.0709256480584339</v>
      </c>
      <c r="P46" s="72">
        <f t="shared" si="28"/>
        <v>2.9000628252194729</v>
      </c>
      <c r="Q46" s="73">
        <f t="shared" si="28"/>
        <v>22.500177832817332</v>
      </c>
      <c r="R46" s="73">
        <f t="shared" si="28"/>
        <v>22.089840243161092</v>
      </c>
      <c r="S46" s="73">
        <f t="shared" si="28"/>
        <v>19.642047135135133</v>
      </c>
      <c r="T46" s="73">
        <f t="shared" ref="T46:V46" si="29">IFERROR(IF(OR(+$F14/T14&lt;0,+$F14/T14&gt;=100),"NM",+$F14/T14),"N/A")</f>
        <v>26.11811529411764</v>
      </c>
      <c r="U46" s="73">
        <f t="shared" si="29"/>
        <v>24.569610434782604</v>
      </c>
      <c r="V46" s="73">
        <f t="shared" si="29"/>
        <v>21.887716338028167</v>
      </c>
      <c r="W46" s="73"/>
      <c r="X46" s="73"/>
      <c r="Y46" s="73"/>
      <c r="Z46" s="73">
        <f t="shared" si="19"/>
        <v>0.97590498722250263</v>
      </c>
      <c r="AA46" s="73">
        <f t="shared" si="20"/>
        <v>14.304347826086955</v>
      </c>
      <c r="AB46" s="73">
        <f t="shared" si="21"/>
        <v>19.244927058823524</v>
      </c>
      <c r="AC46" s="73">
        <f t="shared" si="22"/>
        <v>18.893955744680849</v>
      </c>
      <c r="AD46" s="73">
        <f t="shared" si="23"/>
        <v>16.800301189189188</v>
      </c>
      <c r="AE46" s="1"/>
      <c r="AF46" s="110"/>
      <c r="AG46" s="110"/>
      <c r="AH46" s="74" t="s">
        <v>81</v>
      </c>
      <c r="AI46" s="71"/>
      <c r="AJ46" s="10"/>
      <c r="AK46" s="136"/>
      <c r="AL46" s="135"/>
      <c r="AM46" s="135"/>
      <c r="AN46" s="135"/>
      <c r="AO46" s="135"/>
      <c r="AP46" s="135"/>
      <c r="AQ46" s="135"/>
      <c r="AR46" s="135"/>
      <c r="AS46" s="135"/>
      <c r="AT46" s="135"/>
      <c r="AU46" s="1"/>
      <c r="AV46" s="1"/>
      <c r="AW46" s="1"/>
    </row>
    <row r="47" spans="1:50" ht="15.75" customHeight="1">
      <c r="A47" s="30" t="s">
        <v>42</v>
      </c>
      <c r="B47" s="1" t="str">
        <f t="shared" ref="B47:C47" si="30">B15</f>
        <v>Silicon Motion Technology</v>
      </c>
      <c r="C47" s="1" t="str">
        <f t="shared" si="30"/>
        <v>SIMO</v>
      </c>
      <c r="D47" s="31"/>
      <c r="E47" s="31"/>
      <c r="F47" s="33">
        <f t="shared" si="15"/>
        <v>6597.8420400000005</v>
      </c>
      <c r="G47" s="31"/>
      <c r="H47" s="31"/>
      <c r="I47" s="31"/>
      <c r="J47" s="31"/>
      <c r="K47" s="1"/>
      <c r="L47" s="1"/>
      <c r="M47" s="33">
        <f t="shared" si="16"/>
        <v>6220.4360400000005</v>
      </c>
      <c r="N47" s="72">
        <f t="shared" ref="N47:S47" si="31">IFERROR(IF(OR(+$M15/N15&lt;0,+$M15/N15&gt;=100),"NM",+$M15/N15),"N/A")</f>
        <v>13.205188383645396</v>
      </c>
      <c r="O47" s="72">
        <f t="shared" si="31"/>
        <v>13.03214028471764</v>
      </c>
      <c r="P47" s="72">
        <f t="shared" si="31"/>
        <v>16.169744525547447</v>
      </c>
      <c r="Q47" s="73">
        <f t="shared" si="31"/>
        <v>59.103776295536179</v>
      </c>
      <c r="R47" s="73">
        <f t="shared" si="31"/>
        <v>55.873852869846409</v>
      </c>
      <c r="S47" s="73">
        <f t="shared" si="31"/>
        <v>95.109338103756713</v>
      </c>
      <c r="T47" s="73">
        <f t="shared" ref="T47:V47" si="32">IFERROR(IF(OR(+$F15/T15&lt;0,+$F15/T15&gt;=100),"NM",+$F15/T15),"N/A")</f>
        <v>97.797966915688377</v>
      </c>
      <c r="U47" s="73">
        <f t="shared" si="32"/>
        <v>74.752070969715518</v>
      </c>
      <c r="V47" s="73" t="str">
        <f t="shared" si="32"/>
        <v>NM</v>
      </c>
      <c r="W47" s="73"/>
      <c r="X47" s="73"/>
      <c r="Y47" s="73"/>
      <c r="Z47" s="73">
        <f t="shared" si="19"/>
        <v>0.20590417926116308</v>
      </c>
      <c r="AA47" s="73" t="str">
        <f t="shared" si="20"/>
        <v>N/A</v>
      </c>
      <c r="AB47" s="73">
        <f t="shared" si="21"/>
        <v>62.689717804002058</v>
      </c>
      <c r="AC47" s="73">
        <f t="shared" si="22"/>
        <v>59.26382861762329</v>
      </c>
      <c r="AD47" s="73" t="str">
        <f t="shared" si="23"/>
        <v>NM</v>
      </c>
      <c r="AE47" s="1"/>
      <c r="AF47" s="110"/>
      <c r="AG47" s="110"/>
      <c r="AH47" s="47"/>
      <c r="AI47" s="71"/>
      <c r="AJ47" s="10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50" ht="15.75" customHeight="1">
      <c r="A48" s="114" t="s">
        <v>45</v>
      </c>
      <c r="B48" s="120" t="str">
        <f>B16</f>
        <v>Cloudera Inc.</v>
      </c>
      <c r="C48" s="120" t="str">
        <f>C16</f>
        <v>CLDR</v>
      </c>
      <c r="D48" s="116"/>
      <c r="E48" s="116"/>
      <c r="F48" s="119">
        <f t="shared" si="15"/>
        <v>2922.5944800000002</v>
      </c>
      <c r="G48" s="116"/>
      <c r="H48" s="116"/>
      <c r="I48" s="116"/>
      <c r="J48" s="116"/>
      <c r="K48" s="120"/>
      <c r="L48" s="120"/>
      <c r="M48" s="119">
        <f t="shared" si="16"/>
        <v>3262.8304800000001</v>
      </c>
      <c r="N48" s="121">
        <f t="shared" ref="N48:S48" si="33">IFERROR(IF(OR(+$M16/N16&lt;0,+$M16/N16&gt;=100),"NM",+$M16/N16),"N/A")</f>
        <v>13.888699383212659</v>
      </c>
      <c r="O48" s="121">
        <f t="shared" si="33"/>
        <v>9.8664750723241443</v>
      </c>
      <c r="P48" s="121">
        <f t="shared" si="33"/>
        <v>7.5537925574030087</v>
      </c>
      <c r="Q48" s="122" t="str">
        <f t="shared" si="33"/>
        <v>NM</v>
      </c>
      <c r="R48" s="122" t="str">
        <f t="shared" si="33"/>
        <v>NM</v>
      </c>
      <c r="S48" s="122" t="str">
        <f t="shared" si="33"/>
        <v>NM</v>
      </c>
      <c r="T48" s="122" t="str">
        <f t="shared" ref="T48:V48" si="34">IFERROR(IF(OR(+$F16/T16&lt;0,+$F16/T16&gt;=100),"NM",+$F16/T16),"N/A")</f>
        <v>NM</v>
      </c>
      <c r="U48" s="122" t="str">
        <f t="shared" si="34"/>
        <v>NM</v>
      </c>
      <c r="V48" s="122" t="str">
        <f t="shared" si="34"/>
        <v>NM</v>
      </c>
      <c r="W48" s="122"/>
      <c r="X48" s="122"/>
      <c r="Y48" s="122"/>
      <c r="Z48" s="122">
        <f t="shared" si="19"/>
        <v>0.54114959347348957</v>
      </c>
      <c r="AA48" s="122" t="str">
        <f t="shared" si="20"/>
        <v>N/A</v>
      </c>
      <c r="AB48" s="122" t="str">
        <f t="shared" si="21"/>
        <v>NM</v>
      </c>
      <c r="AC48" s="122" t="str">
        <f t="shared" si="22"/>
        <v>NM</v>
      </c>
      <c r="AD48" s="122" t="str">
        <f t="shared" si="23"/>
        <v>NM</v>
      </c>
      <c r="AE48" s="122">
        <v>6.35</v>
      </c>
      <c r="AF48" s="120">
        <v>2.3199999999999998</v>
      </c>
      <c r="AG48" s="120">
        <v>2.34</v>
      </c>
      <c r="AH48" s="74" t="s">
        <v>82</v>
      </c>
      <c r="AI48" s="71"/>
      <c r="AJ48" s="137"/>
      <c r="AK48" s="135"/>
      <c r="AL48" s="135"/>
      <c r="AM48" s="135"/>
      <c r="AN48" s="26"/>
      <c r="AO48" s="26"/>
      <c r="AP48" s="26"/>
      <c r="AQ48" s="26"/>
      <c r="AR48" s="26"/>
      <c r="AS48" s="26"/>
      <c r="AT48" s="1"/>
      <c r="AU48" s="1"/>
      <c r="AV48" s="1"/>
      <c r="AW48" s="1"/>
    </row>
    <row r="49" spans="1:49" ht="15.75" customHeight="1">
      <c r="A49" s="114" t="s">
        <v>45</v>
      </c>
      <c r="B49" s="120" t="str">
        <f t="shared" ref="B49:C49" si="35">B17</f>
        <v>Teradata Corp.</v>
      </c>
      <c r="C49" s="120" t="str">
        <f t="shared" si="35"/>
        <v>TDC</v>
      </c>
      <c r="D49" s="116"/>
      <c r="E49" s="116"/>
      <c r="F49" s="119">
        <f t="shared" si="15"/>
        <v>2664.5544</v>
      </c>
      <c r="G49" s="116"/>
      <c r="H49" s="116"/>
      <c r="I49" s="116"/>
      <c r="J49" s="116"/>
      <c r="K49" s="120"/>
      <c r="L49" s="120"/>
      <c r="M49" s="119">
        <f t="shared" si="16"/>
        <v>3675.2544000000003</v>
      </c>
      <c r="N49" s="121">
        <f t="shared" ref="N49:S49" si="36">IFERROR(IF(OR(+$M17/N17&lt;0,+$M17/N17&gt;=100),"NM",+$M17/N17),"N/A")</f>
        <v>1.890562962962963</v>
      </c>
      <c r="O49" s="121">
        <f t="shared" si="36"/>
        <v>1.890562962962963</v>
      </c>
      <c r="P49" s="121">
        <f t="shared" si="36"/>
        <v>2.052068341708543</v>
      </c>
      <c r="Q49" s="122">
        <f t="shared" si="36"/>
        <v>20.41808</v>
      </c>
      <c r="R49" s="122">
        <f t="shared" si="36"/>
        <v>24.021270588235296</v>
      </c>
      <c r="S49" s="122">
        <f t="shared" si="36"/>
        <v>21.492715789473685</v>
      </c>
      <c r="T49" s="122" t="str">
        <f t="shared" ref="T49:V49" si="37">IFERROR(IF(OR(+$F17/T17&lt;0,+$F17/T17&gt;=100),"NM",+$F17/T17),"N/A")</f>
        <v>NM</v>
      </c>
      <c r="U49" s="122">
        <f t="shared" si="37"/>
        <v>98.687200000000004</v>
      </c>
      <c r="V49" s="122" t="str">
        <f t="shared" si="37"/>
        <v>NM</v>
      </c>
      <c r="W49" s="122">
        <v>-1.62</v>
      </c>
      <c r="X49" s="122">
        <v>-3.34</v>
      </c>
      <c r="Y49" s="122">
        <v>-2.84</v>
      </c>
      <c r="Z49" s="122">
        <f t="shared" si="19"/>
        <v>5.0335365853658542</v>
      </c>
      <c r="AA49" s="122">
        <f t="shared" si="20"/>
        <v>5.666666666666667</v>
      </c>
      <c r="AB49" s="122">
        <f t="shared" si="21"/>
        <v>14.80308</v>
      </c>
      <c r="AC49" s="122">
        <f t="shared" si="22"/>
        <v>17.415388235294117</v>
      </c>
      <c r="AD49" s="122">
        <f t="shared" si="23"/>
        <v>15.58218947368421</v>
      </c>
      <c r="AE49" s="120">
        <v>7.02</v>
      </c>
      <c r="AF49" s="120">
        <v>9.0500000000000007</v>
      </c>
      <c r="AG49" s="120">
        <v>9.09</v>
      </c>
      <c r="AH49" s="74" t="s">
        <v>83</v>
      </c>
      <c r="AI49" s="71"/>
      <c r="AJ49" s="10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5.75" customHeight="1">
      <c r="A50" s="114" t="s">
        <v>45</v>
      </c>
      <c r="B50" s="120" t="str">
        <f t="shared" ref="B50:C50" si="38">B18</f>
        <v>Alteryx Inc.</v>
      </c>
      <c r="C50" s="120" t="str">
        <f t="shared" si="38"/>
        <v>AYX</v>
      </c>
      <c r="D50" s="116"/>
      <c r="E50" s="116"/>
      <c r="F50" s="119">
        <f t="shared" si="15"/>
        <v>6254.3623500000003</v>
      </c>
      <c r="G50" s="116"/>
      <c r="H50" s="116"/>
      <c r="I50" s="116"/>
      <c r="J50" s="116"/>
      <c r="K50" s="120"/>
      <c r="L50" s="120"/>
      <c r="M50" s="119">
        <f t="shared" si="16"/>
        <v>6234.6883500000004</v>
      </c>
      <c r="N50" s="121">
        <f t="shared" ref="N50:S50" si="39">IFERROR(IF(OR(+$M18/N18&lt;0,+$M18/N18&gt;=100),"NM",+$M18/N18),"N/A")</f>
        <v>52.596093690684071</v>
      </c>
      <c r="O50" s="121">
        <f t="shared" si="39"/>
        <v>27.319602082265256</v>
      </c>
      <c r="P50" s="121">
        <f t="shared" si="39"/>
        <v>18.660753441262827</v>
      </c>
      <c r="Q50" s="122" t="str">
        <f t="shared" si="39"/>
        <v>NM</v>
      </c>
      <c r="R50" s="122" t="str">
        <f t="shared" si="39"/>
        <v>NM</v>
      </c>
      <c r="S50" s="122" t="str">
        <f t="shared" si="39"/>
        <v>NM</v>
      </c>
      <c r="T50" s="122" t="str">
        <f t="shared" ref="T50:V50" si="40">IFERROR(IF(OR(+$F18/T18&lt;0,+$F18/T18&gt;=100),"NM",+$F18/T18),"N/A")</f>
        <v>NM</v>
      </c>
      <c r="U50" s="122" t="str">
        <f t="shared" si="40"/>
        <v>NM</v>
      </c>
      <c r="V50" s="122" t="str">
        <f t="shared" si="40"/>
        <v>NM</v>
      </c>
      <c r="W50" s="122"/>
      <c r="X50" s="122">
        <v>0.57999999999999996</v>
      </c>
      <c r="Y50" s="122">
        <v>2.16</v>
      </c>
      <c r="Z50" s="122">
        <f t="shared" si="19"/>
        <v>2.2045043181465585</v>
      </c>
      <c r="AA50" s="122">
        <f t="shared" si="20"/>
        <v>2.1586384071933202</v>
      </c>
      <c r="AB50" s="122" t="str">
        <f t="shared" si="21"/>
        <v>NM</v>
      </c>
      <c r="AC50" s="122" t="str">
        <f t="shared" si="22"/>
        <v>NM</v>
      </c>
      <c r="AD50" s="122" t="str">
        <f t="shared" si="23"/>
        <v>NM</v>
      </c>
      <c r="AE50" s="120">
        <v>9.82</v>
      </c>
      <c r="AF50" s="120">
        <v>12.13</v>
      </c>
      <c r="AG50" s="120">
        <v>20.16</v>
      </c>
      <c r="AH50" s="74" t="s">
        <v>84</v>
      </c>
      <c r="AI50" s="71"/>
      <c r="AJ50" s="10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ht="15.75" customHeight="1">
      <c r="A51" s="114" t="s">
        <v>45</v>
      </c>
      <c r="B51" s="120" t="str">
        <f t="shared" ref="B51:C51" si="41">B19</f>
        <v>Vmware Inc.</v>
      </c>
      <c r="C51" s="120" t="str">
        <f t="shared" si="41"/>
        <v>VMW</v>
      </c>
      <c r="D51" s="116"/>
      <c r="E51" s="116"/>
      <c r="F51" s="119">
        <f t="shared" si="15"/>
        <v>56795.953140000012</v>
      </c>
      <c r="G51" s="116"/>
      <c r="H51" s="116"/>
      <c r="I51" s="116"/>
      <c r="J51" s="116"/>
      <c r="K51" s="120"/>
      <c r="L51" s="120"/>
      <c r="M51" s="119">
        <f t="shared" si="16"/>
        <v>69542.653140000009</v>
      </c>
      <c r="N51" s="121" t="str">
        <f t="shared" ref="N51:S51" si="42">IFERROR(IF(OR(+$M19/N19&lt;0,+$M19/N19&gt;=100),"NM",+$M19/N19),"N/A")</f>
        <v>N/A</v>
      </c>
      <c r="O51" s="121">
        <f t="shared" si="42"/>
        <v>9.7562644696969709</v>
      </c>
      <c r="P51" s="121">
        <f t="shared" si="42"/>
        <v>8.6142268227424754</v>
      </c>
      <c r="Q51" s="122" t="str">
        <f t="shared" si="42"/>
        <v>N/A</v>
      </c>
      <c r="R51" s="122">
        <f t="shared" si="42"/>
        <v>36.447931415094345</v>
      </c>
      <c r="S51" s="122">
        <f t="shared" si="42"/>
        <v>28.724763791821566</v>
      </c>
      <c r="T51" s="122" t="str">
        <f t="shared" ref="T51:V51" si="43">IFERROR(IF(OR(+$F19/T19&lt;0,+$F19/T19&gt;=100),"NM",+$F19/T19),"N/A")</f>
        <v>N/A</v>
      </c>
      <c r="U51" s="122" t="str">
        <f t="shared" si="43"/>
        <v>NM</v>
      </c>
      <c r="V51" s="122">
        <f t="shared" si="43"/>
        <v>26.077113471074387</v>
      </c>
      <c r="W51" s="122">
        <v>0.47</v>
      </c>
      <c r="X51" s="122">
        <v>0</v>
      </c>
      <c r="Y51" s="122">
        <v>-1.1399999999999999</v>
      </c>
      <c r="Z51" s="122">
        <f t="shared" si="19"/>
        <v>2.784313725490196</v>
      </c>
      <c r="AA51" s="122">
        <f t="shared" si="20"/>
        <v>16.307692307692307</v>
      </c>
      <c r="AB51" s="122" t="str">
        <f t="shared" si="21"/>
        <v>N/A</v>
      </c>
      <c r="AC51" s="122">
        <f t="shared" si="22"/>
        <v>29.767271037735856</v>
      </c>
      <c r="AD51" s="122">
        <f t="shared" si="23"/>
        <v>23.459708029739783</v>
      </c>
      <c r="AE51" s="120">
        <v>4.7699999999999996</v>
      </c>
      <c r="AF51" s="120">
        <v>112.19</v>
      </c>
      <c r="AG51" s="120">
        <v>10.56</v>
      </c>
      <c r="AH51" s="47"/>
      <c r="AI51" s="71"/>
      <c r="AJ51" s="10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ht="15.75" customHeight="1">
      <c r="A52" s="1"/>
      <c r="B52" s="1" t="str">
        <f t="shared" ref="B52:C52" si="44">B20</f>
        <v>STMicroelectronics Inc.</v>
      </c>
      <c r="C52" s="1" t="str">
        <f t="shared" si="44"/>
        <v>STM</v>
      </c>
      <c r="D52" s="31"/>
      <c r="E52" s="31"/>
      <c r="F52" s="33">
        <f t="shared" si="15"/>
        <v>21992.1777</v>
      </c>
      <c r="G52" s="31"/>
      <c r="H52" s="31"/>
      <c r="I52" s="31"/>
      <c r="J52" s="31"/>
      <c r="K52" s="1"/>
      <c r="L52" s="1"/>
      <c r="M52" s="33">
        <f t="shared" si="16"/>
        <v>24265.577700000002</v>
      </c>
      <c r="N52" s="72">
        <f t="shared" ref="N52:S52" si="45">IFERROR(IF(OR(+$M20/N20&lt;0,+$M20/N20&gt;=100),"NM",+$M20/N20),"N/A")</f>
        <v>3.2289524550898205</v>
      </c>
      <c r="O52" s="72">
        <f t="shared" si="45"/>
        <v>2.7910717391304352</v>
      </c>
      <c r="P52" s="72">
        <f t="shared" si="45"/>
        <v>2.8530955555555559</v>
      </c>
      <c r="Q52" s="73">
        <f t="shared" si="45"/>
        <v>15.953700000000001</v>
      </c>
      <c r="R52" s="73">
        <f t="shared" si="45"/>
        <v>12.255342272727274</v>
      </c>
      <c r="S52" s="73">
        <f t="shared" si="45"/>
        <v>13.281651724137932</v>
      </c>
      <c r="T52" s="73">
        <f t="shared" ref="T52:V52" si="46">IFERROR(IF(OR(+$F20/T20&lt;0,+$F20/T20&gt;=100),"NM",+$F20/T20),"N/A")</f>
        <v>30.54469125</v>
      </c>
      <c r="U52" s="73">
        <f t="shared" si="46"/>
        <v>18.942444186046512</v>
      </c>
      <c r="V52" s="73">
        <f t="shared" si="46"/>
        <v>23.052597169811321</v>
      </c>
      <c r="W52" s="73"/>
      <c r="X52" s="73"/>
      <c r="Y52" s="73"/>
      <c r="Z52" s="73">
        <f t="shared" si="19"/>
        <v>0.75611967361740717</v>
      </c>
      <c r="AA52" s="73">
        <f t="shared" si="20"/>
        <v>10.421052631578947</v>
      </c>
      <c r="AB52" s="73">
        <f t="shared" si="21"/>
        <v>14.459025443786983</v>
      </c>
      <c r="AC52" s="73">
        <f t="shared" si="22"/>
        <v>11.107160454545454</v>
      </c>
      <c r="AD52" s="73">
        <f t="shared" si="23"/>
        <v>12.037316748768474</v>
      </c>
      <c r="AE52" s="1"/>
      <c r="AF52" s="110"/>
      <c r="AG52" s="110"/>
      <c r="AH52" s="74" t="s">
        <v>87</v>
      </c>
      <c r="AI52" s="71"/>
      <c r="AJ52" s="10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ht="15.75" customHeight="1">
      <c r="A53" s="1"/>
      <c r="B53" s="1" t="str">
        <f t="shared" ref="B53:C53" si="47">B21</f>
        <v>58.com Inc.</v>
      </c>
      <c r="C53" s="1" t="str">
        <f t="shared" si="47"/>
        <v>WUBA</v>
      </c>
      <c r="D53" s="31"/>
      <c r="E53" s="31"/>
      <c r="F53" s="33">
        <f t="shared" si="15"/>
        <v>18092.531879999999</v>
      </c>
      <c r="G53" s="31"/>
      <c r="H53" s="31"/>
      <c r="I53" s="31"/>
      <c r="J53" s="31"/>
      <c r="K53" s="1"/>
      <c r="L53" s="1"/>
      <c r="M53" s="33">
        <f t="shared" si="16"/>
        <v>16548.068879999999</v>
      </c>
      <c r="N53" s="72">
        <f t="shared" ref="N53:S53" si="48">IFERROR(IF(OR(+$M21/N21&lt;0,+$M21/N21&gt;=100),"NM",+$M21/N21),"N/A")</f>
        <v>1.8258930685203574</v>
      </c>
      <c r="O53" s="72">
        <f t="shared" si="48"/>
        <v>1.3992955251141552</v>
      </c>
      <c r="P53" s="72">
        <f t="shared" si="48"/>
        <v>1.2233362075848302</v>
      </c>
      <c r="Q53" s="73">
        <f t="shared" si="48"/>
        <v>8.2083674999999996</v>
      </c>
      <c r="R53" s="73">
        <f t="shared" si="48"/>
        <v>6.5666939999999991</v>
      </c>
      <c r="S53" s="73">
        <f t="shared" si="48"/>
        <v>5.6924901547987616</v>
      </c>
      <c r="T53" s="73">
        <f t="shared" ref="T53:V53" si="49">IFERROR(IF(OR(+$F21/T21&lt;0,+$F21/T21&gt;=100),"NM",+$F21/T21),"N/A")</f>
        <v>14.462455539568344</v>
      </c>
      <c r="U53" s="73">
        <f t="shared" si="49"/>
        <v>9.4379404694835678</v>
      </c>
      <c r="V53" s="73">
        <f t="shared" si="49"/>
        <v>3.2319635369774917</v>
      </c>
      <c r="W53" s="73"/>
      <c r="X53" s="73"/>
      <c r="Y53" s="73"/>
      <c r="Z53" s="73">
        <f t="shared" si="19"/>
        <v>0.27373752981566241</v>
      </c>
      <c r="AA53" s="73" t="str">
        <f t="shared" si="20"/>
        <v>N/A</v>
      </c>
      <c r="AB53" s="73">
        <f t="shared" si="21"/>
        <v>8.974470178571428</v>
      </c>
      <c r="AC53" s="73">
        <f t="shared" si="22"/>
        <v>7.1795761428571421</v>
      </c>
      <c r="AD53" s="73">
        <f t="shared" si="23"/>
        <v>6.2237811764705882</v>
      </c>
      <c r="AE53" s="1"/>
      <c r="AF53" s="110"/>
      <c r="AG53" s="110"/>
      <c r="AH53" s="74" t="s">
        <v>88</v>
      </c>
      <c r="AI53" s="71"/>
      <c r="AJ53" s="10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ht="15.75" customHeight="1">
      <c r="A54" s="1"/>
      <c r="B54" s="1" t="str">
        <f t="shared" ref="B54:C54" si="50">B22</f>
        <v>IBM</v>
      </c>
      <c r="C54" s="1" t="str">
        <f t="shared" si="50"/>
        <v>IBM</v>
      </c>
      <c r="D54" s="31"/>
      <c r="E54" s="31"/>
      <c r="F54" s="33">
        <f t="shared" si="15"/>
        <v>119760.23000000001</v>
      </c>
      <c r="G54" s="31"/>
      <c r="H54" s="31"/>
      <c r="I54" s="31"/>
      <c r="J54" s="31"/>
      <c r="K54" s="1"/>
      <c r="L54" s="1"/>
      <c r="M54" s="33">
        <f t="shared" si="16"/>
        <v>154193.23000000001</v>
      </c>
      <c r="N54" s="72">
        <f t="shared" ref="N54:S54" si="51">IFERROR(IF(OR(+$M22/N22&lt;0,+$M22/N22&gt;=100),"NM",+$M22/N22),"N/A")</f>
        <v>1.9483848671325139</v>
      </c>
      <c r="O54" s="72">
        <f t="shared" si="51"/>
        <v>1.9373199231068841</v>
      </c>
      <c r="P54" s="72">
        <f t="shared" si="51"/>
        <v>1.999108399994814</v>
      </c>
      <c r="Q54" s="73">
        <f t="shared" si="51"/>
        <v>13.525721929824563</v>
      </c>
      <c r="R54" s="73">
        <f t="shared" si="51"/>
        <v>13.594888908481749</v>
      </c>
      <c r="S54" s="73">
        <f t="shared" si="51"/>
        <v>9.6527626142481537</v>
      </c>
      <c r="T54" s="73">
        <f t="shared" ref="T54:V54" si="52">IFERROR(IF(OR(+$F22/T22&lt;0,+$F22/T22&gt;=100),"NM",+$F22/T22),"N/A")</f>
        <v>20.817005040848255</v>
      </c>
      <c r="U54" s="73">
        <f t="shared" si="52"/>
        <v>13.721382905591202</v>
      </c>
      <c r="V54" s="73">
        <f t="shared" si="52"/>
        <v>15.529075466804981</v>
      </c>
      <c r="W54" s="73"/>
      <c r="X54" s="73"/>
      <c r="Y54" s="73"/>
      <c r="Z54" s="73">
        <f t="shared" si="19"/>
        <v>0.371302134833282</v>
      </c>
      <c r="AA54" s="73" t="str">
        <f t="shared" si="20"/>
        <v>N/A</v>
      </c>
      <c r="AB54" s="73">
        <f t="shared" si="21"/>
        <v>10.505283333333335</v>
      </c>
      <c r="AC54" s="73">
        <f t="shared" si="22"/>
        <v>10.559004584729326</v>
      </c>
      <c r="AD54" s="73">
        <f t="shared" si="23"/>
        <v>7.49719732064605</v>
      </c>
      <c r="AE54" s="1"/>
      <c r="AF54" s="110"/>
      <c r="AG54" s="110"/>
      <c r="AH54" s="74" t="s">
        <v>93</v>
      </c>
      <c r="AI54" s="71"/>
      <c r="AJ54" s="10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ht="15.75" customHeight="1">
      <c r="A55" s="1"/>
      <c r="B55" s="1" t="str">
        <f t="shared" ref="B55:C55" si="53">B23</f>
        <v>xxx</v>
      </c>
      <c r="C55" s="1" t="str">
        <f t="shared" si="53"/>
        <v>XX</v>
      </c>
      <c r="D55" s="31"/>
      <c r="E55" s="31"/>
      <c r="F55" s="33">
        <f t="shared" si="15"/>
        <v>0</v>
      </c>
      <c r="G55" s="31"/>
      <c r="H55" s="31"/>
      <c r="I55" s="31"/>
      <c r="J55" s="31"/>
      <c r="K55" s="1"/>
      <c r="L55" s="1"/>
      <c r="M55" s="33">
        <f t="shared" si="16"/>
        <v>0</v>
      </c>
      <c r="N55" s="72" t="str">
        <f t="shared" ref="N55:S55" si="54">IFERROR(IF(OR(+$M23/N23&lt;0,+$M23/N23&gt;=100),"NM",+$M23/N23),"N/A")</f>
        <v>N/A</v>
      </c>
      <c r="O55" s="72" t="str">
        <f t="shared" si="54"/>
        <v>N/A</v>
      </c>
      <c r="P55" s="72" t="str">
        <f t="shared" si="54"/>
        <v>N/A</v>
      </c>
      <c r="Q55" s="73" t="str">
        <f t="shared" si="54"/>
        <v>N/A</v>
      </c>
      <c r="R55" s="73" t="str">
        <f t="shared" si="54"/>
        <v>N/A</v>
      </c>
      <c r="S55" s="73" t="str">
        <f t="shared" si="54"/>
        <v>N/A</v>
      </c>
      <c r="T55" s="73" t="str">
        <f t="shared" ref="T55:V55" si="55">IFERROR(IF(OR(+$F23/T23&lt;0,+$F23/T23&gt;=100),"NM",+$F23/T23),"N/A")</f>
        <v>N/A</v>
      </c>
      <c r="U55" s="73" t="str">
        <f t="shared" si="55"/>
        <v>N/A</v>
      </c>
      <c r="V55" s="73" t="str">
        <f t="shared" si="55"/>
        <v>N/A</v>
      </c>
      <c r="W55" s="73"/>
      <c r="X55" s="73"/>
      <c r="Y55" s="73"/>
      <c r="Z55" s="73" t="str">
        <f t="shared" si="19"/>
        <v>N/A</v>
      </c>
      <c r="AA55" s="73" t="str">
        <f t="shared" si="20"/>
        <v>N/A</v>
      </c>
      <c r="AB55" s="73" t="str">
        <f t="shared" si="21"/>
        <v>N/A</v>
      </c>
      <c r="AC55" s="73" t="str">
        <f t="shared" si="22"/>
        <v>N/A</v>
      </c>
      <c r="AD55" s="73" t="str">
        <f t="shared" si="23"/>
        <v>N/A</v>
      </c>
      <c r="AE55" s="1"/>
      <c r="AF55" s="110"/>
      <c r="AG55" s="110"/>
      <c r="AH55" s="74" t="s">
        <v>98</v>
      </c>
      <c r="AI55" s="71"/>
      <c r="AJ55" s="10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ht="15.75" customHeight="1">
      <c r="A56" s="1"/>
      <c r="B56" s="1" t="str">
        <f t="shared" ref="B56:C56" si="56">B24</f>
        <v>xxx</v>
      </c>
      <c r="C56" s="1" t="str">
        <f t="shared" si="56"/>
        <v>XX</v>
      </c>
      <c r="D56" s="31"/>
      <c r="E56" s="31"/>
      <c r="F56" s="33">
        <f t="shared" si="15"/>
        <v>0</v>
      </c>
      <c r="G56" s="31"/>
      <c r="H56" s="31"/>
      <c r="I56" s="31"/>
      <c r="J56" s="31"/>
      <c r="K56" s="1"/>
      <c r="L56" s="1"/>
      <c r="M56" s="33">
        <f t="shared" si="16"/>
        <v>0</v>
      </c>
      <c r="N56" s="72" t="str">
        <f t="shared" ref="N56:S56" si="57">IFERROR(IF(OR(+$M24/N24&lt;0,+$M24/N24&gt;=100),"NM",+$M24/N24),"N/A")</f>
        <v>N/A</v>
      </c>
      <c r="O56" s="72" t="str">
        <f t="shared" si="57"/>
        <v>N/A</v>
      </c>
      <c r="P56" s="72" t="str">
        <f t="shared" si="57"/>
        <v>N/A</v>
      </c>
      <c r="Q56" s="73" t="str">
        <f t="shared" si="57"/>
        <v>N/A</v>
      </c>
      <c r="R56" s="73" t="str">
        <f t="shared" si="57"/>
        <v>N/A</v>
      </c>
      <c r="S56" s="73" t="str">
        <f t="shared" si="57"/>
        <v>N/A</v>
      </c>
      <c r="T56" s="73" t="str">
        <f t="shared" ref="T56:V56" si="58">IFERROR(IF(OR(+$F24/T24&lt;0,+$F24/T24&gt;=100),"NM",+$F24/T24),"N/A")</f>
        <v>N/A</v>
      </c>
      <c r="U56" s="73" t="str">
        <f t="shared" si="58"/>
        <v>N/A</v>
      </c>
      <c r="V56" s="73" t="str">
        <f t="shared" si="58"/>
        <v>N/A</v>
      </c>
      <c r="W56" s="73"/>
      <c r="X56" s="73"/>
      <c r="Y56" s="73"/>
      <c r="Z56" s="73" t="str">
        <f t="shared" si="19"/>
        <v>N/A</v>
      </c>
      <c r="AA56" s="73" t="str">
        <f t="shared" si="20"/>
        <v>N/A</v>
      </c>
      <c r="AB56" s="73" t="str">
        <f t="shared" si="21"/>
        <v>N/A</v>
      </c>
      <c r="AC56" s="73" t="str">
        <f t="shared" si="22"/>
        <v>N/A</v>
      </c>
      <c r="AD56" s="73" t="str">
        <f t="shared" si="23"/>
        <v>N/A</v>
      </c>
      <c r="AE56" s="1"/>
      <c r="AF56" s="110"/>
      <c r="AG56" s="110"/>
      <c r="AH56" s="47"/>
      <c r="AI56" s="71"/>
      <c r="AJ56" s="10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ht="15.75" customHeight="1">
      <c r="A57" s="1"/>
      <c r="B57" s="1" t="str">
        <f t="shared" ref="B57:C57" si="59">B25</f>
        <v>xxx</v>
      </c>
      <c r="C57" s="1" t="str">
        <f t="shared" si="59"/>
        <v>XX</v>
      </c>
      <c r="D57" s="31"/>
      <c r="E57" s="31"/>
      <c r="F57" s="33">
        <f t="shared" si="15"/>
        <v>0</v>
      </c>
      <c r="G57" s="31"/>
      <c r="H57" s="31"/>
      <c r="I57" s="31"/>
      <c r="J57" s="31"/>
      <c r="K57" s="1"/>
      <c r="L57" s="1"/>
      <c r="M57" s="33">
        <f t="shared" si="16"/>
        <v>0</v>
      </c>
      <c r="N57" s="72" t="str">
        <f t="shared" ref="N57:S57" si="60">IFERROR(IF(OR(+$M25/N25&lt;0,+$M25/N25&gt;=100),"NM",+$M25/N25),"N/A")</f>
        <v>N/A</v>
      </c>
      <c r="O57" s="72" t="str">
        <f t="shared" si="60"/>
        <v>N/A</v>
      </c>
      <c r="P57" s="72" t="str">
        <f t="shared" si="60"/>
        <v>N/A</v>
      </c>
      <c r="Q57" s="73" t="str">
        <f t="shared" si="60"/>
        <v>N/A</v>
      </c>
      <c r="R57" s="73" t="str">
        <f t="shared" si="60"/>
        <v>N/A</v>
      </c>
      <c r="S57" s="73" t="str">
        <f t="shared" si="60"/>
        <v>N/A</v>
      </c>
      <c r="T57" s="73" t="str">
        <f t="shared" ref="T57:V57" si="61">IFERROR(IF(OR(+$F25/T25&lt;0,+$F25/T25&gt;=100),"NM",+$F25/T25),"N/A")</f>
        <v>N/A</v>
      </c>
      <c r="U57" s="73" t="str">
        <f t="shared" si="61"/>
        <v>N/A</v>
      </c>
      <c r="V57" s="73" t="str">
        <f t="shared" si="61"/>
        <v>N/A</v>
      </c>
      <c r="W57" s="73"/>
      <c r="X57" s="73"/>
      <c r="Y57" s="73"/>
      <c r="Z57" s="73" t="str">
        <f t="shared" si="19"/>
        <v>N/A</v>
      </c>
      <c r="AA57" s="73" t="str">
        <f t="shared" si="20"/>
        <v>N/A</v>
      </c>
      <c r="AB57" s="73" t="str">
        <f t="shared" si="21"/>
        <v>N/A</v>
      </c>
      <c r="AC57" s="73" t="str">
        <f t="shared" si="22"/>
        <v>N/A</v>
      </c>
      <c r="AD57" s="73" t="str">
        <f t="shared" si="23"/>
        <v>N/A</v>
      </c>
      <c r="AE57" s="1"/>
      <c r="AF57" s="110"/>
      <c r="AG57" s="110"/>
      <c r="AH57" s="74" t="s">
        <v>106</v>
      </c>
      <c r="AI57" s="71"/>
      <c r="AJ57" s="10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ht="15.75" customHeight="1">
      <c r="A58" s="1"/>
      <c r="B58" s="1" t="str">
        <f t="shared" ref="B58:C58" si="62">B26</f>
        <v>xxx</v>
      </c>
      <c r="C58" s="1" t="str">
        <f t="shared" si="62"/>
        <v>XX</v>
      </c>
      <c r="D58" s="31"/>
      <c r="E58" s="31"/>
      <c r="F58" s="33">
        <f t="shared" si="15"/>
        <v>0</v>
      </c>
      <c r="G58" s="31"/>
      <c r="H58" s="31"/>
      <c r="I58" s="31"/>
      <c r="J58" s="31"/>
      <c r="K58" s="1"/>
      <c r="L58" s="1"/>
      <c r="M58" s="33">
        <f t="shared" si="16"/>
        <v>0</v>
      </c>
      <c r="N58" s="72" t="str">
        <f t="shared" ref="N58:S58" si="63">IFERROR(IF(OR(+$M26/N26&lt;0,+$M26/N26&gt;=100),"NM",+$M26/N26),"N/A")</f>
        <v>N/A</v>
      </c>
      <c r="O58" s="72" t="str">
        <f t="shared" si="63"/>
        <v>N/A</v>
      </c>
      <c r="P58" s="72" t="str">
        <f t="shared" si="63"/>
        <v>N/A</v>
      </c>
      <c r="Q58" s="73" t="str">
        <f t="shared" si="63"/>
        <v>N/A</v>
      </c>
      <c r="R58" s="73" t="str">
        <f t="shared" si="63"/>
        <v>N/A</v>
      </c>
      <c r="S58" s="73" t="str">
        <f t="shared" si="63"/>
        <v>N/A</v>
      </c>
      <c r="T58" s="73" t="str">
        <f t="shared" ref="T58:V58" si="64">IFERROR(IF(OR(+$F26/T26&lt;0,+$F26/T26&gt;=100),"NM",+$F26/T26),"N/A")</f>
        <v>N/A</v>
      </c>
      <c r="U58" s="73" t="str">
        <f t="shared" si="64"/>
        <v>N/A</v>
      </c>
      <c r="V58" s="73" t="str">
        <f t="shared" si="64"/>
        <v>N/A</v>
      </c>
      <c r="W58" s="73"/>
      <c r="X58" s="73"/>
      <c r="Y58" s="73"/>
      <c r="Z58" s="73" t="str">
        <f t="shared" si="19"/>
        <v>N/A</v>
      </c>
      <c r="AA58" s="73" t="str">
        <f t="shared" si="20"/>
        <v>N/A</v>
      </c>
      <c r="AB58" s="73" t="str">
        <f t="shared" si="21"/>
        <v>N/A</v>
      </c>
      <c r="AC58" s="73" t="str">
        <f t="shared" si="22"/>
        <v>N/A</v>
      </c>
      <c r="AD58" s="73" t="str">
        <f t="shared" si="23"/>
        <v>N/A</v>
      </c>
      <c r="AE58" s="1"/>
      <c r="AF58" s="110"/>
      <c r="AG58" s="110"/>
      <c r="AH58" s="74" t="s">
        <v>108</v>
      </c>
      <c r="AI58" s="71"/>
      <c r="AJ58" s="10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ht="15.75" customHeight="1">
      <c r="A59" s="1"/>
      <c r="B59" s="1" t="str">
        <f t="shared" ref="B59:C59" si="65">B27</f>
        <v>xxx</v>
      </c>
      <c r="C59" s="1" t="str">
        <f t="shared" si="65"/>
        <v>XX</v>
      </c>
      <c r="D59" s="31"/>
      <c r="E59" s="31"/>
      <c r="F59" s="33">
        <f t="shared" si="15"/>
        <v>0</v>
      </c>
      <c r="G59" s="31"/>
      <c r="H59" s="31"/>
      <c r="I59" s="31"/>
      <c r="J59" s="31"/>
      <c r="K59" s="1"/>
      <c r="L59" s="1"/>
      <c r="M59" s="33">
        <f t="shared" si="16"/>
        <v>0</v>
      </c>
      <c r="N59" s="72" t="str">
        <f t="shared" ref="N59:S59" si="66">IFERROR(IF(OR(+$M27/N27&lt;0,+$M27/N27&gt;=100),"NM",+$M27/N27),"N/A")</f>
        <v>N/A</v>
      </c>
      <c r="O59" s="72" t="str">
        <f t="shared" si="66"/>
        <v>N/A</v>
      </c>
      <c r="P59" s="72" t="str">
        <f t="shared" si="66"/>
        <v>N/A</v>
      </c>
      <c r="Q59" s="73" t="str">
        <f t="shared" si="66"/>
        <v>N/A</v>
      </c>
      <c r="R59" s="73" t="str">
        <f t="shared" si="66"/>
        <v>N/A</v>
      </c>
      <c r="S59" s="73" t="str">
        <f t="shared" si="66"/>
        <v>N/A</v>
      </c>
      <c r="T59" s="73" t="str">
        <f t="shared" ref="T59:V59" si="67">IFERROR(IF(OR(+$F27/T27&lt;0,+$F27/T27&gt;=100),"NM",+$F27/T27),"N/A")</f>
        <v>N/A</v>
      </c>
      <c r="U59" s="73" t="str">
        <f t="shared" si="67"/>
        <v>N/A</v>
      </c>
      <c r="V59" s="73" t="str">
        <f t="shared" si="67"/>
        <v>N/A</v>
      </c>
      <c r="W59" s="73"/>
      <c r="X59" s="73"/>
      <c r="Y59" s="73"/>
      <c r="Z59" s="73" t="str">
        <f t="shared" si="19"/>
        <v>N/A</v>
      </c>
      <c r="AA59" s="73" t="str">
        <f t="shared" si="20"/>
        <v>N/A</v>
      </c>
      <c r="AB59" s="73" t="str">
        <f t="shared" si="21"/>
        <v>N/A</v>
      </c>
      <c r="AC59" s="73" t="str">
        <f t="shared" si="22"/>
        <v>N/A</v>
      </c>
      <c r="AD59" s="73" t="str">
        <f t="shared" si="23"/>
        <v>N/A</v>
      </c>
      <c r="AE59" s="1"/>
      <c r="AF59" s="110"/>
      <c r="AG59" s="110"/>
      <c r="AH59" s="74" t="s">
        <v>109</v>
      </c>
      <c r="AI59" s="71"/>
      <c r="AJ59" s="10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ht="15.75" customHeight="1">
      <c r="A60" s="1"/>
      <c r="B60" s="1" t="str">
        <f t="shared" ref="B60:C60" si="68">B28</f>
        <v>xxx</v>
      </c>
      <c r="C60" s="1" t="str">
        <f t="shared" si="68"/>
        <v>XX</v>
      </c>
      <c r="D60" s="31"/>
      <c r="E60" s="31"/>
      <c r="F60" s="33">
        <f t="shared" si="15"/>
        <v>0</v>
      </c>
      <c r="G60" s="31"/>
      <c r="H60" s="31"/>
      <c r="I60" s="31"/>
      <c r="J60" s="31"/>
      <c r="K60" s="1"/>
      <c r="L60" s="1"/>
      <c r="M60" s="33">
        <f t="shared" si="16"/>
        <v>0</v>
      </c>
      <c r="N60" s="72" t="str">
        <f t="shared" ref="N60:S60" si="69">IFERROR(IF(OR(+$M28/N28&lt;0,+$M28/N28&gt;=100),"NM",+$M28/N28),"N/A")</f>
        <v>N/A</v>
      </c>
      <c r="O60" s="72" t="str">
        <f t="shared" si="69"/>
        <v>N/A</v>
      </c>
      <c r="P60" s="72" t="str">
        <f t="shared" si="69"/>
        <v>N/A</v>
      </c>
      <c r="Q60" s="73" t="str">
        <f t="shared" si="69"/>
        <v>N/A</v>
      </c>
      <c r="R60" s="73" t="str">
        <f t="shared" si="69"/>
        <v>N/A</v>
      </c>
      <c r="S60" s="73" t="str">
        <f t="shared" si="69"/>
        <v>N/A</v>
      </c>
      <c r="T60" s="73" t="str">
        <f t="shared" ref="T60:V60" si="70">IFERROR(IF(OR(+$F28/T28&lt;0,+$F28/T28&gt;=100),"NM",+$F28/T28),"N/A")</f>
        <v>N/A</v>
      </c>
      <c r="U60" s="73" t="str">
        <f t="shared" si="70"/>
        <v>N/A</v>
      </c>
      <c r="V60" s="73" t="str">
        <f t="shared" si="70"/>
        <v>N/A</v>
      </c>
      <c r="W60" s="73"/>
      <c r="X60" s="73"/>
      <c r="Y60" s="73"/>
      <c r="Z60" s="73" t="str">
        <f t="shared" si="19"/>
        <v>N/A</v>
      </c>
      <c r="AA60" s="73" t="str">
        <f t="shared" si="20"/>
        <v>N/A</v>
      </c>
      <c r="AB60" s="73" t="str">
        <f t="shared" si="21"/>
        <v>N/A</v>
      </c>
      <c r="AC60" s="73" t="str">
        <f t="shared" si="22"/>
        <v>N/A</v>
      </c>
      <c r="AD60" s="73" t="str">
        <f t="shared" si="23"/>
        <v>N/A</v>
      </c>
      <c r="AE60" s="1"/>
      <c r="AF60" s="110"/>
      <c r="AG60" s="110"/>
      <c r="AH60" s="86" t="s">
        <v>111</v>
      </c>
      <c r="AI60" s="87"/>
      <c r="AJ60" s="10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ht="15.75" customHeight="1">
      <c r="A61" s="1"/>
      <c r="B61" s="1" t="str">
        <f t="shared" ref="B61:C61" si="71">B29</f>
        <v>xxx</v>
      </c>
      <c r="C61" s="1" t="str">
        <f t="shared" si="71"/>
        <v>XX</v>
      </c>
      <c r="D61" s="31"/>
      <c r="E61" s="31"/>
      <c r="F61" s="33">
        <f t="shared" si="15"/>
        <v>0</v>
      </c>
      <c r="G61" s="31"/>
      <c r="H61" s="31"/>
      <c r="I61" s="31"/>
      <c r="J61" s="31"/>
      <c r="K61" s="1"/>
      <c r="L61" s="1"/>
      <c r="M61" s="33">
        <f t="shared" si="16"/>
        <v>0</v>
      </c>
      <c r="N61" s="72" t="str">
        <f t="shared" ref="N61:S61" si="72">IFERROR(IF(OR(+$M29/N29&lt;0,+$M29/N29&gt;=100),"NM",+$M29/N29),"N/A")</f>
        <v>N/A</v>
      </c>
      <c r="O61" s="72" t="str">
        <f t="shared" si="72"/>
        <v>N/A</v>
      </c>
      <c r="P61" s="72" t="str">
        <f t="shared" si="72"/>
        <v>N/A</v>
      </c>
      <c r="Q61" s="73" t="str">
        <f t="shared" si="72"/>
        <v>N/A</v>
      </c>
      <c r="R61" s="73" t="str">
        <f t="shared" si="72"/>
        <v>N/A</v>
      </c>
      <c r="S61" s="73" t="str">
        <f t="shared" si="72"/>
        <v>N/A</v>
      </c>
      <c r="T61" s="73" t="str">
        <f t="shared" ref="T61:V61" si="73">IFERROR(IF(OR(+$F29/T29&lt;0,+$F29/T29&gt;=100),"NM",+$F29/T29),"N/A")</f>
        <v>N/A</v>
      </c>
      <c r="U61" s="73" t="str">
        <f t="shared" si="73"/>
        <v>N/A</v>
      </c>
      <c r="V61" s="73" t="str">
        <f t="shared" si="73"/>
        <v>N/A</v>
      </c>
      <c r="W61" s="73"/>
      <c r="X61" s="73"/>
      <c r="Y61" s="73"/>
      <c r="Z61" s="73" t="str">
        <f t="shared" si="19"/>
        <v>N/A</v>
      </c>
      <c r="AA61" s="73" t="str">
        <f t="shared" si="20"/>
        <v>N/A</v>
      </c>
      <c r="AB61" s="73" t="str">
        <f t="shared" si="21"/>
        <v>N/A</v>
      </c>
      <c r="AC61" s="73" t="str">
        <f t="shared" si="22"/>
        <v>N/A</v>
      </c>
      <c r="AD61" s="73" t="str">
        <f t="shared" si="23"/>
        <v>N/A</v>
      </c>
      <c r="AE61" s="1"/>
      <c r="AF61" s="110"/>
      <c r="AG61" s="110"/>
      <c r="AH61" s="1"/>
      <c r="AI61" s="18"/>
      <c r="AJ61" s="10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ht="15.75" customHeight="1">
      <c r="A62" s="1"/>
      <c r="B62" s="1" t="str">
        <f t="shared" ref="B62:C62" si="74">B30</f>
        <v>xxx</v>
      </c>
      <c r="C62" s="1" t="str">
        <f t="shared" si="74"/>
        <v>XX</v>
      </c>
      <c r="D62" s="31"/>
      <c r="E62" s="31"/>
      <c r="F62" s="33">
        <f t="shared" si="15"/>
        <v>0</v>
      </c>
      <c r="G62" s="31"/>
      <c r="H62" s="31"/>
      <c r="I62" s="31"/>
      <c r="J62" s="31"/>
      <c r="K62" s="1"/>
      <c r="L62" s="1"/>
      <c r="M62" s="33">
        <f t="shared" si="16"/>
        <v>0</v>
      </c>
      <c r="N62" s="72" t="str">
        <f t="shared" ref="N62:S62" si="75">IFERROR(IF(OR(+$M30/N30&lt;0,+$M30/N30&gt;=100),"NM",+$M30/N30),"N/A")</f>
        <v>N/A</v>
      </c>
      <c r="O62" s="72" t="str">
        <f t="shared" si="75"/>
        <v>N/A</v>
      </c>
      <c r="P62" s="72" t="str">
        <f t="shared" si="75"/>
        <v>N/A</v>
      </c>
      <c r="Q62" s="73" t="str">
        <f t="shared" si="75"/>
        <v>N/A</v>
      </c>
      <c r="R62" s="73" t="str">
        <f t="shared" si="75"/>
        <v>N/A</v>
      </c>
      <c r="S62" s="73" t="str">
        <f t="shared" si="75"/>
        <v>N/A</v>
      </c>
      <c r="T62" s="73" t="str">
        <f t="shared" ref="T62:V62" si="76">IFERROR(IF(OR(+$F30/T30&lt;0,+$F30/T30&gt;=100),"NM",+$F30/T30),"N/A")</f>
        <v>N/A</v>
      </c>
      <c r="U62" s="73" t="str">
        <f t="shared" si="76"/>
        <v>N/A</v>
      </c>
      <c r="V62" s="73" t="str">
        <f t="shared" si="76"/>
        <v>N/A</v>
      </c>
      <c r="W62" s="73"/>
      <c r="X62" s="73"/>
      <c r="Y62" s="73"/>
      <c r="Z62" s="73" t="str">
        <f t="shared" si="19"/>
        <v>N/A</v>
      </c>
      <c r="AA62" s="73" t="str">
        <f t="shared" si="20"/>
        <v>N/A</v>
      </c>
      <c r="AB62" s="73" t="str">
        <f t="shared" si="21"/>
        <v>N/A</v>
      </c>
      <c r="AC62" s="73" t="str">
        <f t="shared" si="22"/>
        <v>N/A</v>
      </c>
      <c r="AD62" s="73" t="str">
        <f t="shared" si="23"/>
        <v>N/A</v>
      </c>
      <c r="AE62" s="1"/>
      <c r="AF62" s="110"/>
      <c r="AG62" s="110"/>
      <c r="AH62" s="1"/>
      <c r="AI62" s="18"/>
      <c r="AJ62" s="10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ht="15.75" customHeight="1">
      <c r="A63" s="1"/>
      <c r="B63" s="1" t="str">
        <f t="shared" ref="B63:C63" si="77">B31</f>
        <v>xxx</v>
      </c>
      <c r="C63" s="1" t="str">
        <f t="shared" si="77"/>
        <v>XX</v>
      </c>
      <c r="D63" s="31"/>
      <c r="E63" s="31"/>
      <c r="F63" s="33">
        <f t="shared" si="15"/>
        <v>0</v>
      </c>
      <c r="G63" s="31"/>
      <c r="H63" s="31"/>
      <c r="I63" s="31"/>
      <c r="J63" s="31"/>
      <c r="K63" s="1"/>
      <c r="L63" s="1"/>
      <c r="M63" s="33">
        <f t="shared" si="16"/>
        <v>0</v>
      </c>
      <c r="N63" s="72" t="str">
        <f t="shared" ref="N63:S63" si="78">IFERROR(IF(OR(+$M31/N31&lt;0,+$M31/N31&gt;=100),"NM",+$M31/N31),"N/A")</f>
        <v>N/A</v>
      </c>
      <c r="O63" s="72" t="str">
        <f t="shared" si="78"/>
        <v>N/A</v>
      </c>
      <c r="P63" s="72" t="str">
        <f t="shared" si="78"/>
        <v>N/A</v>
      </c>
      <c r="Q63" s="73" t="str">
        <f t="shared" si="78"/>
        <v>N/A</v>
      </c>
      <c r="R63" s="73" t="str">
        <f t="shared" si="78"/>
        <v>N/A</v>
      </c>
      <c r="S63" s="73" t="str">
        <f t="shared" si="78"/>
        <v>N/A</v>
      </c>
      <c r="T63" s="73" t="str">
        <f t="shared" ref="T63:V63" si="79">IFERROR(IF(OR(+$F31/T31&lt;0,+$F31/T31&gt;=100),"NM",+$F31/T31),"N/A")</f>
        <v>N/A</v>
      </c>
      <c r="U63" s="73" t="str">
        <f t="shared" si="79"/>
        <v>N/A</v>
      </c>
      <c r="V63" s="73" t="str">
        <f t="shared" si="79"/>
        <v>N/A</v>
      </c>
      <c r="W63" s="73"/>
      <c r="X63" s="73"/>
      <c r="Y63" s="73"/>
      <c r="Z63" s="73" t="str">
        <f t="shared" si="19"/>
        <v>N/A</v>
      </c>
      <c r="AA63" s="73" t="str">
        <f t="shared" si="20"/>
        <v>N/A</v>
      </c>
      <c r="AB63" s="73" t="str">
        <f t="shared" si="21"/>
        <v>N/A</v>
      </c>
      <c r="AC63" s="73" t="str">
        <f t="shared" si="22"/>
        <v>N/A</v>
      </c>
      <c r="AD63" s="73" t="str">
        <f t="shared" si="23"/>
        <v>N/A</v>
      </c>
      <c r="AE63" s="1"/>
      <c r="AF63" s="110"/>
      <c r="AG63" s="110"/>
      <c r="AH63" s="1"/>
      <c r="AI63" s="18"/>
      <c r="AJ63" s="10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10"/>
      <c r="X64" s="112"/>
      <c r="Y64" s="110"/>
      <c r="Z64" s="1"/>
      <c r="AA64" s="1"/>
      <c r="AB64" s="1"/>
      <c r="AC64" s="1"/>
      <c r="AD64" s="1"/>
      <c r="AE64" s="1"/>
      <c r="AF64" s="110"/>
      <c r="AG64" s="110"/>
      <c r="AH64" s="1"/>
      <c r="AI64" s="18"/>
      <c r="AJ64" s="10"/>
      <c r="AK64" s="136"/>
      <c r="AL64" s="135"/>
      <c r="AM64" s="135"/>
      <c r="AN64" s="135"/>
      <c r="AO64" s="135"/>
      <c r="AP64" s="135"/>
      <c r="AQ64" s="135"/>
      <c r="AR64" s="135"/>
      <c r="AS64" s="135"/>
      <c r="AT64" s="135"/>
      <c r="AU64" s="1"/>
      <c r="AV64" s="1"/>
      <c r="AW64" s="1"/>
    </row>
    <row r="65" spans="1:50" ht="15.75" customHeight="1">
      <c r="A65" s="1"/>
      <c r="B65" s="43" t="s">
        <v>64</v>
      </c>
      <c r="C65" s="44"/>
      <c r="D65" s="44"/>
      <c r="E65" s="44"/>
      <c r="F65" s="45">
        <f>MAX(F44:F63)</f>
        <v>119760.23000000001</v>
      </c>
      <c r="G65" s="44"/>
      <c r="H65" s="44"/>
      <c r="I65" s="44"/>
      <c r="J65" s="44"/>
      <c r="K65" s="44"/>
      <c r="L65" s="44"/>
      <c r="M65" s="45">
        <f t="shared" ref="M65:AD65" si="80">MAX(M44:M63)</f>
        <v>154193.23000000001</v>
      </c>
      <c r="N65" s="88">
        <f t="shared" si="80"/>
        <v>52.596093690684071</v>
      </c>
      <c r="O65" s="88">
        <f t="shared" si="80"/>
        <v>27.319602082265256</v>
      </c>
      <c r="P65" s="88">
        <f t="shared" si="80"/>
        <v>18.660753441262827</v>
      </c>
      <c r="Q65" s="88">
        <f t="shared" si="80"/>
        <v>82.888796701030913</v>
      </c>
      <c r="R65" s="88">
        <f t="shared" si="80"/>
        <v>65.367587642276405</v>
      </c>
      <c r="S65" s="88">
        <f t="shared" si="80"/>
        <v>95.109338103756713</v>
      </c>
      <c r="T65" s="88">
        <f t="shared" si="80"/>
        <v>97.797966915688377</v>
      </c>
      <c r="U65" s="88">
        <f t="shared" si="80"/>
        <v>98.687200000000004</v>
      </c>
      <c r="V65" s="89">
        <f t="shared" si="80"/>
        <v>26.654339874791319</v>
      </c>
      <c r="W65" s="89"/>
      <c r="X65" s="89"/>
      <c r="Y65" s="89"/>
      <c r="Z65" s="89">
        <f t="shared" si="80"/>
        <v>5.0335365853658542</v>
      </c>
      <c r="AA65" s="89">
        <f t="shared" si="80"/>
        <v>16.307692307692307</v>
      </c>
      <c r="AB65" s="88">
        <f t="shared" si="80"/>
        <v>78.559569896907206</v>
      </c>
      <c r="AC65" s="88">
        <f t="shared" si="80"/>
        <v>61.953481951219509</v>
      </c>
      <c r="AD65" s="89">
        <f t="shared" si="80"/>
        <v>45.358799285714284</v>
      </c>
      <c r="AE65" s="1"/>
      <c r="AF65" s="110"/>
      <c r="AG65" s="110"/>
      <c r="AH65" s="1"/>
      <c r="AI65" s="18"/>
      <c r="AJ65" s="10"/>
      <c r="AK65" s="136"/>
      <c r="AL65" s="135"/>
      <c r="AM65" s="135"/>
      <c r="AN65" s="135"/>
      <c r="AO65" s="135"/>
      <c r="AP65" s="135"/>
      <c r="AQ65" s="135"/>
      <c r="AR65" s="1"/>
      <c r="AS65" s="1"/>
      <c r="AT65" s="1"/>
      <c r="AU65" s="1"/>
      <c r="AV65" s="1"/>
      <c r="AW65" s="1"/>
    </row>
    <row r="66" spans="1:50" ht="15.75" customHeight="1">
      <c r="A66" s="1"/>
      <c r="B66" s="47" t="s">
        <v>65</v>
      </c>
      <c r="C66" s="1"/>
      <c r="D66" s="1"/>
      <c r="E66" s="1"/>
      <c r="F66" s="48">
        <f>QUARTILE(F44:F63,3)</f>
        <v>11952.904293</v>
      </c>
      <c r="G66" s="10"/>
      <c r="H66" s="10"/>
      <c r="I66" s="10"/>
      <c r="J66" s="10"/>
      <c r="K66" s="48"/>
      <c r="L66" s="48"/>
      <c r="M66" s="48">
        <f t="shared" ref="M66:AD66" si="81">QUARTILE(M44:M63,3)</f>
        <v>11976.225167999999</v>
      </c>
      <c r="N66" s="73">
        <f t="shared" si="81"/>
        <v>13.717821633320844</v>
      </c>
      <c r="O66" s="73">
        <f t="shared" si="81"/>
        <v>10.010912073436518</v>
      </c>
      <c r="P66" s="73">
        <f t="shared" si="81"/>
        <v>8.6720500454646139</v>
      </c>
      <c r="Q66" s="73">
        <f t="shared" si="81"/>
        <v>36.186205330439989</v>
      </c>
      <c r="R66" s="73">
        <f t="shared" si="81"/>
        <v>36.447931415094345</v>
      </c>
      <c r="S66" s="73">
        <f t="shared" si="81"/>
        <v>28.724763791821566</v>
      </c>
      <c r="T66" s="73">
        <f t="shared" si="81"/>
        <v>33.086676933116365</v>
      </c>
      <c r="U66" s="73">
        <f t="shared" si="81"/>
        <v>51.442951418778463</v>
      </c>
      <c r="V66" s="90">
        <f t="shared" si="81"/>
        <v>25.320984395758622</v>
      </c>
      <c r="W66" s="90"/>
      <c r="X66" s="90"/>
      <c r="Y66" s="90"/>
      <c r="Z66" s="90">
        <f t="shared" si="81"/>
        <v>1.5902046526845304</v>
      </c>
      <c r="AA66" s="90">
        <f t="shared" si="81"/>
        <v>14.304347826086955</v>
      </c>
      <c r="AB66" s="73">
        <f t="shared" si="81"/>
        <v>36.606803906857152</v>
      </c>
      <c r="AC66" s="73">
        <f t="shared" si="81"/>
        <v>29.767271037735856</v>
      </c>
      <c r="AD66" s="90">
        <f t="shared" si="81"/>
        <v>23.044930147678848</v>
      </c>
      <c r="AE66" s="1"/>
      <c r="AF66" s="110"/>
      <c r="AG66" s="110"/>
      <c r="AH66" s="1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"/>
      <c r="AU66" s="1"/>
      <c r="AV66" s="1"/>
      <c r="AW66" s="1"/>
    </row>
    <row r="67" spans="1:50" ht="15.75" customHeight="1">
      <c r="A67" s="1"/>
      <c r="B67" s="50" t="s">
        <v>66</v>
      </c>
      <c r="C67" s="51"/>
      <c r="D67" s="51"/>
      <c r="E67" s="51"/>
      <c r="F67" s="52">
        <f>MEDIAN(F44:F63)</f>
        <v>2793.5744400000003</v>
      </c>
      <c r="G67" s="53"/>
      <c r="H67" s="53"/>
      <c r="I67" s="53"/>
      <c r="J67" s="53"/>
      <c r="K67" s="53"/>
      <c r="L67" s="53"/>
      <c r="M67" s="52">
        <f t="shared" ref="M67:AD67" si="82">MEDIAN(M44:M63)</f>
        <v>3469.0424400000002</v>
      </c>
      <c r="N67" s="91">
        <f t="shared" si="82"/>
        <v>5.8244813211621373</v>
      </c>
      <c r="O67" s="91">
        <f t="shared" si="82"/>
        <v>6.552525114365972</v>
      </c>
      <c r="P67" s="91">
        <f t="shared" si="82"/>
        <v>5.8453168373008779</v>
      </c>
      <c r="Q67" s="91">
        <f t="shared" si="82"/>
        <v>21.459128916408666</v>
      </c>
      <c r="R67" s="91">
        <f t="shared" si="82"/>
        <v>24.021270588235296</v>
      </c>
      <c r="S67" s="91">
        <f t="shared" si="82"/>
        <v>21.492715789473685</v>
      </c>
      <c r="T67" s="91">
        <f t="shared" si="82"/>
        <v>28.331403272058822</v>
      </c>
      <c r="U67" s="91">
        <f t="shared" si="82"/>
        <v>24.569610434782604</v>
      </c>
      <c r="V67" s="92">
        <f t="shared" si="82"/>
        <v>22.470156753919746</v>
      </c>
      <c r="W67" s="92"/>
      <c r="X67" s="92"/>
      <c r="Y67" s="92"/>
      <c r="Z67" s="92">
        <f t="shared" si="82"/>
        <v>0.71362070811621081</v>
      </c>
      <c r="AA67" s="92">
        <f t="shared" si="82"/>
        <v>10.421052631578947</v>
      </c>
      <c r="AB67" s="91">
        <f t="shared" si="82"/>
        <v>17.024003529411761</v>
      </c>
      <c r="AC67" s="91">
        <f t="shared" si="82"/>
        <v>18.893955744680849</v>
      </c>
      <c r="AD67" s="92">
        <f t="shared" si="82"/>
        <v>16.191245331436697</v>
      </c>
      <c r="AE67" s="1"/>
      <c r="AF67" s="110"/>
      <c r="AG67" s="110"/>
      <c r="AH67" s="1"/>
      <c r="AI67" s="18"/>
      <c r="AJ67" s="18"/>
      <c r="AK67" s="134"/>
      <c r="AL67" s="135"/>
      <c r="AM67" s="135"/>
      <c r="AN67" s="135"/>
      <c r="AO67" s="135"/>
      <c r="AP67" s="135"/>
      <c r="AQ67" s="135"/>
      <c r="AR67" s="135"/>
      <c r="AS67" s="135"/>
      <c r="AT67" s="1"/>
      <c r="AU67" s="1"/>
      <c r="AV67" s="1"/>
      <c r="AW67" s="1"/>
    </row>
    <row r="68" spans="1:50" ht="15.75" customHeight="1">
      <c r="A68" s="1"/>
      <c r="B68" s="47" t="s">
        <v>67</v>
      </c>
      <c r="C68" s="55"/>
      <c r="D68" s="1"/>
      <c r="E68" s="1"/>
      <c r="F68" s="48">
        <f>QUARTILE(F44:F63,1)</f>
        <v>0</v>
      </c>
      <c r="G68" s="10"/>
      <c r="H68" s="10"/>
      <c r="I68" s="10"/>
      <c r="J68" s="10"/>
      <c r="K68" s="48"/>
      <c r="L68" s="48"/>
      <c r="M68" s="48">
        <f t="shared" ref="M68:AD68" si="83">QUARTILE(M44:M63,1)</f>
        <v>0</v>
      </c>
      <c r="N68" s="73">
        <f t="shared" si="83"/>
        <v>2.2685267641218405</v>
      </c>
      <c r="O68" s="73">
        <f t="shared" si="83"/>
        <v>2.3641958311186597</v>
      </c>
      <c r="P68" s="73">
        <f t="shared" si="83"/>
        <v>2.4525819486320497</v>
      </c>
      <c r="Q68" s="73">
        <f t="shared" si="83"/>
        <v>15.346705482456141</v>
      </c>
      <c r="R68" s="73">
        <f t="shared" si="83"/>
        <v>13.594888908481749</v>
      </c>
      <c r="S68" s="73">
        <f t="shared" si="83"/>
        <v>13.281651724137932</v>
      </c>
      <c r="T68" s="73">
        <f t="shared" si="83"/>
        <v>22.142282604165601</v>
      </c>
      <c r="U68" s="73">
        <f t="shared" si="83"/>
        <v>16.331913545818857</v>
      </c>
      <c r="V68" s="90">
        <f t="shared" si="83"/>
        <v>17.118735684610776</v>
      </c>
      <c r="W68" s="90"/>
      <c r="X68" s="90"/>
      <c r="Y68" s="90"/>
      <c r="Z68" s="90">
        <f t="shared" si="83"/>
        <v>0.45622586415338579</v>
      </c>
      <c r="AA68" s="90">
        <f t="shared" si="83"/>
        <v>5.666666666666667</v>
      </c>
      <c r="AB68" s="73">
        <f t="shared" si="83"/>
        <v>13.470589916173571</v>
      </c>
      <c r="AC68" s="73">
        <f t="shared" si="83"/>
        <v>11.107160454545454</v>
      </c>
      <c r="AD68" s="90">
        <f t="shared" si="83"/>
        <v>10.902286891737868</v>
      </c>
      <c r="AE68" s="1"/>
      <c r="AF68" s="110"/>
      <c r="AG68" s="110"/>
      <c r="AH68" s="1"/>
      <c r="AI68" s="18"/>
      <c r="AJ68" s="10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50" ht="15.75" customHeight="1">
      <c r="A69" s="1"/>
      <c r="B69" s="56" t="s">
        <v>68</v>
      </c>
      <c r="C69" s="57"/>
      <c r="D69" s="93"/>
      <c r="E69" s="93"/>
      <c r="F69" s="58">
        <f>MIN(F44:F63)</f>
        <v>0</v>
      </c>
      <c r="G69" s="59"/>
      <c r="H69" s="59"/>
      <c r="I69" s="59"/>
      <c r="J69" s="59"/>
      <c r="K69" s="59"/>
      <c r="L69" s="59"/>
      <c r="M69" s="58">
        <f t="shared" ref="M69:AD69" si="84">MIN(M44:M63)</f>
        <v>0</v>
      </c>
      <c r="N69" s="94">
        <f t="shared" si="84"/>
        <v>1.8258930685203574</v>
      </c>
      <c r="O69" s="94">
        <f t="shared" si="84"/>
        <v>1.3992955251141552</v>
      </c>
      <c r="P69" s="94">
        <f t="shared" si="84"/>
        <v>1.2233362075848302</v>
      </c>
      <c r="Q69" s="94">
        <f t="shared" si="84"/>
        <v>8.2083674999999996</v>
      </c>
      <c r="R69" s="94">
        <f t="shared" si="84"/>
        <v>6.5666939999999991</v>
      </c>
      <c r="S69" s="94">
        <f t="shared" si="84"/>
        <v>5.6924901547987616</v>
      </c>
      <c r="T69" s="94">
        <f t="shared" si="84"/>
        <v>14.462455539568344</v>
      </c>
      <c r="U69" s="94">
        <f t="shared" si="84"/>
        <v>9.4379404694835678</v>
      </c>
      <c r="V69" s="95">
        <f t="shared" si="84"/>
        <v>3.2319635369774917</v>
      </c>
      <c r="W69" s="95"/>
      <c r="X69" s="95"/>
      <c r="Y69" s="95"/>
      <c r="Z69" s="95">
        <f t="shared" si="84"/>
        <v>0.20590417926116308</v>
      </c>
      <c r="AA69" s="95">
        <f t="shared" si="84"/>
        <v>2.1586384071933202</v>
      </c>
      <c r="AB69" s="94">
        <f t="shared" si="84"/>
        <v>8.974470178571428</v>
      </c>
      <c r="AC69" s="94">
        <f t="shared" si="84"/>
        <v>7.1795761428571421</v>
      </c>
      <c r="AD69" s="95">
        <f t="shared" si="84"/>
        <v>6.2237811764705882</v>
      </c>
      <c r="AE69" s="1"/>
      <c r="AF69" s="110"/>
      <c r="AG69" s="110"/>
      <c r="AH69" s="1"/>
      <c r="AI69" s="18"/>
      <c r="AJ69" s="137"/>
      <c r="AK69" s="135"/>
      <c r="AL69" s="135"/>
      <c r="AM69" s="135"/>
      <c r="AN69" s="135"/>
      <c r="AO69" s="26"/>
      <c r="AP69" s="26"/>
      <c r="AQ69" s="26"/>
      <c r="AR69" s="26"/>
      <c r="AS69" s="26"/>
      <c r="AT69" s="1"/>
      <c r="AU69" s="1"/>
      <c r="AV69" s="1"/>
      <c r="AW69" s="1"/>
    </row>
    <row r="70" spans="1:5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10"/>
      <c r="X70" s="112"/>
      <c r="Y70" s="110"/>
      <c r="Z70" s="1"/>
      <c r="AA70" s="1"/>
      <c r="AB70" s="1"/>
      <c r="AC70" s="1"/>
      <c r="AD70" s="1"/>
      <c r="AE70" s="1"/>
      <c r="AF70" s="110"/>
      <c r="AG70" s="110"/>
      <c r="AH70" s="1"/>
      <c r="AI70" s="18"/>
      <c r="AJ70" s="10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50" ht="15.75" customHeight="1">
      <c r="A71" s="1"/>
      <c r="B71" s="96" t="str">
        <f>B39</f>
        <v>XXXXXX</v>
      </c>
      <c r="C71" s="62"/>
      <c r="D71" s="62"/>
      <c r="E71" s="62"/>
      <c r="F71" s="97">
        <f>F39</f>
        <v>0</v>
      </c>
      <c r="G71" s="62"/>
      <c r="H71" s="62"/>
      <c r="I71" s="62"/>
      <c r="J71" s="62"/>
      <c r="K71" s="62"/>
      <c r="L71" s="62"/>
      <c r="M71" s="97">
        <f>M39</f>
        <v>0</v>
      </c>
      <c r="N71" s="99" t="str">
        <f t="shared" ref="N71:S71" si="85">IFERROR(IF(OR(+$M39/N39&lt;0,+$M39/N39&gt;=100),"NM",+$M39/N39),"N/A")</f>
        <v>N/A</v>
      </c>
      <c r="O71" s="99" t="str">
        <f t="shared" si="85"/>
        <v>N/A</v>
      </c>
      <c r="P71" s="99" t="str">
        <f t="shared" si="85"/>
        <v>N/A</v>
      </c>
      <c r="Q71" s="99" t="str">
        <f t="shared" si="85"/>
        <v>N/A</v>
      </c>
      <c r="R71" s="99" t="str">
        <f t="shared" si="85"/>
        <v>N/A</v>
      </c>
      <c r="S71" s="99" t="str">
        <f t="shared" si="85"/>
        <v>N/A</v>
      </c>
      <c r="T71" s="100" t="str">
        <f t="shared" ref="T71:V71" si="86">IFERROR(IF(OR(+$F39/T39&lt;0,+$F39/T39&gt;=100),"NM",+$F39/T39),"N/A")</f>
        <v>N/A</v>
      </c>
      <c r="U71" s="100" t="str">
        <f t="shared" si="86"/>
        <v>N/A</v>
      </c>
      <c r="V71" s="100" t="str">
        <f t="shared" si="86"/>
        <v>N/A</v>
      </c>
      <c r="W71" s="100"/>
      <c r="X71" s="100"/>
      <c r="Y71" s="100"/>
      <c r="Z71" s="100" t="str">
        <f>IFERROR(IF(OR(+$H39/K39&lt;0,+$H39/K39&gt;=100),"NM",+$H39/K39),"N/A")</f>
        <v>N/A</v>
      </c>
      <c r="AA71" s="100" t="str">
        <f>IFERROR(IF(OR(+$R39/L39&lt;0,+$R39/L39&gt;=100),"NM",+$R39/L39),"N/A")</f>
        <v>N/A</v>
      </c>
      <c r="AB71" s="100" t="str">
        <f t="shared" ref="AB71:AD71" si="87">IFERROR(IF(OR(+$F39/Q39&lt;0,+$F39/Q39&gt;=100),"NM",+$F39/Q39),"N/A")</f>
        <v>N/A</v>
      </c>
      <c r="AC71" s="100" t="str">
        <f t="shared" si="87"/>
        <v>N/A</v>
      </c>
      <c r="AD71" s="100" t="str">
        <f t="shared" si="87"/>
        <v>N/A</v>
      </c>
      <c r="AE71" s="1"/>
      <c r="AF71" s="110"/>
      <c r="AG71" s="110"/>
      <c r="AH71" s="1"/>
      <c r="AI71" s="18"/>
      <c r="AJ71" s="10"/>
      <c r="AK71" s="136"/>
      <c r="AL71" s="135"/>
      <c r="AM71" s="135"/>
      <c r="AN71" s="135"/>
      <c r="AO71" s="135"/>
      <c r="AP71" s="135"/>
      <c r="AQ71" s="135"/>
      <c r="AR71" s="135"/>
      <c r="AS71" s="135"/>
      <c r="AT71" s="1"/>
      <c r="AU71" s="1"/>
      <c r="AV71" s="1"/>
      <c r="AW71" s="1"/>
    </row>
    <row r="72" spans="1:5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10"/>
      <c r="X72" s="112"/>
      <c r="Y72" s="110"/>
      <c r="Z72" s="1"/>
      <c r="AA72" s="1"/>
      <c r="AB72" s="1"/>
      <c r="AC72" s="1"/>
      <c r="AD72" s="1"/>
      <c r="AE72" s="1"/>
      <c r="AF72" s="110"/>
      <c r="AG72" s="110"/>
      <c r="AH72" s="1"/>
      <c r="AI72" s="1"/>
      <c r="AJ72" s="18"/>
      <c r="AK72" s="10"/>
      <c r="AL72" s="136"/>
      <c r="AM72" s="135"/>
      <c r="AN72" s="135"/>
      <c r="AO72" s="135"/>
      <c r="AP72" s="135"/>
      <c r="AQ72" s="135"/>
      <c r="AR72" s="135"/>
      <c r="AS72" s="135"/>
      <c r="AT72" s="135"/>
      <c r="AU72" s="135"/>
      <c r="AV72" s="1"/>
      <c r="AW72" s="1"/>
      <c r="AX72" s="1"/>
    </row>
    <row r="73" spans="1:5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10"/>
      <c r="X73" s="112"/>
      <c r="Y73" s="110"/>
      <c r="Z73" s="1"/>
      <c r="AA73" s="1"/>
      <c r="AB73" s="1"/>
      <c r="AC73" s="1"/>
      <c r="AD73" s="1"/>
      <c r="AE73" s="1"/>
      <c r="AF73" s="110"/>
      <c r="AG73" s="110"/>
      <c r="AH73" s="1"/>
      <c r="AI73" s="1"/>
      <c r="AJ73" s="18"/>
      <c r="AK73" s="10"/>
      <c r="AL73" s="136"/>
      <c r="AM73" s="135"/>
      <c r="AN73" s="135"/>
      <c r="AO73" s="135"/>
      <c r="AP73" s="135"/>
      <c r="AQ73" s="1"/>
      <c r="AR73" s="1"/>
      <c r="AS73" s="1"/>
      <c r="AT73" s="1"/>
      <c r="AU73" s="1"/>
      <c r="AV73" s="1"/>
      <c r="AW73" s="1"/>
      <c r="AX73" s="1"/>
    </row>
    <row r="74" spans="1:50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08"/>
      <c r="X74" s="113"/>
      <c r="Y74" s="108"/>
      <c r="Z74" s="18"/>
      <c r="AA74" s="18"/>
      <c r="AB74" s="18"/>
      <c r="AC74" s="18"/>
      <c r="AD74" s="18"/>
      <c r="AE74" s="18"/>
      <c r="AF74" s="108"/>
      <c r="AG74" s="10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"/>
      <c r="AV74" s="1"/>
      <c r="AW74" s="1"/>
      <c r="AX74" s="1"/>
    </row>
    <row r="75" spans="1:50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08"/>
      <c r="X75" s="113"/>
      <c r="Y75" s="108"/>
      <c r="Z75" s="18"/>
      <c r="AA75" s="18"/>
      <c r="AB75" s="18"/>
      <c r="AC75" s="18"/>
      <c r="AD75" s="18"/>
      <c r="AE75" s="18"/>
      <c r="AF75" s="108"/>
      <c r="AG75" s="108"/>
      <c r="AH75" s="18"/>
      <c r="AI75" s="18"/>
      <c r="AJ75" s="18"/>
      <c r="AK75" s="10"/>
      <c r="AL75" s="136"/>
      <c r="AM75" s="135"/>
      <c r="AN75" s="135"/>
      <c r="AO75" s="135"/>
      <c r="AP75" s="135"/>
      <c r="AQ75" s="135"/>
      <c r="AR75" s="135"/>
      <c r="AS75" s="135"/>
      <c r="AT75" s="135"/>
      <c r="AU75" s="1"/>
      <c r="AV75" s="1"/>
      <c r="AW75" s="1"/>
      <c r="AX75" s="1"/>
    </row>
    <row r="76" spans="1:50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08"/>
      <c r="X76" s="113"/>
      <c r="Y76" s="108"/>
      <c r="Z76" s="18"/>
      <c r="AA76" s="18"/>
      <c r="AB76" s="18"/>
      <c r="AC76" s="18"/>
      <c r="AD76" s="18"/>
      <c r="AE76" s="18"/>
      <c r="AF76" s="108"/>
      <c r="AG76" s="108"/>
      <c r="AH76" s="18"/>
      <c r="AI76" s="18"/>
      <c r="AJ76" s="18"/>
      <c r="AK76" s="18"/>
      <c r="AL76" s="134"/>
      <c r="AM76" s="135"/>
      <c r="AN76" s="135"/>
      <c r="AO76" s="135"/>
      <c r="AP76" s="135"/>
      <c r="AQ76" s="135"/>
      <c r="AR76" s="135"/>
      <c r="AS76" s="18"/>
      <c r="AT76" s="18"/>
      <c r="AU76" s="18"/>
      <c r="AV76" s="18"/>
      <c r="AW76" s="18"/>
      <c r="AX76" s="18"/>
    </row>
    <row r="77" spans="1:50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08"/>
      <c r="X77" s="113"/>
      <c r="Y77" s="108"/>
      <c r="Z77" s="18"/>
      <c r="AA77" s="18"/>
      <c r="AB77" s="18"/>
      <c r="AC77" s="18"/>
      <c r="AD77" s="18"/>
      <c r="AE77" s="18"/>
      <c r="AF77" s="108"/>
      <c r="AG77" s="10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</row>
    <row r="78" spans="1:50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08"/>
      <c r="X78" s="113"/>
      <c r="Y78" s="108"/>
      <c r="Z78" s="18"/>
      <c r="AA78" s="18"/>
      <c r="AB78" s="18"/>
      <c r="AC78" s="18"/>
      <c r="AD78" s="18"/>
      <c r="AE78" s="18"/>
      <c r="AF78" s="108"/>
      <c r="AG78" s="108"/>
      <c r="AH78" s="18"/>
      <c r="AI78" s="18"/>
      <c r="AJ78" s="18"/>
      <c r="AK78" s="18"/>
      <c r="AL78" s="134"/>
      <c r="AM78" s="135"/>
      <c r="AN78" s="135"/>
      <c r="AO78" s="135"/>
      <c r="AP78" s="135"/>
      <c r="AQ78" s="135"/>
      <c r="AR78" s="135"/>
      <c r="AS78" s="135"/>
      <c r="AT78" s="135"/>
      <c r="AU78" s="18"/>
      <c r="AV78" s="18"/>
      <c r="AW78" s="18"/>
      <c r="AX78" s="18"/>
    </row>
    <row r="79" spans="1:50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08"/>
      <c r="X79" s="113"/>
      <c r="Y79" s="108"/>
      <c r="Z79" s="18"/>
      <c r="AA79" s="18"/>
      <c r="AB79" s="18"/>
      <c r="AC79" s="18"/>
      <c r="AD79" s="18"/>
      <c r="AE79" s="18"/>
      <c r="AF79" s="108"/>
      <c r="AG79" s="10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</row>
    <row r="80" spans="1:50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08"/>
      <c r="X80" s="113"/>
      <c r="Y80" s="108"/>
      <c r="Z80" s="18"/>
      <c r="AA80" s="18"/>
      <c r="AB80" s="18"/>
      <c r="AC80" s="18"/>
      <c r="AD80" s="18"/>
      <c r="AE80" s="18"/>
      <c r="AF80" s="108"/>
      <c r="AG80" s="108"/>
      <c r="AH80" s="18"/>
      <c r="AI80" s="18"/>
      <c r="AJ80" s="18"/>
      <c r="AK80" s="137"/>
      <c r="AL80" s="135"/>
      <c r="AM80" s="135"/>
      <c r="AN80" s="135"/>
      <c r="AO80" s="135"/>
      <c r="AP80" s="26"/>
      <c r="AQ80" s="26"/>
      <c r="AR80" s="26"/>
      <c r="AS80" s="26"/>
      <c r="AT80" s="26"/>
      <c r="AU80" s="18"/>
      <c r="AV80" s="18"/>
      <c r="AW80" s="18"/>
      <c r="AX80" s="18"/>
    </row>
    <row r="81" spans="1:50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08"/>
      <c r="X81" s="113"/>
      <c r="Y81" s="108"/>
      <c r="Z81" s="18"/>
      <c r="AA81" s="18"/>
      <c r="AB81" s="18"/>
      <c r="AC81" s="18"/>
      <c r="AD81" s="18"/>
      <c r="AE81" s="18"/>
      <c r="AF81" s="108"/>
      <c r="AG81" s="108"/>
      <c r="AH81" s="18"/>
      <c r="AI81" s="18"/>
      <c r="AJ81" s="18"/>
      <c r="AK81" s="10"/>
      <c r="AL81" s="1"/>
      <c r="AM81" s="1"/>
      <c r="AN81" s="1"/>
      <c r="AO81" s="1"/>
      <c r="AP81" s="1"/>
      <c r="AQ81" s="1"/>
      <c r="AR81" s="1"/>
      <c r="AS81" s="1"/>
      <c r="AT81" s="1"/>
      <c r="AU81" s="18"/>
      <c r="AV81" s="18"/>
      <c r="AW81" s="18"/>
      <c r="AX81" s="18"/>
    </row>
    <row r="82" spans="1:50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08"/>
      <c r="X82" s="113"/>
      <c r="Y82" s="108"/>
      <c r="Z82" s="18"/>
      <c r="AA82" s="18"/>
      <c r="AB82" s="18"/>
      <c r="AC82" s="18"/>
      <c r="AD82" s="18"/>
      <c r="AE82" s="18"/>
      <c r="AF82" s="108"/>
      <c r="AG82" s="108"/>
      <c r="AH82" s="18"/>
      <c r="AI82" s="18"/>
      <c r="AJ82" s="18"/>
      <c r="AK82" s="18"/>
      <c r="AL82" s="134"/>
      <c r="AM82" s="135"/>
      <c r="AN82" s="135"/>
      <c r="AO82" s="135"/>
      <c r="AP82" s="135"/>
      <c r="AQ82" s="135"/>
      <c r="AR82" s="135"/>
      <c r="AS82" s="135"/>
      <c r="AT82" s="135"/>
      <c r="AU82" s="135"/>
      <c r="AV82" s="18"/>
      <c r="AW82" s="18"/>
      <c r="AX82" s="18"/>
    </row>
    <row r="83" spans="1:50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08"/>
      <c r="X83" s="113"/>
      <c r="Y83" s="108"/>
      <c r="Z83" s="18"/>
      <c r="AA83" s="18"/>
      <c r="AB83" s="18"/>
      <c r="AC83" s="18"/>
      <c r="AD83" s="18"/>
      <c r="AE83" s="18"/>
      <c r="AF83" s="108"/>
      <c r="AG83" s="108"/>
      <c r="AH83" s="18"/>
      <c r="AI83" s="18"/>
      <c r="AJ83" s="18"/>
      <c r="AK83" s="18"/>
      <c r="AL83" s="134"/>
      <c r="AM83" s="135"/>
      <c r="AN83" s="135"/>
      <c r="AO83" s="135"/>
      <c r="AP83" s="135"/>
      <c r="AQ83" s="135"/>
      <c r="AR83" s="135"/>
      <c r="AS83" s="18"/>
      <c r="AT83" s="18"/>
      <c r="AU83" s="18"/>
      <c r="AV83" s="18"/>
      <c r="AW83" s="18"/>
      <c r="AX83" s="18"/>
    </row>
    <row r="84" spans="1:50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08"/>
      <c r="X84" s="113"/>
      <c r="Y84" s="108"/>
      <c r="Z84" s="18"/>
      <c r="AA84" s="18"/>
      <c r="AB84" s="18"/>
      <c r="AC84" s="18"/>
      <c r="AD84" s="18"/>
      <c r="AE84" s="18"/>
      <c r="AF84" s="108"/>
      <c r="AG84" s="10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</row>
    <row r="85" spans="1:50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08"/>
      <c r="X85" s="113"/>
      <c r="Y85" s="108"/>
      <c r="Z85" s="18"/>
      <c r="AA85" s="18"/>
      <c r="AB85" s="18"/>
      <c r="AC85" s="18"/>
      <c r="AD85" s="18"/>
      <c r="AE85" s="18"/>
      <c r="AF85" s="108"/>
      <c r="AG85" s="108"/>
      <c r="AH85" s="18"/>
      <c r="AI85" s="18"/>
      <c r="AJ85" s="18"/>
      <c r="AK85" s="137"/>
      <c r="AL85" s="135"/>
      <c r="AM85" s="135"/>
      <c r="AN85" s="26"/>
      <c r="AO85" s="26"/>
      <c r="AP85" s="26"/>
      <c r="AQ85" s="26"/>
      <c r="AR85" s="26"/>
      <c r="AS85" s="26"/>
      <c r="AT85" s="26"/>
      <c r="AU85" s="18"/>
      <c r="AV85" s="18"/>
      <c r="AW85" s="18"/>
      <c r="AX85" s="18"/>
    </row>
    <row r="86" spans="1:50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08"/>
      <c r="X86" s="113"/>
      <c r="Y86" s="108"/>
      <c r="Z86" s="18"/>
      <c r="AA86" s="18"/>
      <c r="AB86" s="18"/>
      <c r="AC86" s="18"/>
      <c r="AD86" s="18"/>
      <c r="AE86" s="18"/>
      <c r="AF86" s="108"/>
      <c r="AG86" s="108"/>
      <c r="AH86" s="18"/>
      <c r="AI86" s="18"/>
      <c r="AJ86" s="18"/>
      <c r="AK86" s="10"/>
      <c r="AL86" s="1"/>
      <c r="AM86" s="1"/>
      <c r="AN86" s="1"/>
      <c r="AO86" s="1"/>
      <c r="AP86" s="1"/>
      <c r="AQ86" s="1"/>
      <c r="AR86" s="1"/>
      <c r="AS86" s="1"/>
      <c r="AT86" s="1"/>
      <c r="AU86" s="18"/>
      <c r="AV86" s="18"/>
      <c r="AW86" s="18"/>
      <c r="AX86" s="18"/>
    </row>
    <row r="87" spans="1:50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08"/>
      <c r="X87" s="113"/>
      <c r="Y87" s="108"/>
      <c r="Z87" s="18"/>
      <c r="AA87" s="18"/>
      <c r="AB87" s="18"/>
      <c r="AC87" s="18"/>
      <c r="AD87" s="18"/>
      <c r="AE87" s="18"/>
      <c r="AF87" s="108"/>
      <c r="AG87" s="108"/>
      <c r="AH87" s="18"/>
      <c r="AI87" s="18"/>
      <c r="AJ87" s="18"/>
      <c r="AK87" s="18"/>
      <c r="AL87" s="134"/>
      <c r="AM87" s="135"/>
      <c r="AN87" s="135"/>
      <c r="AO87" s="135"/>
      <c r="AP87" s="135"/>
      <c r="AQ87" s="135"/>
      <c r="AR87" s="135"/>
      <c r="AS87" s="135"/>
      <c r="AT87" s="135"/>
      <c r="AU87" s="18"/>
      <c r="AV87" s="18"/>
      <c r="AW87" s="18"/>
      <c r="AX87" s="18"/>
    </row>
    <row r="88" spans="1:50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08"/>
      <c r="X88" s="113"/>
      <c r="Y88" s="108"/>
      <c r="Z88" s="18"/>
      <c r="AA88" s="18"/>
      <c r="AB88" s="18"/>
      <c r="AC88" s="18"/>
      <c r="AD88" s="18"/>
      <c r="AE88" s="18"/>
      <c r="AF88" s="108"/>
      <c r="AG88" s="108"/>
      <c r="AH88" s="18"/>
      <c r="AI88" s="18"/>
      <c r="AJ88" s="18"/>
      <c r="AK88" s="18"/>
      <c r="AL88" s="134"/>
      <c r="AM88" s="135"/>
      <c r="AN88" s="135"/>
      <c r="AO88" s="135"/>
      <c r="AP88" s="135"/>
      <c r="AQ88" s="135"/>
      <c r="AR88" s="135"/>
      <c r="AS88" s="135"/>
      <c r="AT88" s="18"/>
      <c r="AU88" s="18"/>
      <c r="AV88" s="18"/>
      <c r="AW88" s="18"/>
      <c r="AX88" s="18"/>
    </row>
    <row r="89" spans="1:50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08"/>
      <c r="X89" s="113"/>
      <c r="Y89" s="108"/>
      <c r="Z89" s="18"/>
      <c r="AA89" s="18"/>
      <c r="AB89" s="18"/>
      <c r="AC89" s="18"/>
      <c r="AD89" s="18"/>
      <c r="AE89" s="18"/>
      <c r="AF89" s="108"/>
      <c r="AG89" s="10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</row>
    <row r="90" spans="1:5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08"/>
      <c r="X90" s="113"/>
      <c r="Y90" s="108"/>
      <c r="Z90" s="18"/>
      <c r="AA90" s="18"/>
      <c r="AB90" s="18"/>
      <c r="AC90" s="18"/>
      <c r="AD90" s="18"/>
      <c r="AE90" s="18"/>
      <c r="AF90" s="108"/>
      <c r="AG90" s="108"/>
      <c r="AH90" s="18"/>
      <c r="AI90" s="18"/>
      <c r="AJ90" s="18"/>
      <c r="AK90" s="18"/>
      <c r="AL90" s="134"/>
      <c r="AM90" s="135"/>
      <c r="AN90" s="135"/>
      <c r="AO90" s="135"/>
      <c r="AP90" s="135"/>
      <c r="AQ90" s="135"/>
      <c r="AR90" s="135"/>
      <c r="AS90" s="135"/>
      <c r="AT90" s="18"/>
      <c r="AU90" s="18"/>
      <c r="AV90" s="18"/>
      <c r="AW90" s="18"/>
      <c r="AX90" s="18"/>
    </row>
    <row r="91" spans="1:50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08"/>
      <c r="X91" s="113"/>
      <c r="Y91" s="108"/>
      <c r="Z91" s="18"/>
      <c r="AA91" s="18"/>
      <c r="AB91" s="18"/>
      <c r="AC91" s="18"/>
      <c r="AD91" s="18"/>
      <c r="AE91" s="18"/>
      <c r="AF91" s="108"/>
      <c r="AG91" s="10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</row>
    <row r="92" spans="1:50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08"/>
      <c r="X92" s="113"/>
      <c r="Y92" s="108"/>
      <c r="Z92" s="18"/>
      <c r="AA92" s="18"/>
      <c r="AB92" s="18"/>
      <c r="AC92" s="18"/>
      <c r="AD92" s="18"/>
      <c r="AE92" s="18"/>
      <c r="AF92" s="108"/>
      <c r="AG92" s="108"/>
      <c r="AH92" s="18"/>
      <c r="AI92" s="18"/>
      <c r="AJ92" s="18"/>
      <c r="AK92" s="18"/>
      <c r="AL92" s="134"/>
      <c r="AM92" s="135"/>
      <c r="AN92" s="135"/>
      <c r="AO92" s="135"/>
      <c r="AP92" s="135"/>
      <c r="AQ92" s="135"/>
      <c r="AR92" s="135"/>
      <c r="AS92" s="135"/>
      <c r="AT92" s="135"/>
      <c r="AU92" s="18"/>
      <c r="AV92" s="18"/>
      <c r="AW92" s="18"/>
      <c r="AX92" s="18"/>
    </row>
    <row r="93" spans="1:50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08"/>
      <c r="X93" s="113"/>
      <c r="Y93" s="108"/>
      <c r="Z93" s="18"/>
      <c r="AA93" s="18"/>
      <c r="AB93" s="18"/>
      <c r="AC93" s="18"/>
      <c r="AD93" s="18"/>
      <c r="AE93" s="18"/>
      <c r="AF93" s="108"/>
      <c r="AG93" s="108"/>
      <c r="AH93" s="18"/>
      <c r="AI93" s="18"/>
      <c r="AJ93" s="18"/>
      <c r="AK93" s="18"/>
      <c r="AL93" s="134"/>
      <c r="AM93" s="135"/>
      <c r="AN93" s="135"/>
      <c r="AO93" s="135"/>
      <c r="AP93" s="135"/>
      <c r="AQ93" s="135"/>
      <c r="AR93" s="135"/>
      <c r="AS93" s="135"/>
      <c r="AT93" s="135"/>
      <c r="AU93" s="135"/>
      <c r="AV93" s="18"/>
      <c r="AW93" s="18"/>
      <c r="AX93" s="18"/>
    </row>
    <row r="94" spans="1:50" ht="15.75" customHeight="1"/>
    <row r="95" spans="1:50" ht="15.75" customHeight="1"/>
    <row r="96" spans="1:50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1">
    <mergeCell ref="B2:D2"/>
    <mergeCell ref="F9:M9"/>
    <mergeCell ref="AH9:AI9"/>
    <mergeCell ref="N10:P10"/>
    <mergeCell ref="Q10:S10"/>
    <mergeCell ref="T10:V10"/>
    <mergeCell ref="AB10:AD10"/>
    <mergeCell ref="W9:Y9"/>
    <mergeCell ref="W10:Y10"/>
    <mergeCell ref="N42:P42"/>
    <mergeCell ref="Q42:S42"/>
    <mergeCell ref="T42:V42"/>
    <mergeCell ref="AB42:AD42"/>
    <mergeCell ref="AK42:AN42"/>
    <mergeCell ref="W42:Y42"/>
    <mergeCell ref="AK44:AT44"/>
    <mergeCell ref="AK46:AT46"/>
    <mergeCell ref="AJ48:AM48"/>
    <mergeCell ref="AI36:AQ36"/>
    <mergeCell ref="AI37:AN37"/>
    <mergeCell ref="AH39:AK39"/>
    <mergeCell ref="F41:M41"/>
    <mergeCell ref="N41:P41"/>
    <mergeCell ref="Q41:S41"/>
    <mergeCell ref="AK41:AS41"/>
    <mergeCell ref="AI11:AO11"/>
    <mergeCell ref="AI13:AR13"/>
    <mergeCell ref="AI15:AQ15"/>
    <mergeCell ref="AI16:AR16"/>
    <mergeCell ref="AI17:AL17"/>
    <mergeCell ref="AI33:AR33"/>
    <mergeCell ref="AI34:AL34"/>
    <mergeCell ref="AK64:AT64"/>
    <mergeCell ref="AK65:AQ65"/>
    <mergeCell ref="AK67:AS67"/>
    <mergeCell ref="AJ69:AN69"/>
    <mergeCell ref="AK71:AS71"/>
    <mergeCell ref="AL72:AU72"/>
    <mergeCell ref="AL73:AP73"/>
    <mergeCell ref="AL87:AT87"/>
    <mergeCell ref="AL88:AS88"/>
    <mergeCell ref="AL90:AS90"/>
    <mergeCell ref="AL92:AT92"/>
    <mergeCell ref="AL93:AU93"/>
    <mergeCell ref="AL75:AT75"/>
    <mergeCell ref="AL76:AR76"/>
    <mergeCell ref="AL78:AT78"/>
    <mergeCell ref="AK80:AO80"/>
    <mergeCell ref="AL82:AU82"/>
    <mergeCell ref="AL83:AR83"/>
    <mergeCell ref="AK85:AM85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K1000"/>
  <sheetViews>
    <sheetView workbookViewId="0"/>
  </sheetViews>
  <sheetFormatPr baseColWidth="10" defaultColWidth="14.44140625" defaultRowHeight="15" customHeight="1"/>
  <sheetData>
    <row r="1" spans="11:11" ht="15.75" customHeight="1"/>
    <row r="2" spans="11:11" ht="15.75" customHeight="1"/>
    <row r="3" spans="11:11" ht="15.75" customHeight="1">
      <c r="K3" s="77"/>
    </row>
    <row r="4" spans="11:11" ht="15.75" customHeight="1"/>
    <row r="5" spans="11:11" ht="15.75" customHeight="1"/>
    <row r="6" spans="11:11" ht="15.75" customHeight="1"/>
    <row r="7" spans="11:11" ht="15.75" customHeight="1"/>
    <row r="8" spans="11:11" ht="15.75" customHeight="1"/>
    <row r="9" spans="11:11" ht="15.75" customHeight="1"/>
    <row r="10" spans="11:11" ht="15.75" customHeight="1"/>
    <row r="11" spans="11:11" ht="15.75" customHeight="1"/>
    <row r="12" spans="11:11" ht="15.75" customHeight="1"/>
    <row r="13" spans="11:11" ht="15.75" customHeight="1"/>
    <row r="14" spans="11:11" ht="15.75" customHeight="1"/>
    <row r="15" spans="11:11" ht="15.75" customHeight="1"/>
    <row r="16" spans="11:11" ht="15.75" customHeight="1"/>
    <row r="17" spans="2:11" ht="15.75" customHeight="1"/>
    <row r="18" spans="2:11" ht="15.75" customHeight="1">
      <c r="K18" s="78"/>
    </row>
    <row r="19" spans="2:11" ht="15.75" customHeight="1"/>
    <row r="20" spans="2:11" ht="15.75" customHeight="1"/>
    <row r="21" spans="2:11" ht="15.75" customHeight="1"/>
    <row r="22" spans="2:11" ht="15.75" customHeight="1"/>
    <row r="23" spans="2:11" ht="15.75" customHeight="1"/>
    <row r="24" spans="2:11" ht="15.75" customHeight="1"/>
    <row r="25" spans="2:11" ht="15.75" customHeight="1"/>
    <row r="26" spans="2:11" ht="15.75" customHeight="1"/>
    <row r="27" spans="2:11" ht="15.75" customHeight="1"/>
    <row r="28" spans="2:11" ht="15.75" customHeight="1">
      <c r="B28" s="77" t="s">
        <v>85</v>
      </c>
    </row>
    <row r="29" spans="2:11" ht="15.75" customHeight="1">
      <c r="B29" s="76" t="s">
        <v>89</v>
      </c>
      <c r="D29" s="76"/>
    </row>
    <row r="30" spans="2:11" ht="15.75" customHeight="1">
      <c r="B30" s="76" t="s">
        <v>90</v>
      </c>
    </row>
    <row r="31" spans="2:11" ht="15.75" customHeight="1">
      <c r="B31" s="76" t="s">
        <v>91</v>
      </c>
    </row>
    <row r="32" spans="2:11" ht="15.75" customHeight="1">
      <c r="B32" s="79" t="s">
        <v>92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1000"/>
  <sheetViews>
    <sheetView workbookViewId="0"/>
  </sheetViews>
  <sheetFormatPr baseColWidth="10" defaultColWidth="14.44140625" defaultRowHeight="15" customHeight="1"/>
  <sheetData>
    <row r="1" spans="1:24" ht="15.75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ht="15.75" customHeight="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</row>
    <row r="3" spans="1:24" ht="15.75" customHeight="1">
      <c r="A3" s="21"/>
      <c r="B3" s="70" t="s">
        <v>76</v>
      </c>
      <c r="C3" s="21"/>
      <c r="D3" s="70" t="str">
        <f>'Public Comps'!D5</f>
        <v>XXXXXX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</row>
    <row r="4" spans="1:24" ht="15.75" customHeigh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</row>
    <row r="5" spans="1:24" ht="15.75" customHeight="1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</row>
    <row r="6" spans="1:24" ht="15.75" customHeight="1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</row>
    <row r="7" spans="1:24" ht="15.75" customHeight="1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</row>
    <row r="8" spans="1:24" ht="15.75" customHeight="1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</row>
    <row r="9" spans="1:24" ht="15.75" customHeight="1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</row>
    <row r="10" spans="1:24" ht="15.75" customHeight="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</row>
    <row r="11" spans="1:24" ht="15.75" customHeight="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</row>
    <row r="12" spans="1:24" ht="15.75" customHeight="1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</row>
    <row r="13" spans="1:24" ht="15.75" customHeight="1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</row>
    <row r="14" spans="1:24" ht="15.75" customHeight="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spans="1:24" ht="15.75" customHeight="1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</row>
    <row r="16" spans="1:24" ht="15.75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</row>
    <row r="17" spans="1:24" ht="15.75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</row>
    <row r="18" spans="1:24" ht="15.7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</row>
    <row r="19" spans="1:24" ht="15.7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 spans="1:24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spans="1:24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</row>
    <row r="22" spans="1:24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 spans="1:24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</row>
    <row r="24" spans="1:24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</row>
    <row r="25" spans="1:24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</row>
    <row r="26" spans="1:24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</row>
    <row r="27" spans="1:24" ht="15.75" customHeight="1">
      <c r="A27" s="21"/>
      <c r="B27" s="70" t="s">
        <v>85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</row>
    <row r="28" spans="1:24" ht="15.75" customHeight="1">
      <c r="A28" s="21"/>
      <c r="B28" s="75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</row>
    <row r="29" spans="1:24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</row>
    <row r="30" spans="1:24" ht="15.75" customHeight="1">
      <c r="A30" s="21"/>
      <c r="B30" s="75" t="s">
        <v>86</v>
      </c>
      <c r="C30" s="76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 spans="1:24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 spans="1:24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 spans="1:24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 spans="1:24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</row>
    <row r="35" spans="1:24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</row>
    <row r="36" spans="1:24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</row>
    <row r="37" spans="1:24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</row>
    <row r="38" spans="1:24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</row>
    <row r="39" spans="1:24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</row>
    <row r="40" spans="1:24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</row>
    <row r="41" spans="1:24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</row>
    <row r="42" spans="1:24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</row>
    <row r="43" spans="1:24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</row>
    <row r="44" spans="1:24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</row>
    <row r="45" spans="1:24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</row>
    <row r="46" spans="1:24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</row>
    <row r="47" spans="1:24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</row>
    <row r="48" spans="1:24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</row>
    <row r="49" spans="1:24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</row>
    <row r="50" spans="1:24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</row>
    <row r="51" spans="1:24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</row>
    <row r="52" spans="1:24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</row>
    <row r="53" spans="1:24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</row>
    <row r="54" spans="1:24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</row>
    <row r="55" spans="1:24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</row>
    <row r="56" spans="1:24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</row>
    <row r="57" spans="1:24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</row>
    <row r="58" spans="1:24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</row>
    <row r="59" spans="1:24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</row>
    <row r="60" spans="1:24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</row>
    <row r="61" spans="1:24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</row>
    <row r="62" spans="1:24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</row>
    <row r="63" spans="1:24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</row>
    <row r="64" spans="1:24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</row>
    <row r="65" spans="1:24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</row>
    <row r="66" spans="1:24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</row>
    <row r="67" spans="1:24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</row>
    <row r="68" spans="1:24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</row>
    <row r="69" spans="1:24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</row>
    <row r="70" spans="1:24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</row>
    <row r="71" spans="1:24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</row>
    <row r="72" spans="1:24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</row>
    <row r="73" spans="1:24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</row>
    <row r="74" spans="1:24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</row>
    <row r="75" spans="1:24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</row>
    <row r="76" spans="1:24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</row>
    <row r="77" spans="1:24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</row>
    <row r="78" spans="1:24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</row>
    <row r="79" spans="1:24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</row>
    <row r="80" spans="1:24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</row>
    <row r="81" spans="1:24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</row>
    <row r="82" spans="1:24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</row>
    <row r="83" spans="1:24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</row>
    <row r="84" spans="1:24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</row>
    <row r="85" spans="1:24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</row>
    <row r="86" spans="1:24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</row>
    <row r="87" spans="1:24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</row>
    <row r="88" spans="1:24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</row>
    <row r="89" spans="1:24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</row>
    <row r="90" spans="1:24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</row>
    <row r="91" spans="1:24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</row>
    <row r="92" spans="1:24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</row>
    <row r="93" spans="1:24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</row>
    <row r="94" spans="1:24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</row>
    <row r="95" spans="1:24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</row>
    <row r="96" spans="1:24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</row>
    <row r="97" spans="1:24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</row>
    <row r="98" spans="1:24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</row>
    <row r="99" spans="1:24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</row>
    <row r="100" spans="1:24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</row>
    <row r="101" spans="1:24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</row>
    <row r="102" spans="1:24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</row>
    <row r="103" spans="1:24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</row>
    <row r="104" spans="1:24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</row>
    <row r="105" spans="1:24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</row>
    <row r="106" spans="1:24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</row>
    <row r="107" spans="1:24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</row>
    <row r="108" spans="1:24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</row>
    <row r="109" spans="1:24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</row>
    <row r="110" spans="1:24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</row>
    <row r="111" spans="1:24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</row>
    <row r="112" spans="1:24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</row>
    <row r="113" spans="1:24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</row>
    <row r="114" spans="1:2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</row>
    <row r="115" spans="1:24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</row>
    <row r="116" spans="1:24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</row>
    <row r="117" spans="1:24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</row>
    <row r="118" spans="1:24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</row>
    <row r="119" spans="1:24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</row>
    <row r="120" spans="1:24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</row>
    <row r="121" spans="1:24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</row>
    <row r="122" spans="1:24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</row>
    <row r="123" spans="1:24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</row>
    <row r="124" spans="1: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</row>
    <row r="125" spans="1:24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</row>
    <row r="126" spans="1:24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</row>
    <row r="127" spans="1:24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</row>
    <row r="128" spans="1:24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</row>
    <row r="129" spans="1:24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</row>
    <row r="130" spans="1:24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</row>
    <row r="131" spans="1:24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</row>
    <row r="132" spans="1:24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</row>
    <row r="133" spans="1:24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</row>
    <row r="134" spans="1:24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</row>
    <row r="135" spans="1:24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</row>
    <row r="136" spans="1:24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</row>
    <row r="137" spans="1:24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</row>
    <row r="138" spans="1:24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</row>
    <row r="139" spans="1:24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</row>
    <row r="140" spans="1:24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</row>
    <row r="141" spans="1:24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 spans="1:24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</row>
    <row r="143" spans="1:24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 spans="1:24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</row>
    <row r="145" spans="1:24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 spans="1:24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</row>
    <row r="147" spans="1:24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 spans="1:24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</row>
    <row r="149" spans="1:24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</row>
    <row r="150" spans="1:24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 spans="1:24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 spans="1:24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 spans="1:24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 spans="1:24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 spans="1:24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 spans="1:24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 spans="1:24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 spans="1:24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 spans="1:24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</row>
    <row r="160" spans="1:24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</row>
    <row r="161" spans="1:24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 spans="1:24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 spans="1:24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 spans="1:24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 spans="1:24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 spans="1:24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 spans="1:24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 spans="1:24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 spans="1:24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 spans="1:24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</row>
    <row r="171" spans="1:24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</row>
    <row r="172" spans="1:24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 spans="1:24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 spans="1:24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 spans="1:24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 spans="1:24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 spans="1:24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 spans="1:24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 spans="1:24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 spans="1:24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 spans="1:24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 spans="1:24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</row>
    <row r="183" spans="1:24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</row>
    <row r="184" spans="1:2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 spans="1:24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 spans="1:24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 spans="1:24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 spans="1:24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 spans="1:24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 spans="1:24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 spans="1:24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 spans="1:24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</row>
    <row r="193" spans="1:24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</row>
    <row r="194" spans="1:2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 spans="1:24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 spans="1:24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 spans="1:24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 spans="1:24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 spans="1:24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 spans="1:24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 spans="1:24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</row>
    <row r="202" spans="1:24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</row>
    <row r="203" spans="1:24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</row>
    <row r="204" spans="1:2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</row>
    <row r="205" spans="1:24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</row>
    <row r="206" spans="1:24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</row>
    <row r="207" spans="1:24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</row>
    <row r="208" spans="1:24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</row>
    <row r="209" spans="1:24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</row>
    <row r="210" spans="1:24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</row>
    <row r="211" spans="1:24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</row>
    <row r="212" spans="1:24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</row>
    <row r="213" spans="1:24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</row>
    <row r="214" spans="1:2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</row>
    <row r="215" spans="1:24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</row>
    <row r="216" spans="1:24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</row>
    <row r="217" spans="1:24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</row>
    <row r="218" spans="1:24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</row>
    <row r="219" spans="1:24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</row>
    <row r="220" spans="1:24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</row>
    <row r="221" spans="1:24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</row>
    <row r="222" spans="1:24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</row>
    <row r="223" spans="1:24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</row>
    <row r="224" spans="1:24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</row>
    <row r="225" spans="1:24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</row>
    <row r="226" spans="1:24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</row>
    <row r="227" spans="1:24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</row>
    <row r="228" spans="1:24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</row>
    <row r="229" spans="1:24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</row>
    <row r="230" spans="1:24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</row>
    <row r="231" spans="1:24" ht="15.75" customHeight="1"/>
    <row r="232" spans="1:24" ht="15.75" customHeight="1"/>
    <row r="233" spans="1:24" ht="15.75" customHeight="1"/>
    <row r="234" spans="1:24" ht="15.75" customHeight="1"/>
    <row r="235" spans="1:24" ht="15.75" customHeight="1"/>
    <row r="236" spans="1:24" ht="15.75" customHeight="1"/>
    <row r="237" spans="1:24" ht="15.75" customHeight="1"/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1:O1000"/>
  <sheetViews>
    <sheetView workbookViewId="0"/>
  </sheetViews>
  <sheetFormatPr baseColWidth="10" defaultColWidth="14.44140625" defaultRowHeight="15" customHeight="1"/>
  <cols>
    <col min="2" max="2" width="34.109375" customWidth="1"/>
    <col min="8" max="8" width="4.88671875" customWidth="1"/>
    <col min="10" max="10" width="5" customWidth="1"/>
  </cols>
  <sheetData>
    <row r="1" spans="2:15" ht="15.75" customHeight="1"/>
    <row r="2" spans="2:15" ht="15.75" customHeight="1">
      <c r="K2" s="145" t="s">
        <v>94</v>
      </c>
      <c r="L2" s="139"/>
      <c r="M2" s="139"/>
      <c r="N2" s="139"/>
      <c r="O2" s="140"/>
    </row>
    <row r="3" spans="2:15" ht="15.75" customHeight="1">
      <c r="B3" s="23"/>
      <c r="C3" s="24"/>
      <c r="D3" s="24" t="s">
        <v>95</v>
      </c>
      <c r="E3" s="24"/>
      <c r="F3" s="24" t="s">
        <v>96</v>
      </c>
      <c r="G3" s="25"/>
      <c r="H3" s="25"/>
      <c r="I3" s="24" t="s">
        <v>97</v>
      </c>
      <c r="J3" s="24"/>
      <c r="K3" s="24"/>
      <c r="L3" s="24" t="s">
        <v>96</v>
      </c>
      <c r="M3" s="24"/>
      <c r="N3" s="24" t="s">
        <v>95</v>
      </c>
      <c r="O3" s="24"/>
    </row>
    <row r="4" spans="2:15" ht="15.75" customHeight="1">
      <c r="B4" s="23"/>
      <c r="C4" s="24" t="s">
        <v>64</v>
      </c>
      <c r="D4" s="24" t="s">
        <v>99</v>
      </c>
      <c r="E4" s="24" t="s">
        <v>66</v>
      </c>
      <c r="F4" s="24" t="s">
        <v>99</v>
      </c>
      <c r="G4" s="24" t="s">
        <v>68</v>
      </c>
      <c r="H4" s="24"/>
      <c r="I4" s="24" t="s">
        <v>100</v>
      </c>
      <c r="J4" s="24"/>
      <c r="K4" s="24" t="s">
        <v>68</v>
      </c>
      <c r="L4" s="24" t="s">
        <v>99</v>
      </c>
      <c r="M4" s="24" t="s">
        <v>66</v>
      </c>
      <c r="N4" s="24" t="s">
        <v>99</v>
      </c>
      <c r="O4" s="24" t="s">
        <v>64</v>
      </c>
    </row>
    <row r="5" spans="2:15" ht="15.75" customHeight="1">
      <c r="B5" s="27" t="s">
        <v>101</v>
      </c>
      <c r="C5" s="28" t="s">
        <v>102</v>
      </c>
      <c r="D5" s="28" t="s">
        <v>102</v>
      </c>
      <c r="E5" s="28" t="s">
        <v>102</v>
      </c>
      <c r="F5" s="28" t="s">
        <v>102</v>
      </c>
      <c r="G5" s="28" t="s">
        <v>102</v>
      </c>
      <c r="H5" s="28"/>
      <c r="I5" s="28" t="s">
        <v>103</v>
      </c>
      <c r="J5" s="28"/>
      <c r="K5" s="28" t="s">
        <v>102</v>
      </c>
      <c r="L5" s="28" t="s">
        <v>102</v>
      </c>
      <c r="M5" s="28" t="s">
        <v>102</v>
      </c>
      <c r="N5" s="28" t="s">
        <v>102</v>
      </c>
      <c r="O5" s="28" t="s">
        <v>102</v>
      </c>
    </row>
    <row r="6" spans="2:15" ht="15.75" customHeight="1"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</row>
    <row r="7" spans="2:15" ht="15.75" customHeight="1">
      <c r="B7" s="26" t="s">
        <v>104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</row>
    <row r="8" spans="2:15" ht="15.75" customHeight="1">
      <c r="B8" s="80" t="s">
        <v>105</v>
      </c>
      <c r="C8" s="81">
        <f t="array" ref="C8:G8">TRANSPOSE('Public Comps'!N65:N69)</f>
        <v>52.596093690684071</v>
      </c>
      <c r="D8" s="81">
        <v>13.717821633320844</v>
      </c>
      <c r="E8" s="81">
        <v>5.8244813211621373</v>
      </c>
      <c r="F8" s="81">
        <v>2.2685267641218405</v>
      </c>
      <c r="G8" s="81">
        <v>1.8258930685203574</v>
      </c>
      <c r="H8" s="82"/>
      <c r="I8" s="83">
        <f>'Public Comps'!N39</f>
        <v>0</v>
      </c>
      <c r="J8" s="82"/>
      <c r="K8" s="84" t="e">
        <f>(I8*G8)/'Public Comps'!$D$6</f>
        <v>#DIV/0!</v>
      </c>
      <c r="L8" s="84" t="e">
        <f>(I8*F8)/'Public Comps'!$D$6</f>
        <v>#DIV/0!</v>
      </c>
      <c r="M8" s="84" t="e">
        <f>(I8*E8)/'Public Comps'!$D$6</f>
        <v>#DIV/0!</v>
      </c>
      <c r="N8" s="84" t="e">
        <f>(I8*D8)/'Public Comps'!$D$6</f>
        <v>#DIV/0!</v>
      </c>
      <c r="O8" s="85" t="e">
        <f>(I8*C8)/'Public Comps'!$D$6</f>
        <v>#DIV/0!</v>
      </c>
    </row>
    <row r="9" spans="2:15" ht="15.75" customHeight="1">
      <c r="B9" s="80" t="s">
        <v>107</v>
      </c>
      <c r="C9" s="81">
        <f t="array" ref="C9:G9">TRANSPOSE('Public Comps'!O65:O69)</f>
        <v>27.319602082265256</v>
      </c>
      <c r="D9" s="81">
        <v>10.010912073436518</v>
      </c>
      <c r="E9" s="81">
        <v>6.552525114365972</v>
      </c>
      <c r="F9" s="81">
        <v>2.3641958311186597</v>
      </c>
      <c r="G9" s="81">
        <v>1.3992955251141552</v>
      </c>
      <c r="H9" s="82"/>
      <c r="I9" s="83">
        <f t="array" ref="I9:I16">TRANSPOSE('Public Comps'!O39:V39)</f>
        <v>0</v>
      </c>
      <c r="J9" s="82"/>
      <c r="K9" s="84" t="e">
        <f>(I9*G9)/'Public Comps'!$D$6</f>
        <v>#DIV/0!</v>
      </c>
      <c r="L9" s="84" t="e">
        <f>(I9*F9)/'Public Comps'!$D$6</f>
        <v>#DIV/0!</v>
      </c>
      <c r="M9" s="84" t="e">
        <f>(I9*E9)/'Public Comps'!$D$6</f>
        <v>#DIV/0!</v>
      </c>
      <c r="N9" s="84" t="e">
        <f>(I9*D9)/'Public Comps'!$D$6</f>
        <v>#DIV/0!</v>
      </c>
      <c r="O9" s="85" t="e">
        <f>(I9*C9)/'Public Comps'!$D$6</f>
        <v>#DIV/0!</v>
      </c>
    </row>
    <row r="10" spans="2:15" ht="15.75" customHeight="1">
      <c r="B10" s="80" t="s">
        <v>110</v>
      </c>
      <c r="C10" s="81">
        <f t="array" ref="C10:G10">TRANSPOSE('Public Comps'!P65:P69)</f>
        <v>18.660753441262827</v>
      </c>
      <c r="D10" s="81">
        <v>8.6720500454646139</v>
      </c>
      <c r="E10" s="81">
        <v>5.8453168373008779</v>
      </c>
      <c r="F10" s="81">
        <v>2.4525819486320497</v>
      </c>
      <c r="G10" s="81">
        <v>1.2233362075848302</v>
      </c>
      <c r="H10" s="82"/>
      <c r="I10" s="83">
        <v>0</v>
      </c>
      <c r="J10" s="82"/>
      <c r="K10" s="84" t="e">
        <f>(I10*G10)/'Public Comps'!$D$6</f>
        <v>#DIV/0!</v>
      </c>
      <c r="L10" s="84" t="e">
        <f>(I10*F10)/'Public Comps'!$D$6</f>
        <v>#DIV/0!</v>
      </c>
      <c r="M10" s="84" t="e">
        <f>(I10*E10)/'Public Comps'!$D$6</f>
        <v>#DIV/0!</v>
      </c>
      <c r="N10" s="84" t="e">
        <f>(I10*D10)/'Public Comps'!$D$6</f>
        <v>#DIV/0!</v>
      </c>
      <c r="O10" s="85" t="e">
        <f>(I10*C10)/'Public Comps'!$D$6</f>
        <v>#DIV/0!</v>
      </c>
    </row>
    <row r="11" spans="2:15" ht="15.75" customHeight="1">
      <c r="B11" s="80" t="s">
        <v>112</v>
      </c>
      <c r="C11" s="81">
        <f t="array" ref="C11:G11">TRANSPOSE('Public Comps'!Q65:Q69)</f>
        <v>82.888796701030913</v>
      </c>
      <c r="D11" s="81">
        <v>36.186205330439989</v>
      </c>
      <c r="E11" s="81">
        <v>21.459128916408666</v>
      </c>
      <c r="F11" s="81">
        <v>15.346705482456141</v>
      </c>
      <c r="G11" s="81">
        <v>8.2083674999999996</v>
      </c>
      <c r="H11" s="82"/>
      <c r="I11" s="83">
        <v>0</v>
      </c>
      <c r="J11" s="82"/>
      <c r="K11" s="84" t="e">
        <f>(I11*G11)/'Public Comps'!$D$6</f>
        <v>#DIV/0!</v>
      </c>
      <c r="L11" s="84" t="e">
        <f>(I11*F11)/'Public Comps'!$D$6</f>
        <v>#DIV/0!</v>
      </c>
      <c r="M11" s="84" t="e">
        <f>(I11*E11)/'Public Comps'!$D$6</f>
        <v>#DIV/0!</v>
      </c>
      <c r="N11" s="84" t="e">
        <f>(I11*D11)/'Public Comps'!$D$6</f>
        <v>#DIV/0!</v>
      </c>
      <c r="O11" s="85" t="e">
        <f>(I11*C11)/'Public Comps'!$D$6</f>
        <v>#DIV/0!</v>
      </c>
    </row>
    <row r="12" spans="2:15" ht="15.75" customHeight="1">
      <c r="B12" s="80" t="s">
        <v>113</v>
      </c>
      <c r="C12" s="81">
        <f t="array" ref="C12:G12">TRANSPOSE('Public Comps'!R65:R69)</f>
        <v>65.367587642276405</v>
      </c>
      <c r="D12" s="81">
        <v>36.447931415094345</v>
      </c>
      <c r="E12" s="81">
        <v>24.021270588235296</v>
      </c>
      <c r="F12" s="81">
        <v>13.594888908481749</v>
      </c>
      <c r="G12" s="81">
        <v>6.5666939999999991</v>
      </c>
      <c r="H12" s="82"/>
      <c r="I12" s="83">
        <v>0</v>
      </c>
      <c r="J12" s="82"/>
      <c r="K12" s="84" t="e">
        <f>(I12*G12)/'Public Comps'!$D$6</f>
        <v>#DIV/0!</v>
      </c>
      <c r="L12" s="84" t="e">
        <f>(I12*F12)/'Public Comps'!$D$6</f>
        <v>#DIV/0!</v>
      </c>
      <c r="M12" s="84" t="e">
        <f>(I12*E12)/'Public Comps'!$D$6</f>
        <v>#DIV/0!</v>
      </c>
      <c r="N12" s="84" t="e">
        <f>(I12*D12)/'Public Comps'!$D$6</f>
        <v>#DIV/0!</v>
      </c>
      <c r="O12" s="85" t="e">
        <f>(I12*C12)/'Public Comps'!$D$6</f>
        <v>#DIV/0!</v>
      </c>
    </row>
    <row r="13" spans="2:15" ht="15.75" customHeight="1">
      <c r="B13" s="80" t="s">
        <v>114</v>
      </c>
      <c r="C13" s="81">
        <f t="array" ref="C13:G13">TRANSPOSE('Public Comps'!S65:S69)</f>
        <v>95.109338103756713</v>
      </c>
      <c r="D13" s="81">
        <v>28.724763791821566</v>
      </c>
      <c r="E13" s="81">
        <v>21.492715789473685</v>
      </c>
      <c r="F13" s="81">
        <v>13.281651724137932</v>
      </c>
      <c r="G13" s="81">
        <v>5.6924901547987616</v>
      </c>
      <c r="H13" s="82"/>
      <c r="I13" s="83">
        <v>0</v>
      </c>
      <c r="J13" s="82"/>
      <c r="K13" s="84" t="e">
        <f>(I13*G13)/'Public Comps'!$D$6</f>
        <v>#DIV/0!</v>
      </c>
      <c r="L13" s="84" t="e">
        <f>(I13*F13)/'Public Comps'!$D$6</f>
        <v>#DIV/0!</v>
      </c>
      <c r="M13" s="84" t="e">
        <f>(I13*E13)/'Public Comps'!$D$6</f>
        <v>#DIV/0!</v>
      </c>
      <c r="N13" s="84" t="e">
        <f>(I13*D13)/'Public Comps'!$D$6</f>
        <v>#DIV/0!</v>
      </c>
      <c r="O13" s="85" t="e">
        <f>(I13*C13)/'Public Comps'!$D$6</f>
        <v>#DIV/0!</v>
      </c>
    </row>
    <row r="14" spans="2:15" ht="15.75" customHeight="1">
      <c r="B14" s="80" t="s">
        <v>115</v>
      </c>
      <c r="C14" s="81">
        <f t="array" ref="C14:G14">TRANSPOSE('Public Comps'!T65:T69)</f>
        <v>97.797966915688377</v>
      </c>
      <c r="D14" s="81">
        <v>33.086676933116365</v>
      </c>
      <c r="E14" s="81">
        <v>28.331403272058822</v>
      </c>
      <c r="F14" s="81">
        <v>22.142282604165601</v>
      </c>
      <c r="G14" s="81">
        <v>14.462455539568344</v>
      </c>
      <c r="H14" s="82"/>
      <c r="I14" s="83">
        <v>0</v>
      </c>
      <c r="J14" s="82"/>
      <c r="K14" s="84" t="e">
        <f>(I14*G14)/'Public Comps'!$D$6</f>
        <v>#DIV/0!</v>
      </c>
      <c r="L14" s="84" t="e">
        <f>(I14*F14)/'Public Comps'!$D$6</f>
        <v>#DIV/0!</v>
      </c>
      <c r="M14" s="84" t="e">
        <f>(I14*E14)/'Public Comps'!$D$6</f>
        <v>#DIV/0!</v>
      </c>
      <c r="N14" s="84" t="e">
        <f>(I14*D14)/'Public Comps'!$D$6</f>
        <v>#DIV/0!</v>
      </c>
      <c r="O14" s="85" t="e">
        <f>(I14*C14)/'Public Comps'!$D$6</f>
        <v>#DIV/0!</v>
      </c>
    </row>
    <row r="15" spans="2:15" ht="15.75" customHeight="1">
      <c r="B15" s="80" t="s">
        <v>116</v>
      </c>
      <c r="C15" s="81">
        <f t="array" ref="C15:G15">TRANSPOSE('Public Comps'!U65:U69)</f>
        <v>98.687200000000004</v>
      </c>
      <c r="D15" s="81">
        <v>51.442951418778463</v>
      </c>
      <c r="E15" s="81">
        <v>24.569610434782604</v>
      </c>
      <c r="F15" s="81">
        <v>16.331913545818857</v>
      </c>
      <c r="G15" s="81">
        <v>9.4379404694835678</v>
      </c>
      <c r="H15" s="82"/>
      <c r="I15" s="83">
        <v>0</v>
      </c>
      <c r="J15" s="82"/>
      <c r="K15" s="84" t="e">
        <f>(I15*G15)/'Public Comps'!$D$6</f>
        <v>#DIV/0!</v>
      </c>
      <c r="L15" s="84" t="e">
        <f>(I15*F15)/'Public Comps'!$D$6</f>
        <v>#DIV/0!</v>
      </c>
      <c r="M15" s="84" t="e">
        <f>(I15*E15)/'Public Comps'!$D$6</f>
        <v>#DIV/0!</v>
      </c>
      <c r="N15" s="84" t="e">
        <f>(I15*D15)/'Public Comps'!$D$6</f>
        <v>#DIV/0!</v>
      </c>
      <c r="O15" s="85" t="e">
        <f>(I15*C15)/'Public Comps'!$D$6</f>
        <v>#DIV/0!</v>
      </c>
    </row>
    <row r="16" spans="2:15" ht="15.75" customHeight="1">
      <c r="B16" s="80" t="s">
        <v>117</v>
      </c>
      <c r="C16" s="81">
        <f t="array" ref="C16:G16">TRANSPOSE('Public Comps'!V65:V69)</f>
        <v>26.654339874791319</v>
      </c>
      <c r="D16" s="81">
        <v>25.320984395758622</v>
      </c>
      <c r="E16" s="81">
        <v>22.470156753919746</v>
      </c>
      <c r="F16" s="81">
        <v>17.118735684610776</v>
      </c>
      <c r="G16" s="81">
        <v>3.2319635369774917</v>
      </c>
      <c r="H16" s="82"/>
      <c r="I16" s="83">
        <v>0</v>
      </c>
      <c r="J16" s="82"/>
      <c r="K16" s="84" t="e">
        <f>(I16*G16)/'Public Comps'!$D$6</f>
        <v>#DIV/0!</v>
      </c>
      <c r="L16" s="84" t="e">
        <f>(I16*F16)/'Public Comps'!$D$6</f>
        <v>#DIV/0!</v>
      </c>
      <c r="M16" s="84" t="e">
        <f>(I16*E16)/'Public Comps'!$D$6</f>
        <v>#DIV/0!</v>
      </c>
      <c r="N16" s="84" t="e">
        <f>(I16*D16)/'Public Comps'!$D$6</f>
        <v>#DIV/0!</v>
      </c>
      <c r="O16" s="85" t="e">
        <f>(I16*C16)/'Public Comps'!$D$6</f>
        <v>#DIV/0!</v>
      </c>
    </row>
    <row r="17" spans="2:7" ht="15.75" customHeight="1">
      <c r="B17" s="78" t="s">
        <v>118</v>
      </c>
      <c r="C17" s="98">
        <f t="array" ref="C17:G17">TRANSPOSE('Public Comps'!Z65:Z69)</f>
        <v>5.0335365853658542</v>
      </c>
      <c r="D17" s="98">
        <v>1.5902046526845304</v>
      </c>
      <c r="E17" s="98">
        <v>0.71362070811621081</v>
      </c>
      <c r="F17" s="98">
        <v>0.45622586415338579</v>
      </c>
      <c r="G17" s="98">
        <v>0.20590417926116308</v>
      </c>
    </row>
    <row r="18" spans="2:7" ht="15.75" customHeight="1">
      <c r="B18" s="78" t="s">
        <v>119</v>
      </c>
      <c r="C18" s="98">
        <f t="array" ref="C18:G18">TRANSPOSE('Public Comps'!AA65:AA69)</f>
        <v>16.307692307692307</v>
      </c>
      <c r="D18" s="98">
        <v>14.304347826086955</v>
      </c>
      <c r="E18" s="98">
        <v>10.421052631578947</v>
      </c>
      <c r="F18" s="98">
        <v>5.666666666666667</v>
      </c>
      <c r="G18" s="98">
        <v>2.1586384071933202</v>
      </c>
    </row>
    <row r="19" spans="2:7" ht="15.75" customHeight="1"/>
    <row r="20" spans="2:7" ht="15.75" customHeight="1"/>
    <row r="21" spans="2:7" ht="15.75" customHeight="1"/>
    <row r="22" spans="2:7" ht="15.75" customHeight="1"/>
    <row r="23" spans="2:7" ht="15.75" customHeight="1"/>
    <row r="24" spans="2:7" ht="15.75" customHeight="1"/>
    <row r="25" spans="2:7" ht="15.75" customHeight="1"/>
    <row r="26" spans="2:7" ht="15.75" customHeight="1"/>
    <row r="27" spans="2:7" ht="15.75" customHeight="1"/>
    <row r="28" spans="2:7" ht="15.75" customHeight="1"/>
    <row r="29" spans="2:7" ht="15.75" customHeight="1"/>
    <row r="30" spans="2:7" ht="15.75" customHeight="1">
      <c r="B30" s="78" t="s">
        <v>120</v>
      </c>
      <c r="C30" s="78" t="s">
        <v>121</v>
      </c>
      <c r="D30" s="78" t="s">
        <v>122</v>
      </c>
      <c r="E30" s="78" t="s">
        <v>123</v>
      </c>
      <c r="F30" s="78" t="s">
        <v>124</v>
      </c>
      <c r="G30" s="78" t="s">
        <v>125</v>
      </c>
    </row>
    <row r="31" spans="2:7" ht="15.75" customHeight="1">
      <c r="B31" s="80" t="s">
        <v>105</v>
      </c>
      <c r="C31" s="101">
        <f t="shared" ref="C31:C41" si="0">G8</f>
        <v>1.8258930685203574</v>
      </c>
      <c r="D31" s="101">
        <f t="shared" ref="D31:D41" si="1">F8-G8</f>
        <v>0.44263369560148313</v>
      </c>
      <c r="E31" s="101">
        <f t="shared" ref="E31:E41" si="2">E8-F8</f>
        <v>3.5559545570402968</v>
      </c>
      <c r="F31" s="101">
        <f t="shared" ref="F31:F41" si="3">D8-E8</f>
        <v>7.8933403121587062</v>
      </c>
      <c r="G31" s="101">
        <f t="shared" ref="G31:G41" si="4">C8-D8</f>
        <v>38.878272057363226</v>
      </c>
    </row>
    <row r="32" spans="2:7" ht="15.75" customHeight="1">
      <c r="B32" s="80" t="s">
        <v>107</v>
      </c>
      <c r="C32" s="101">
        <f t="shared" si="0"/>
        <v>1.3992955251141552</v>
      </c>
      <c r="D32" s="101">
        <f t="shared" si="1"/>
        <v>0.96490030600450449</v>
      </c>
      <c r="E32" s="101">
        <f t="shared" si="2"/>
        <v>4.1883292832473122</v>
      </c>
      <c r="F32" s="101">
        <f t="shared" si="3"/>
        <v>3.4583869590705465</v>
      </c>
      <c r="G32" s="101">
        <f t="shared" si="4"/>
        <v>17.308690008828737</v>
      </c>
    </row>
    <row r="33" spans="2:15" ht="15.75" customHeight="1">
      <c r="B33" s="80" t="s">
        <v>110</v>
      </c>
      <c r="C33" s="101">
        <f t="shared" si="0"/>
        <v>1.2233362075848302</v>
      </c>
      <c r="D33" s="101">
        <f t="shared" si="1"/>
        <v>1.2292457410472195</v>
      </c>
      <c r="E33" s="101">
        <f t="shared" si="2"/>
        <v>3.3927348886688282</v>
      </c>
      <c r="F33" s="101">
        <f t="shared" si="3"/>
        <v>2.826733208163736</v>
      </c>
      <c r="G33" s="101">
        <f t="shared" si="4"/>
        <v>9.988703395798213</v>
      </c>
    </row>
    <row r="34" spans="2:15" ht="15.75" customHeight="1">
      <c r="B34" s="80" t="s">
        <v>112</v>
      </c>
      <c r="C34" s="101">
        <f t="shared" si="0"/>
        <v>8.2083674999999996</v>
      </c>
      <c r="D34" s="101">
        <f t="shared" si="1"/>
        <v>7.1383379824561413</v>
      </c>
      <c r="E34" s="101">
        <f t="shared" si="2"/>
        <v>6.1124234339525252</v>
      </c>
      <c r="F34" s="101">
        <f t="shared" si="3"/>
        <v>14.727076414031323</v>
      </c>
      <c r="G34" s="101">
        <f t="shared" si="4"/>
        <v>46.702591370590923</v>
      </c>
    </row>
    <row r="35" spans="2:15" ht="15.75" customHeight="1">
      <c r="B35" s="80" t="s">
        <v>113</v>
      </c>
      <c r="C35" s="101">
        <f t="shared" si="0"/>
        <v>6.5666939999999991</v>
      </c>
      <c r="D35" s="101">
        <f t="shared" si="1"/>
        <v>7.0281949084817503</v>
      </c>
      <c r="E35" s="101">
        <f t="shared" si="2"/>
        <v>10.426381679753547</v>
      </c>
      <c r="F35" s="101">
        <f t="shared" si="3"/>
        <v>12.426660826859049</v>
      </c>
      <c r="G35" s="101">
        <f t="shared" si="4"/>
        <v>28.91965622718206</v>
      </c>
    </row>
    <row r="36" spans="2:15" ht="15.75" customHeight="1">
      <c r="B36" s="80" t="s">
        <v>114</v>
      </c>
      <c r="C36" s="101">
        <f t="shared" si="0"/>
        <v>5.6924901547987616</v>
      </c>
      <c r="D36" s="101">
        <f t="shared" si="1"/>
        <v>7.5891615693391703</v>
      </c>
      <c r="E36" s="101">
        <f t="shared" si="2"/>
        <v>8.2110640653357532</v>
      </c>
      <c r="F36" s="101">
        <f t="shared" si="3"/>
        <v>7.2320480023478808</v>
      </c>
      <c r="G36" s="101">
        <f t="shared" si="4"/>
        <v>66.384574311935154</v>
      </c>
    </row>
    <row r="37" spans="2:15" ht="15.75" customHeight="1">
      <c r="B37" s="80" t="s">
        <v>115</v>
      </c>
      <c r="C37" s="101">
        <f t="shared" si="0"/>
        <v>14.462455539568344</v>
      </c>
      <c r="D37" s="101">
        <f t="shared" si="1"/>
        <v>7.6798270645972568</v>
      </c>
      <c r="E37" s="101">
        <f t="shared" si="2"/>
        <v>6.1891206678932207</v>
      </c>
      <c r="F37" s="101">
        <f t="shared" si="3"/>
        <v>4.7552736610575437</v>
      </c>
      <c r="G37" s="101">
        <f t="shared" si="4"/>
        <v>64.711289982572012</v>
      </c>
    </row>
    <row r="38" spans="2:15" ht="15.75" customHeight="1">
      <c r="B38" s="80" t="s">
        <v>116</v>
      </c>
      <c r="C38" s="101">
        <f t="shared" si="0"/>
        <v>9.4379404694835678</v>
      </c>
      <c r="D38" s="101">
        <f t="shared" si="1"/>
        <v>6.8939730763352891</v>
      </c>
      <c r="E38" s="101">
        <f t="shared" si="2"/>
        <v>8.2376968889637467</v>
      </c>
      <c r="F38" s="101">
        <f t="shared" si="3"/>
        <v>26.87334098399586</v>
      </c>
      <c r="G38" s="101">
        <f t="shared" si="4"/>
        <v>47.244248581221541</v>
      </c>
    </row>
    <row r="39" spans="2:15" ht="15.75" customHeight="1">
      <c r="B39" s="80" t="s">
        <v>117</v>
      </c>
      <c r="C39" s="101">
        <f t="shared" si="0"/>
        <v>3.2319635369774917</v>
      </c>
      <c r="D39" s="101">
        <f t="shared" si="1"/>
        <v>13.886772147633284</v>
      </c>
      <c r="E39" s="101">
        <f t="shared" si="2"/>
        <v>5.3514210693089694</v>
      </c>
      <c r="F39" s="101">
        <f t="shared" si="3"/>
        <v>2.850827641838876</v>
      </c>
      <c r="G39" s="101">
        <f t="shared" si="4"/>
        <v>1.3333554790326971</v>
      </c>
    </row>
    <row r="40" spans="2:15" ht="15.75" customHeight="1">
      <c r="B40" s="78" t="s">
        <v>118</v>
      </c>
      <c r="C40" s="101">
        <f t="shared" si="0"/>
        <v>0.20590417926116308</v>
      </c>
      <c r="D40" s="101">
        <f t="shared" si="1"/>
        <v>0.25032168489222273</v>
      </c>
      <c r="E40" s="101">
        <f t="shared" si="2"/>
        <v>0.25739484396282503</v>
      </c>
      <c r="F40" s="101">
        <f t="shared" si="3"/>
        <v>0.87658394456831956</v>
      </c>
      <c r="G40" s="101">
        <f t="shared" si="4"/>
        <v>3.4433319326813239</v>
      </c>
    </row>
    <row r="41" spans="2:15" ht="15.75" customHeight="1">
      <c r="B41" s="78" t="s">
        <v>119</v>
      </c>
      <c r="C41" s="101">
        <f t="shared" si="0"/>
        <v>2.1586384071933202</v>
      </c>
      <c r="D41" s="101">
        <f t="shared" si="1"/>
        <v>3.5080282594733467</v>
      </c>
      <c r="E41" s="101">
        <f t="shared" si="2"/>
        <v>4.7543859649122799</v>
      </c>
      <c r="F41" s="101">
        <f t="shared" si="3"/>
        <v>3.8832951945080083</v>
      </c>
      <c r="G41" s="101">
        <f t="shared" si="4"/>
        <v>2.0033444816053514</v>
      </c>
    </row>
    <row r="42" spans="2:15" ht="15.75" customHeight="1"/>
    <row r="43" spans="2:15" ht="15.75" customHeight="1"/>
    <row r="44" spans="2:15" ht="15.75" customHeight="1"/>
    <row r="45" spans="2:15" ht="15.75" customHeight="1">
      <c r="B45" s="78" t="s">
        <v>126</v>
      </c>
      <c r="C45" s="78" t="s">
        <v>127</v>
      </c>
      <c r="D45" s="78" t="s">
        <v>96</v>
      </c>
      <c r="E45" s="78" t="s">
        <v>66</v>
      </c>
      <c r="F45" s="78" t="s">
        <v>128</v>
      </c>
      <c r="G45" s="78" t="s">
        <v>129</v>
      </c>
    </row>
    <row r="46" spans="2:15" ht="15.75" customHeight="1">
      <c r="B46" s="102" t="str">
        <f>B16</f>
        <v>FY 18 P / E:</v>
      </c>
      <c r="C46" s="103" t="e">
        <f t="shared" ref="C46:G46" si="5">K16</f>
        <v>#DIV/0!</v>
      </c>
      <c r="D46" s="103" t="e">
        <f t="shared" si="5"/>
        <v>#DIV/0!</v>
      </c>
      <c r="E46" s="103" t="e">
        <f t="shared" si="5"/>
        <v>#DIV/0!</v>
      </c>
      <c r="F46" s="103" t="e">
        <f t="shared" si="5"/>
        <v>#DIV/0!</v>
      </c>
      <c r="G46" s="103" t="e">
        <f t="shared" si="5"/>
        <v>#DIV/0!</v>
      </c>
      <c r="H46" s="104"/>
      <c r="I46" s="104"/>
      <c r="J46" s="104"/>
      <c r="K46" s="104"/>
      <c r="L46" s="104"/>
      <c r="M46" s="104"/>
      <c r="N46" s="104"/>
      <c r="O46" s="104"/>
    </row>
    <row r="47" spans="2:15" ht="15.75" customHeight="1">
      <c r="B47" s="102" t="str">
        <f>B15</f>
        <v>2017 P / E:</v>
      </c>
      <c r="C47" s="103" t="e">
        <f t="shared" ref="C47:G47" si="6">K15</f>
        <v>#DIV/0!</v>
      </c>
      <c r="D47" s="103" t="e">
        <f t="shared" si="6"/>
        <v>#DIV/0!</v>
      </c>
      <c r="E47" s="103" t="e">
        <f t="shared" si="6"/>
        <v>#DIV/0!</v>
      </c>
      <c r="F47" s="103" t="e">
        <f t="shared" si="6"/>
        <v>#DIV/0!</v>
      </c>
      <c r="G47" s="103" t="e">
        <f t="shared" si="6"/>
        <v>#DIV/0!</v>
      </c>
      <c r="H47" s="104"/>
      <c r="I47" s="104"/>
      <c r="J47" s="104"/>
      <c r="K47" s="104"/>
      <c r="L47" s="104"/>
      <c r="M47" s="104"/>
      <c r="N47" s="104"/>
      <c r="O47" s="104"/>
    </row>
    <row r="48" spans="2:15" ht="15.75" customHeight="1">
      <c r="B48" s="102" t="str">
        <f>B14</f>
        <v>2016 P / E:</v>
      </c>
      <c r="C48" s="103" t="e">
        <f t="shared" ref="C48:G48" si="7">K14</f>
        <v>#DIV/0!</v>
      </c>
      <c r="D48" s="103" t="e">
        <f t="shared" si="7"/>
        <v>#DIV/0!</v>
      </c>
      <c r="E48" s="103" t="e">
        <f t="shared" si="7"/>
        <v>#DIV/0!</v>
      </c>
      <c r="F48" s="103" t="e">
        <f t="shared" si="7"/>
        <v>#DIV/0!</v>
      </c>
      <c r="G48" s="103" t="e">
        <f t="shared" si="7"/>
        <v>#DIV/0!</v>
      </c>
      <c r="H48" s="104"/>
      <c r="I48" s="104"/>
      <c r="J48" s="104"/>
      <c r="K48" s="104"/>
      <c r="L48" s="104"/>
      <c r="M48" s="104"/>
      <c r="N48" s="104"/>
      <c r="O48" s="104"/>
    </row>
    <row r="49" spans="2:15" ht="15.75" customHeight="1">
      <c r="B49" s="102" t="str">
        <f>B13</f>
        <v>FY 18 EV / EBITDA:</v>
      </c>
      <c r="C49" s="103" t="e">
        <f t="shared" ref="C49:G49" si="8">K13</f>
        <v>#DIV/0!</v>
      </c>
      <c r="D49" s="103" t="e">
        <f t="shared" si="8"/>
        <v>#DIV/0!</v>
      </c>
      <c r="E49" s="103" t="e">
        <f t="shared" si="8"/>
        <v>#DIV/0!</v>
      </c>
      <c r="F49" s="103" t="e">
        <f t="shared" si="8"/>
        <v>#DIV/0!</v>
      </c>
      <c r="G49" s="103" t="e">
        <f t="shared" si="8"/>
        <v>#DIV/0!</v>
      </c>
      <c r="H49" s="104"/>
      <c r="I49" s="104"/>
      <c r="J49" s="104"/>
      <c r="K49" s="104"/>
      <c r="L49" s="104"/>
      <c r="M49" s="104"/>
      <c r="N49" s="104"/>
      <c r="O49" s="104"/>
    </row>
    <row r="50" spans="2:15" ht="15.75" customHeight="1">
      <c r="B50" s="102" t="str">
        <f>B12</f>
        <v>2017 EV / EBITDA:</v>
      </c>
      <c r="C50" s="103" t="e">
        <f t="shared" ref="C50:G50" si="9">K12</f>
        <v>#DIV/0!</v>
      </c>
      <c r="D50" s="103" t="e">
        <f t="shared" si="9"/>
        <v>#DIV/0!</v>
      </c>
      <c r="E50" s="103" t="e">
        <f t="shared" si="9"/>
        <v>#DIV/0!</v>
      </c>
      <c r="F50" s="103" t="e">
        <f t="shared" si="9"/>
        <v>#DIV/0!</v>
      </c>
      <c r="G50" s="103" t="e">
        <f t="shared" si="9"/>
        <v>#DIV/0!</v>
      </c>
      <c r="H50" s="104"/>
      <c r="I50" s="104"/>
      <c r="J50" s="104"/>
      <c r="K50" s="104"/>
      <c r="L50" s="104"/>
      <c r="M50" s="104"/>
      <c r="N50" s="104"/>
      <c r="O50" s="104"/>
    </row>
    <row r="51" spans="2:15" ht="15.75" customHeight="1">
      <c r="B51" s="102" t="str">
        <f>B11</f>
        <v>2016 EV / EBITDA:</v>
      </c>
      <c r="C51" s="103" t="e">
        <f t="shared" ref="C51:G51" si="10">K11</f>
        <v>#DIV/0!</v>
      </c>
      <c r="D51" s="103" t="e">
        <f t="shared" si="10"/>
        <v>#DIV/0!</v>
      </c>
      <c r="E51" s="103" t="e">
        <f t="shared" si="10"/>
        <v>#DIV/0!</v>
      </c>
      <c r="F51" s="103" t="e">
        <f t="shared" si="10"/>
        <v>#DIV/0!</v>
      </c>
      <c r="G51" s="103" t="e">
        <f t="shared" si="10"/>
        <v>#DIV/0!</v>
      </c>
      <c r="H51" s="104"/>
      <c r="I51" s="104"/>
      <c r="J51" s="104"/>
      <c r="K51" s="104"/>
      <c r="L51" s="104"/>
      <c r="M51" s="104"/>
      <c r="N51" s="104"/>
      <c r="O51" s="104"/>
    </row>
    <row r="52" spans="2:15" ht="15.75" customHeight="1">
      <c r="B52" s="102" t="str">
        <f>B10</f>
        <v>FY 18 EV / Revenue:</v>
      </c>
      <c r="C52" s="103" t="e">
        <f t="shared" ref="C52:G52" si="11">K10</f>
        <v>#DIV/0!</v>
      </c>
      <c r="D52" s="103" t="e">
        <f t="shared" si="11"/>
        <v>#DIV/0!</v>
      </c>
      <c r="E52" s="103" t="e">
        <f t="shared" si="11"/>
        <v>#DIV/0!</v>
      </c>
      <c r="F52" s="103" t="e">
        <f t="shared" si="11"/>
        <v>#DIV/0!</v>
      </c>
      <c r="G52" s="103" t="e">
        <f t="shared" si="11"/>
        <v>#DIV/0!</v>
      </c>
      <c r="H52" s="104"/>
      <c r="I52" s="104"/>
      <c r="J52" s="104"/>
      <c r="K52" s="104"/>
      <c r="L52" s="104"/>
      <c r="M52" s="104"/>
      <c r="N52" s="104"/>
      <c r="O52" s="104"/>
    </row>
    <row r="53" spans="2:15" ht="15.75" customHeight="1">
      <c r="B53" s="102" t="str">
        <f>B9</f>
        <v>2017 EV / Revenue:</v>
      </c>
      <c r="C53" s="103" t="e">
        <f t="shared" ref="C53:G53" si="12">K9</f>
        <v>#DIV/0!</v>
      </c>
      <c r="D53" s="103" t="e">
        <f t="shared" si="12"/>
        <v>#DIV/0!</v>
      </c>
      <c r="E53" s="103" t="e">
        <f t="shared" si="12"/>
        <v>#DIV/0!</v>
      </c>
      <c r="F53" s="103" t="e">
        <f t="shared" si="12"/>
        <v>#DIV/0!</v>
      </c>
      <c r="G53" s="103" t="e">
        <f t="shared" si="12"/>
        <v>#DIV/0!</v>
      </c>
      <c r="H53" s="104"/>
      <c r="I53" s="104"/>
      <c r="J53" s="104"/>
      <c r="K53" s="104"/>
      <c r="L53" s="104"/>
      <c r="M53" s="104"/>
      <c r="N53" s="104"/>
      <c r="O53" s="104"/>
    </row>
    <row r="54" spans="2:15" ht="15.75" customHeight="1">
      <c r="B54" s="102" t="str">
        <f>B8</f>
        <v>2016 EV / Revenue:</v>
      </c>
      <c r="C54" s="103" t="e">
        <f t="shared" ref="C54:G54" si="13">K8</f>
        <v>#DIV/0!</v>
      </c>
      <c r="D54" s="103" t="e">
        <f t="shared" si="13"/>
        <v>#DIV/0!</v>
      </c>
      <c r="E54" s="103" t="e">
        <f t="shared" si="13"/>
        <v>#DIV/0!</v>
      </c>
      <c r="F54" s="103" t="e">
        <f t="shared" si="13"/>
        <v>#DIV/0!</v>
      </c>
      <c r="G54" s="103" t="e">
        <f t="shared" si="13"/>
        <v>#DIV/0!</v>
      </c>
      <c r="H54" s="104"/>
      <c r="I54" s="104"/>
      <c r="J54" s="104"/>
      <c r="K54" s="104"/>
      <c r="L54" s="104"/>
      <c r="M54" s="104"/>
      <c r="N54" s="104"/>
      <c r="O54" s="104"/>
    </row>
    <row r="55" spans="2:15" ht="15.75" customHeight="1">
      <c r="C55" s="104"/>
      <c r="D55" s="104"/>
      <c r="E55" s="104"/>
      <c r="F55" s="104"/>
      <c r="G55" s="104"/>
      <c r="H55" s="104"/>
      <c r="I55" s="104"/>
      <c r="J55" s="104"/>
      <c r="K55" s="104"/>
      <c r="L55" s="104"/>
      <c r="M55" s="104"/>
      <c r="N55" s="104"/>
      <c r="O55" s="104"/>
    </row>
    <row r="56" spans="2:15" ht="15.75" customHeight="1">
      <c r="B56" s="78" t="s">
        <v>126</v>
      </c>
      <c r="C56" s="78" t="s">
        <v>121</v>
      </c>
      <c r="D56" s="78" t="s">
        <v>122</v>
      </c>
      <c r="E56" s="78" t="s">
        <v>123</v>
      </c>
      <c r="F56" s="78" t="s">
        <v>124</v>
      </c>
      <c r="G56" s="78" t="s">
        <v>125</v>
      </c>
      <c r="H56" s="105"/>
      <c r="I56" s="105"/>
      <c r="J56" s="105"/>
      <c r="K56" s="105"/>
      <c r="L56" s="105"/>
      <c r="M56" s="105"/>
      <c r="N56" s="105"/>
      <c r="O56" s="105"/>
    </row>
    <row r="57" spans="2:15" ht="15.75" customHeight="1">
      <c r="B57" s="102" t="str">
        <f t="shared" ref="B57:C57" si="14">B46</f>
        <v>FY 18 P / E:</v>
      </c>
      <c r="C57" s="103" t="e">
        <f t="shared" si="14"/>
        <v>#DIV/0!</v>
      </c>
      <c r="D57" s="104" t="e">
        <f t="shared" ref="D57:G57" si="15">D46-C46</f>
        <v>#DIV/0!</v>
      </c>
      <c r="E57" s="104" t="e">
        <f t="shared" si="15"/>
        <v>#DIV/0!</v>
      </c>
      <c r="F57" s="104" t="e">
        <f t="shared" si="15"/>
        <v>#DIV/0!</v>
      </c>
      <c r="G57" s="104" t="e">
        <f t="shared" si="15"/>
        <v>#DIV/0!</v>
      </c>
    </row>
    <row r="58" spans="2:15" ht="15.75" customHeight="1">
      <c r="B58" s="102" t="str">
        <f t="shared" ref="B58:C58" si="16">B47</f>
        <v>2017 P / E:</v>
      </c>
      <c r="C58" s="103" t="e">
        <f t="shared" si="16"/>
        <v>#DIV/0!</v>
      </c>
      <c r="D58" s="104" t="e">
        <f t="shared" ref="D58:G58" si="17">D47-C47</f>
        <v>#DIV/0!</v>
      </c>
      <c r="E58" s="104" t="e">
        <f t="shared" si="17"/>
        <v>#DIV/0!</v>
      </c>
      <c r="F58" s="104" t="e">
        <f t="shared" si="17"/>
        <v>#DIV/0!</v>
      </c>
      <c r="G58" s="104" t="e">
        <f t="shared" si="17"/>
        <v>#DIV/0!</v>
      </c>
    </row>
    <row r="59" spans="2:15" ht="15.75" customHeight="1">
      <c r="B59" s="102" t="str">
        <f t="shared" ref="B59:C59" si="18">B48</f>
        <v>2016 P / E:</v>
      </c>
      <c r="C59" s="103" t="e">
        <f t="shared" si="18"/>
        <v>#DIV/0!</v>
      </c>
      <c r="D59" s="104" t="e">
        <f t="shared" ref="D59:G59" si="19">D48-C48</f>
        <v>#DIV/0!</v>
      </c>
      <c r="E59" s="104" t="e">
        <f t="shared" si="19"/>
        <v>#DIV/0!</v>
      </c>
      <c r="F59" s="104" t="e">
        <f t="shared" si="19"/>
        <v>#DIV/0!</v>
      </c>
      <c r="G59" s="104" t="e">
        <f t="shared" si="19"/>
        <v>#DIV/0!</v>
      </c>
    </row>
    <row r="60" spans="2:15" ht="15.75" customHeight="1">
      <c r="B60" s="102" t="str">
        <f t="shared" ref="B60:C60" si="20">B49</f>
        <v>FY 18 EV / EBITDA:</v>
      </c>
      <c r="C60" s="103" t="e">
        <f t="shared" si="20"/>
        <v>#DIV/0!</v>
      </c>
      <c r="D60" s="104" t="e">
        <f t="shared" ref="D60:G60" si="21">D49-C49</f>
        <v>#DIV/0!</v>
      </c>
      <c r="E60" s="104" t="e">
        <f t="shared" si="21"/>
        <v>#DIV/0!</v>
      </c>
      <c r="F60" s="104" t="e">
        <f t="shared" si="21"/>
        <v>#DIV/0!</v>
      </c>
      <c r="G60" s="104" t="e">
        <f t="shared" si="21"/>
        <v>#DIV/0!</v>
      </c>
    </row>
    <row r="61" spans="2:15" ht="15.75" customHeight="1">
      <c r="B61" s="102" t="str">
        <f t="shared" ref="B61:C61" si="22">B50</f>
        <v>2017 EV / EBITDA:</v>
      </c>
      <c r="C61" s="103" t="e">
        <f t="shared" si="22"/>
        <v>#DIV/0!</v>
      </c>
      <c r="D61" s="104" t="e">
        <f t="shared" ref="D61:G61" si="23">D50-C50</f>
        <v>#DIV/0!</v>
      </c>
      <c r="E61" s="104" t="e">
        <f t="shared" si="23"/>
        <v>#DIV/0!</v>
      </c>
      <c r="F61" s="104" t="e">
        <f t="shared" si="23"/>
        <v>#DIV/0!</v>
      </c>
      <c r="G61" s="104" t="e">
        <f t="shared" si="23"/>
        <v>#DIV/0!</v>
      </c>
    </row>
    <row r="62" spans="2:15" ht="15.75" customHeight="1">
      <c r="B62" s="102" t="str">
        <f t="shared" ref="B62:C62" si="24">B51</f>
        <v>2016 EV / EBITDA:</v>
      </c>
      <c r="C62" s="103" t="e">
        <f t="shared" si="24"/>
        <v>#DIV/0!</v>
      </c>
      <c r="D62" s="104" t="e">
        <f t="shared" ref="D62:G62" si="25">D51-C51</f>
        <v>#DIV/0!</v>
      </c>
      <c r="E62" s="104" t="e">
        <f t="shared" si="25"/>
        <v>#DIV/0!</v>
      </c>
      <c r="F62" s="104" t="e">
        <f t="shared" si="25"/>
        <v>#DIV/0!</v>
      </c>
      <c r="G62" s="104" t="e">
        <f t="shared" si="25"/>
        <v>#DIV/0!</v>
      </c>
    </row>
    <row r="63" spans="2:15" ht="15.75" customHeight="1">
      <c r="B63" s="102" t="str">
        <f t="shared" ref="B63:C63" si="26">B52</f>
        <v>FY 18 EV / Revenue:</v>
      </c>
      <c r="C63" s="103" t="e">
        <f t="shared" si="26"/>
        <v>#DIV/0!</v>
      </c>
      <c r="D63" s="104" t="e">
        <f t="shared" ref="D63:G63" si="27">D52-C52</f>
        <v>#DIV/0!</v>
      </c>
      <c r="E63" s="104" t="e">
        <f t="shared" si="27"/>
        <v>#DIV/0!</v>
      </c>
      <c r="F63" s="104" t="e">
        <f t="shared" si="27"/>
        <v>#DIV/0!</v>
      </c>
      <c r="G63" s="104" t="e">
        <f t="shared" si="27"/>
        <v>#DIV/0!</v>
      </c>
    </row>
    <row r="64" spans="2:15" ht="15.75" customHeight="1">
      <c r="B64" s="102" t="str">
        <f t="shared" ref="B64:C64" si="28">B53</f>
        <v>2017 EV / Revenue:</v>
      </c>
      <c r="C64" s="103" t="e">
        <f t="shared" si="28"/>
        <v>#DIV/0!</v>
      </c>
      <c r="D64" s="104" t="e">
        <f t="shared" ref="D64:G64" si="29">D53-C53</f>
        <v>#DIV/0!</v>
      </c>
      <c r="E64" s="104" t="e">
        <f t="shared" si="29"/>
        <v>#DIV/0!</v>
      </c>
      <c r="F64" s="104" t="e">
        <f t="shared" si="29"/>
        <v>#DIV/0!</v>
      </c>
      <c r="G64" s="104" t="e">
        <f t="shared" si="29"/>
        <v>#DIV/0!</v>
      </c>
    </row>
    <row r="65" spans="2:7" ht="15.75" customHeight="1">
      <c r="B65" s="102" t="str">
        <f t="shared" ref="B65:C65" si="30">B54</f>
        <v>2016 EV / Revenue:</v>
      </c>
      <c r="C65" s="103" t="e">
        <f t="shared" si="30"/>
        <v>#DIV/0!</v>
      </c>
      <c r="D65" s="104" t="e">
        <f t="shared" ref="D65:G65" si="31">D54-C54</f>
        <v>#DIV/0!</v>
      </c>
      <c r="E65" s="104" t="e">
        <f t="shared" si="31"/>
        <v>#DIV/0!</v>
      </c>
      <c r="F65" s="104" t="e">
        <f t="shared" si="31"/>
        <v>#DIV/0!</v>
      </c>
      <c r="G65" s="104" t="e">
        <f t="shared" si="31"/>
        <v>#DIV/0!</v>
      </c>
    </row>
    <row r="66" spans="2:7" ht="15.75" customHeight="1"/>
    <row r="67" spans="2:7" ht="15.75" customHeight="1"/>
    <row r="68" spans="2:7" ht="15.75" customHeight="1"/>
    <row r="69" spans="2:7" ht="15.75" customHeight="1"/>
    <row r="70" spans="2:7" ht="15.75" customHeight="1"/>
    <row r="71" spans="2:7" ht="15.75" customHeight="1"/>
    <row r="72" spans="2:7" ht="15.75" customHeight="1"/>
    <row r="73" spans="2:7" ht="15.75" customHeight="1"/>
    <row r="74" spans="2:7" ht="15.75" customHeight="1"/>
    <row r="75" spans="2:7" ht="15.75" customHeight="1"/>
    <row r="76" spans="2:7" ht="15.75" customHeight="1"/>
    <row r="77" spans="2:7" ht="15.75" customHeight="1"/>
    <row r="78" spans="2:7" ht="15.75" customHeight="1"/>
    <row r="79" spans="2:7" ht="15.75" customHeight="1"/>
    <row r="80" spans="2: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K2:O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Public Comps</vt:lpstr>
      <vt:lpstr>Multiples Graph - NO TOCAR</vt:lpstr>
      <vt:lpstr>Val Graph - NO TOCAR</vt:lpstr>
      <vt:lpstr>Recap Info - NO TOCAR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Tomás Blasco</cp:lastModifiedBy>
  <dcterms:created xsi:type="dcterms:W3CDTF">2020-01-03T13:28:54Z</dcterms:created>
  <dcterms:modified xsi:type="dcterms:W3CDTF">2020-01-11T17:24:47Z</dcterms:modified>
</cp:coreProperties>
</file>