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 Comps" sheetId="1" r:id="rId4"/>
    <sheet state="visible" name="Multiples Graph - NO TOCAR" sheetId="2" r:id="rId5"/>
    <sheet state="visible" name="Val Graph - NO TOCAR" sheetId="3" r:id="rId6"/>
    <sheet state="visible" name="Recap Info - NO TOCAR" sheetId="4" r:id="rId7"/>
  </sheets>
  <definedNames/>
  <calcPr/>
  <extLst>
    <ext uri="GoogleSheetsCustomDataVersion1">
      <go:sheetsCustomData xmlns:go="http://customooxmlschemas.google.com/" r:id="rId8" roundtripDataSignature="AMtx7mjGAzS2QzsGBASqigL9inooVY2R+w=="/>
    </ext>
  </extLst>
</workbook>
</file>

<file path=xl/sharedStrings.xml><?xml version="1.0" encoding="utf-8"?>
<sst xmlns="http://schemas.openxmlformats.org/spreadsheetml/2006/main" count="228" uniqueCount="134">
  <si>
    <t xml:space="preserve">Comparable Companies </t>
  </si>
  <si>
    <t>- TODAS LAS CASILLAS EN NEGRO SE AJUSTAN SOLAS = NO TOCAR!!</t>
  </si>
  <si>
    <t>(€ EUR in Millions Except Per Share Amounts in EUR as Stated)</t>
  </si>
  <si>
    <t>- USAR COMAS PARA SEPARAR DECIMALES, NO PUNTOS</t>
  </si>
  <si>
    <t>- FÓRMULAS DE 75 Ptl, 25Ptl &amp; Median de valores en € SE TIENEN QUE AJUSTAR A LA MUESTRA DE EMPRESAS QUE TENÉIS</t>
  </si>
  <si>
    <t>Company Name:</t>
  </si>
  <si>
    <t>XXXXXX</t>
  </si>
  <si>
    <t>PERO SI NO LO HACÉIS NO PASA NADA, REALMENTE SON USELESS</t>
  </si>
  <si>
    <t>Sharecount (in M):</t>
  </si>
  <si>
    <t xml:space="preserve">Shareprice (as stated): </t>
  </si>
  <si>
    <t>Operating Statistics:</t>
  </si>
  <si>
    <t>Capitalization</t>
  </si>
  <si>
    <t>Projected</t>
  </si>
  <si>
    <t>Share</t>
  </si>
  <si>
    <t>Diluted</t>
  </si>
  <si>
    <t>Equity</t>
  </si>
  <si>
    <t>Preferred</t>
  </si>
  <si>
    <t>Other &amp;</t>
  </si>
  <si>
    <t>Shareholders</t>
  </si>
  <si>
    <t>Interest</t>
  </si>
  <si>
    <t>Enterprise</t>
  </si>
  <si>
    <t>Revenue</t>
  </si>
  <si>
    <t>EBITDA</t>
  </si>
  <si>
    <t>Net Income</t>
  </si>
  <si>
    <t>EBITDA Margin</t>
  </si>
  <si>
    <t>Company Name</t>
  </si>
  <si>
    <t>Ticker</t>
  </si>
  <si>
    <t>Price</t>
  </si>
  <si>
    <t>Shares (M)</t>
  </si>
  <si>
    <t>Value</t>
  </si>
  <si>
    <t>Cash</t>
  </si>
  <si>
    <t>Debt</t>
  </si>
  <si>
    <t>Stock</t>
  </si>
  <si>
    <t>NCI</t>
  </si>
  <si>
    <t>Equity (BS)</t>
  </si>
  <si>
    <t>Expenses (BS)</t>
  </si>
  <si>
    <t>FY19</t>
  </si>
  <si>
    <t>Growth</t>
  </si>
  <si>
    <t>AI</t>
  </si>
  <si>
    <t>Iflytek Co Ltd. (Vender?)</t>
  </si>
  <si>
    <t xml:space="preserve">Precio por acción implícito de </t>
  </si>
  <si>
    <t>Hangzhou Hikvision Digital Technology Co Ltd</t>
  </si>
  <si>
    <t>Zhejiang Dahua Technology Co Ltd (Comprar?)</t>
  </si>
  <si>
    <t>VR</t>
  </si>
  <si>
    <t>Silicon Motion Technology</t>
  </si>
  <si>
    <t>SIMO</t>
  </si>
  <si>
    <t>BIG DATA</t>
  </si>
  <si>
    <t>Cloudera Inc. (vender)</t>
  </si>
  <si>
    <t>CLDR</t>
  </si>
  <si>
    <t>Teradata Corp. (comprar)</t>
  </si>
  <si>
    <t>TDC</t>
  </si>
  <si>
    <t>Leyenda del gráfico:    (lo que los colores muestran)</t>
  </si>
  <si>
    <t>Min a 25th Percentil / 25th Ptl a Valor Mediano / Valor mediano a 75th Ptl / 75th Ptl al Max</t>
  </si>
  <si>
    <t>Alteryx Inc.</t>
  </si>
  <si>
    <t>AYX</t>
  </si>
  <si>
    <t>Vmware Inc.</t>
  </si>
  <si>
    <t>VMW</t>
  </si>
  <si>
    <t>ELECTRONICS</t>
  </si>
  <si>
    <t>STMicroelectronics Inc.</t>
  </si>
  <si>
    <t>STM</t>
  </si>
  <si>
    <t>E-COMMERCE</t>
  </si>
  <si>
    <t>58.com Inc.</t>
  </si>
  <si>
    <t>WUBA</t>
  </si>
  <si>
    <t>Software</t>
  </si>
  <si>
    <t>IBM</t>
  </si>
  <si>
    <t>75th Ptl al Max</t>
  </si>
  <si>
    <t xml:space="preserve">Valor mediano a 75th Ptl </t>
  </si>
  <si>
    <t xml:space="preserve">25th Ptl a Valor Mediano </t>
  </si>
  <si>
    <t xml:space="preserve">Del min al 25th Percentil </t>
  </si>
  <si>
    <t>Intel</t>
  </si>
  <si>
    <t>INTC</t>
  </si>
  <si>
    <t>Tencent</t>
  </si>
  <si>
    <t>TCHEY</t>
  </si>
  <si>
    <t>xxx</t>
  </si>
  <si>
    <t>XX</t>
  </si>
  <si>
    <t>Precio por Acción implícito</t>
  </si>
  <si>
    <t>75th</t>
  </si>
  <si>
    <t>25th</t>
  </si>
  <si>
    <t>Applicable</t>
  </si>
  <si>
    <t>Maximum</t>
  </si>
  <si>
    <t>Percentile</t>
  </si>
  <si>
    <t>Median</t>
  </si>
  <si>
    <t>Minimum</t>
  </si>
  <si>
    <t>Company</t>
  </si>
  <si>
    <t>Methodology Name</t>
  </si>
  <si>
    <t>Multiple</t>
  </si>
  <si>
    <t>Figure</t>
  </si>
  <si>
    <t>Public Company Comparables:</t>
  </si>
  <si>
    <t>2016 EV / Revenue:</t>
  </si>
  <si>
    <t>2017 EV / Revenue:</t>
  </si>
  <si>
    <t>FY 18 EV / Revenue:</t>
  </si>
  <si>
    <t>75th Percentile</t>
  </si>
  <si>
    <t>2016 EV / EBITDA:</t>
  </si>
  <si>
    <t>2017 EV / EBITDA:</t>
  </si>
  <si>
    <t>FY 18 EV / EBITDA:</t>
  </si>
  <si>
    <t>2016 P / E:</t>
  </si>
  <si>
    <t>25th Percentile</t>
  </si>
  <si>
    <t>2017 P / E:</t>
  </si>
  <si>
    <t>FY 18 P / E:</t>
  </si>
  <si>
    <t>DEBT / EQUITY</t>
  </si>
  <si>
    <t>EBITDA / INT. EXPENSES</t>
  </si>
  <si>
    <t>MULTIPLES GRAPH</t>
  </si>
  <si>
    <t>Min Point</t>
  </si>
  <si>
    <t>25th Point</t>
  </si>
  <si>
    <t>Median Point</t>
  </si>
  <si>
    <t>75th Point</t>
  </si>
  <si>
    <t>Max Point</t>
  </si>
  <si>
    <t>Valuation Statistics:</t>
  </si>
  <si>
    <t>Enterprise Value /</t>
  </si>
  <si>
    <t>P / E Multiple</t>
  </si>
  <si>
    <t>DEBT/</t>
  </si>
  <si>
    <t>EBITDA/</t>
  </si>
  <si>
    <t>EBITDA / Eq.Value Multiple</t>
  </si>
  <si>
    <t>Explicación EBITDA / Eq. Value</t>
  </si>
  <si>
    <t>VAL Graph</t>
  </si>
  <si>
    <t>Min</t>
  </si>
  <si>
    <t xml:space="preserve">75th </t>
  </si>
  <si>
    <t>Max</t>
  </si>
  <si>
    <t>FY18</t>
  </si>
  <si>
    <t>Int Expenses</t>
  </si>
  <si>
    <t xml:space="preserve">- En principio nunca relacionariamos estas dos métricas porque EBITDA es una </t>
  </si>
  <si>
    <t>métrica que està disponible para todos los inversores de la empresa,</t>
  </si>
  <si>
    <t>mientras que Eq. Value es el valor de la empresa sólo para los inversores de Equity</t>
  </si>
  <si>
    <t>- Aquí los he juntado para hacer una aproximación a lo que sería el múltiplo de</t>
  </si>
  <si>
    <t>Yearly Cash Flow / Share price</t>
  </si>
  <si>
    <t xml:space="preserve">     - EBITDA es una "buena" proxis de CF y Equity Value es Shareprice*sharecount</t>
  </si>
  <si>
    <t xml:space="preserve">- La idea és que si EBITDA &gt; Eq. Value, la empresa genera más cash cada año que </t>
  </si>
  <si>
    <t xml:space="preserve">el valor del mercado de toda la empresa. Obviamente es una situación que "nunca" </t>
  </si>
  <si>
    <t>encontraremos. Pero si lo hiciesemos, tendríamos una empresa que nos va a generar</t>
  </si>
  <si>
    <t>cada año más de lo que hemos pagado por ser accionistas.</t>
  </si>
  <si>
    <t xml:space="preserve">- En este caso la comparación con las otras empresas es irrelevante. Lo único </t>
  </si>
  <si>
    <t>importante es el valor de la métrica en nuestra empresa:</t>
  </si>
  <si>
    <t xml:space="preserve">      - Si EBITDA/Eq.Value &gt; 1 = Te ha tocado la bonoloto</t>
  </si>
  <si>
    <t xml:space="preserve">      - Si EBITDA/Eq.Value &lt; 1 = #normal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</si>
</sst>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\ [$€-1]"/>
    <numFmt numFmtId="165" formatCode="_(* #,##0.00_)\ [$€-1]_);\(#,##0.00\)\ [$€-1]_);_(* &quot;-&quot;??_)\ [$€-1]_);_(@"/>
    <numFmt numFmtId="166" formatCode="0.0%"/>
    <numFmt numFmtId="167" formatCode="0.0\x"/>
  </numFmts>
  <fonts count="35">
    <font>
      <sz val="10.0"/>
      <color rgb="FF000000"/>
      <name val="Arial"/>
    </font>
    <font>
      <sz val="12.0"/>
      <color theme="1"/>
      <name val="Calibri"/>
    </font>
    <font>
      <b/>
      <sz val="14.0"/>
      <color rgb="FF000000"/>
      <name val="Arial"/>
    </font>
    <font>
      <b/>
      <sz val="14.0"/>
      <color rgb="FF0000FF"/>
      <name val="Arial"/>
    </font>
    <font>
      <b/>
      <sz val="14.0"/>
      <color rgb="FFFF0000"/>
      <name val="Arial"/>
    </font>
    <font>
      <sz val="12.0"/>
      <color theme="1"/>
      <name val="Arial"/>
    </font>
    <font>
      <sz val="12.0"/>
      <color rgb="FFFF0000"/>
      <name val="Calibri"/>
    </font>
    <font>
      <sz val="12.0"/>
      <color rgb="FF0000FF"/>
      <name val="Arial"/>
    </font>
    <font>
      <sz val="12.0"/>
      <color rgb="FF000000"/>
      <name val="Calibri"/>
    </font>
    <font>
      <b/>
      <sz val="12.0"/>
      <color rgb="FFFFFFFF"/>
      <name val="Calibri"/>
    </font>
    <font>
      <b/>
      <u/>
      <sz val="12.0"/>
      <color rgb="FFFFFFFF"/>
      <name val="Calibri"/>
    </font>
    <font/>
    <font>
      <sz val="12.0"/>
      <color rgb="FFFFFFFF"/>
      <name val="Calibri"/>
    </font>
    <font>
      <b/>
      <u/>
      <sz val="12.0"/>
      <color rgb="FFFFFFFF"/>
      <name val="Calibri"/>
    </font>
    <font>
      <b/>
      <sz val="12.0"/>
      <color rgb="FF000000"/>
      <name val="Calibri"/>
    </font>
    <font>
      <b/>
      <sz val="12.0"/>
      <color rgb="FFFFFFFF"/>
      <name val="Arial"/>
    </font>
    <font>
      <sz val="10.0"/>
      <color theme="1"/>
      <name val="Arial"/>
    </font>
    <font>
      <sz val="12.0"/>
      <color rgb="FF0000FF"/>
      <name val="Calibri"/>
    </font>
    <font>
      <b/>
      <sz val="10.0"/>
      <color theme="1"/>
      <name val="Arial"/>
    </font>
    <font>
      <sz val="10.0"/>
      <color rgb="FF000000"/>
      <name val="Roboto"/>
    </font>
    <font>
      <sz val="11.0"/>
      <color rgb="FF313132"/>
      <name val="Knowledge-regular"/>
    </font>
    <font>
      <sz val="11.0"/>
      <color rgb="FF313132"/>
      <name val="Knowledge-medium"/>
    </font>
    <font>
      <b/>
      <sz val="11.0"/>
      <color rgb="FF444444"/>
      <name val="Roboto"/>
    </font>
    <font>
      <sz val="12.0"/>
      <color rgb="FF000000"/>
      <name val="Times"/>
    </font>
    <font>
      <sz val="12.0"/>
      <color rgb="FF000000"/>
      <name val="Arial"/>
    </font>
    <font>
      <sz val="12.0"/>
      <color rgb="FF00B050"/>
      <name val="Calibri"/>
    </font>
    <font>
      <b/>
      <sz val="12.0"/>
      <color theme="1"/>
      <name val="Calibri"/>
    </font>
    <font>
      <b/>
      <sz val="12.0"/>
      <color rgb="FFFF0000"/>
      <name val="Calibri"/>
    </font>
    <font>
      <b/>
      <sz val="12.0"/>
      <color rgb="FF000000"/>
      <name val="Arial"/>
    </font>
    <font>
      <b/>
      <sz val="12.0"/>
      <color rgb="FF0000FF"/>
      <name val="Arial"/>
    </font>
    <font>
      <sz val="10.0"/>
      <color rgb="FF00B050"/>
      <name val="Arial"/>
    </font>
    <font>
      <b/>
      <u/>
      <sz val="12.0"/>
      <color rgb="FFFFFFFF"/>
      <name val="Arial"/>
    </font>
    <font>
      <b/>
      <u/>
      <sz val="12.0"/>
      <color theme="1"/>
      <name val="Arial"/>
    </font>
    <font>
      <sz val="10.0"/>
      <color theme="1"/>
      <name val="Calibri"/>
    </font>
    <font>
      <sz val="10.0"/>
      <color rgb="FF00FF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8DB4E2"/>
        <bgColor rgb="FF8DB4E2"/>
      </patternFill>
    </fill>
    <fill>
      <patternFill patternType="solid">
        <fgColor rgb="FF0070C0"/>
        <bgColor rgb="FF0070C0"/>
      </patternFill>
    </fill>
  </fills>
  <borders count="25">
    <border/>
    <border>
      <left style="thick">
        <color rgb="FFFF0000"/>
      </left>
      <top style="thick">
        <color rgb="FFFF0000"/>
      </top>
    </border>
    <border>
      <top style="thick">
        <color rgb="FFFF0000"/>
      </top>
    </border>
    <border>
      <right style="thick">
        <color rgb="FFFF0000"/>
      </right>
      <top style="thick">
        <color rgb="FFFF0000"/>
      </top>
    </border>
    <border>
      <left style="thick">
        <color rgb="FFFF0000"/>
      </left>
    </border>
    <border>
      <right style="thick">
        <color rgb="FFFF0000"/>
      </right>
    </border>
    <border>
      <left style="thick">
        <color rgb="FFFF0000"/>
      </left>
      <bottom style="thick">
        <color rgb="FFFF0000"/>
      </bottom>
    </border>
    <border>
      <bottom style="thick">
        <color rgb="FFFF0000"/>
      </bottom>
    </border>
    <border>
      <right style="thick">
        <color rgb="FFFF0000"/>
      </right>
      <bottom style="thick">
        <color rgb="FFFF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Border="1" applyFont="1"/>
    <xf borderId="2" fillId="0" fontId="2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5" numFmtId="0" xfId="0" applyFont="1"/>
    <xf borderId="4" fillId="0" fontId="4" numFmtId="0" xfId="0" applyBorder="1" applyFont="1"/>
    <xf borderId="0" fillId="0" fontId="6" numFmtId="0" xfId="0" applyFont="1"/>
    <xf borderId="5" fillId="0" fontId="6" numFmtId="0" xfId="0" applyBorder="1" applyFont="1"/>
    <xf borderId="5" fillId="0" fontId="1" numFmtId="0" xfId="0" applyBorder="1" applyFont="1"/>
    <xf borderId="0" fillId="0" fontId="7" numFmtId="0" xfId="0" applyFont="1"/>
    <xf borderId="6" fillId="0" fontId="4" numFmtId="0" xfId="0" applyBorder="1" applyFont="1"/>
    <xf borderId="7" fillId="0" fontId="1" numFmtId="0" xfId="0" applyBorder="1" applyFont="1"/>
    <xf borderId="8" fillId="0" fontId="1" numFmtId="0" xfId="0" applyBorder="1" applyFont="1"/>
    <xf borderId="0" fillId="0" fontId="4" numFmtId="0" xfId="0" applyFont="1"/>
    <xf borderId="0" fillId="0" fontId="8" numFmtId="0" xfId="0" applyFont="1"/>
    <xf borderId="0" fillId="0" fontId="7" numFmtId="164" xfId="0" applyFont="1" applyNumberFormat="1"/>
    <xf borderId="9" fillId="2" fontId="9" numFmtId="0" xfId="0" applyAlignment="1" applyBorder="1" applyFill="1" applyFont="1">
      <alignment horizontal="left"/>
    </xf>
    <xf borderId="9" fillId="2" fontId="9" numFmtId="0" xfId="0" applyBorder="1" applyFont="1"/>
    <xf borderId="10" fillId="2" fontId="10" numFmtId="0" xfId="0" applyAlignment="1" applyBorder="1" applyFont="1">
      <alignment horizontal="center"/>
    </xf>
    <xf borderId="11" fillId="0" fontId="11" numFmtId="0" xfId="0" applyBorder="1" applyFont="1"/>
    <xf borderId="12" fillId="0" fontId="11" numFmtId="0" xfId="0" applyBorder="1" applyFont="1"/>
    <xf borderId="9" fillId="2" fontId="12" numFmtId="0" xfId="0" applyBorder="1" applyFont="1"/>
    <xf borderId="9" fillId="2" fontId="9" numFmtId="0" xfId="0" applyAlignment="1" applyBorder="1" applyFont="1">
      <alignment horizontal="center"/>
    </xf>
    <xf borderId="9" fillId="2" fontId="13" numFmtId="0" xfId="0" applyBorder="1" applyFont="1"/>
    <xf borderId="0" fillId="0" fontId="14" numFmtId="0" xfId="0" applyFont="1"/>
    <xf borderId="13" fillId="2" fontId="9" numFmtId="0" xfId="0" applyBorder="1" applyFont="1"/>
    <xf borderId="13" fillId="2" fontId="9" numFmtId="0" xfId="0" applyAlignment="1" applyBorder="1" applyFont="1">
      <alignment horizontal="center"/>
    </xf>
    <xf borderId="13" fillId="2" fontId="15" numFmtId="0" xfId="0" applyAlignment="1" applyBorder="1" applyFont="1">
      <alignment horizontal="center"/>
    </xf>
    <xf borderId="9" fillId="3" fontId="16" numFmtId="0" xfId="0" applyBorder="1" applyFill="1" applyFont="1"/>
    <xf borderId="0" fillId="0" fontId="1" numFmtId="0" xfId="0" applyAlignment="1" applyFont="1">
      <alignment horizontal="center"/>
    </xf>
    <xf borderId="0" fillId="0" fontId="17" numFmtId="0" xfId="0" applyAlignment="1" applyFont="1">
      <alignment readingOrder="0"/>
    </xf>
    <xf borderId="0" fillId="0" fontId="17" numFmtId="0" xfId="0" applyFont="1"/>
    <xf borderId="0" fillId="0" fontId="7" numFmtId="165" xfId="0" applyFont="1" applyNumberFormat="1"/>
    <xf borderId="0" fillId="0" fontId="1" numFmtId="165" xfId="0" applyFont="1" applyNumberFormat="1"/>
    <xf borderId="9" fillId="3" fontId="18" numFmtId="0" xfId="0" applyBorder="1" applyFont="1"/>
    <xf borderId="0" fillId="0" fontId="1" numFmtId="166" xfId="0" applyAlignment="1" applyFont="1" applyNumberFormat="1">
      <alignment horizontal="right"/>
    </xf>
    <xf borderId="9" fillId="3" fontId="0" numFmtId="0" xfId="0" applyBorder="1" applyFont="1"/>
    <xf borderId="9" fillId="3" fontId="19" numFmtId="0" xfId="0" applyBorder="1" applyFont="1"/>
    <xf borderId="0" fillId="0" fontId="8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0" numFmtId="165" xfId="0" applyAlignment="1" applyFont="1" applyNumberFormat="1">
      <alignment horizontal="right" readingOrder="0"/>
    </xf>
    <xf borderId="0" fillId="0" fontId="21" numFmtId="165" xfId="0" applyAlignment="1" applyFont="1" applyNumberFormat="1">
      <alignment horizontal="right" readingOrder="0"/>
    </xf>
    <xf borderId="0" fillId="3" fontId="22" numFmtId="165" xfId="0" applyAlignment="1" applyFont="1" applyNumberFormat="1">
      <alignment horizontal="left" readingOrder="0"/>
    </xf>
    <xf borderId="0" fillId="0" fontId="18" numFmtId="0" xfId="0" applyFont="1"/>
    <xf borderId="0" fillId="0" fontId="16" numFmtId="0" xfId="0" applyFont="1"/>
    <xf borderId="0" fillId="0" fontId="0" numFmtId="0" xfId="0" applyFont="1"/>
    <xf borderId="0" fillId="0" fontId="23" numFmtId="165" xfId="0" applyFont="1" applyNumberFormat="1"/>
    <xf borderId="10" fillId="2" fontId="15" numFmtId="0" xfId="0" applyAlignment="1" applyBorder="1" applyFont="1">
      <alignment horizontal="center"/>
    </xf>
    <xf borderId="0" fillId="0" fontId="24" numFmtId="0" xfId="0" applyAlignment="1" applyFont="1">
      <alignment horizontal="left"/>
    </xf>
    <xf borderId="0" fillId="0" fontId="8" numFmtId="167" xfId="0" applyFont="1" applyNumberFormat="1"/>
    <xf borderId="0" fillId="0" fontId="25" numFmtId="0" xfId="0" applyFont="1"/>
    <xf borderId="0" fillId="0" fontId="25" numFmtId="165" xfId="0" applyFont="1" applyNumberFormat="1"/>
    <xf borderId="0" fillId="0" fontId="8" numFmtId="165" xfId="0" applyFont="1" applyNumberFormat="1"/>
    <xf borderId="0" fillId="0" fontId="24" numFmtId="165" xfId="0" applyFont="1" applyNumberFormat="1"/>
    <xf borderId="14" fillId="0" fontId="1" numFmtId="0" xfId="0" applyBorder="1" applyFont="1"/>
    <xf borderId="15" fillId="0" fontId="1" numFmtId="0" xfId="0" applyBorder="1" applyFont="1"/>
    <xf borderId="15" fillId="0" fontId="1" numFmtId="165" xfId="0" applyBorder="1" applyFont="1" applyNumberFormat="1"/>
    <xf borderId="15" fillId="0" fontId="1" numFmtId="166" xfId="0" applyBorder="1" applyFont="1" applyNumberFormat="1"/>
    <xf borderId="16" fillId="0" fontId="1" numFmtId="0" xfId="0" applyBorder="1" applyFont="1"/>
    <xf borderId="0" fillId="0" fontId="6" numFmtId="165" xfId="0" applyFont="1" applyNumberFormat="1"/>
    <xf borderId="0" fillId="0" fontId="1" numFmtId="166" xfId="0" applyFont="1" applyNumberFormat="1"/>
    <xf borderId="17" fillId="4" fontId="26" numFmtId="0" xfId="0" applyBorder="1" applyFill="1" applyFont="1"/>
    <xf borderId="18" fillId="4" fontId="26" numFmtId="0" xfId="0" applyBorder="1" applyFont="1"/>
    <xf borderId="18" fillId="4" fontId="27" numFmtId="165" xfId="0" applyBorder="1" applyFont="1" applyNumberFormat="1"/>
    <xf borderId="18" fillId="4" fontId="27" numFmtId="0" xfId="0" applyBorder="1" applyFont="1"/>
    <xf borderId="18" fillId="4" fontId="26" numFmtId="166" xfId="0" applyBorder="1" applyFont="1" applyNumberFormat="1"/>
    <xf borderId="0" fillId="0" fontId="26" numFmtId="0" xfId="0" applyFont="1"/>
    <xf borderId="19" fillId="0" fontId="1" numFmtId="0" xfId="0" applyBorder="1" applyFont="1"/>
    <xf borderId="20" fillId="0" fontId="26" numFmtId="0" xfId="0" applyBorder="1" applyFont="1"/>
    <xf borderId="20" fillId="0" fontId="6" numFmtId="165" xfId="0" applyBorder="1" applyFont="1" applyNumberFormat="1"/>
    <xf borderId="20" fillId="0" fontId="6" numFmtId="0" xfId="0" applyBorder="1" applyFont="1"/>
    <xf borderId="20" fillId="0" fontId="1" numFmtId="166" xfId="0" applyBorder="1" applyFont="1" applyNumberFormat="1"/>
    <xf borderId="17" fillId="5" fontId="14" numFmtId="0" xfId="0" applyBorder="1" applyFill="1" applyFont="1"/>
    <xf borderId="18" fillId="5" fontId="14" numFmtId="0" xfId="0" applyBorder="1" applyFont="1"/>
    <xf borderId="18" fillId="5" fontId="28" numFmtId="165" xfId="0" applyBorder="1" applyFont="1" applyNumberFormat="1"/>
    <xf borderId="18" fillId="5" fontId="28" numFmtId="0" xfId="0" applyBorder="1" applyFont="1"/>
    <xf borderId="18" fillId="5" fontId="29" numFmtId="165" xfId="0" applyBorder="1" applyFont="1" applyNumberFormat="1"/>
    <xf borderId="0" fillId="0" fontId="16" numFmtId="167" xfId="0" applyFont="1" applyNumberFormat="1"/>
    <xf borderId="18" fillId="5" fontId="14" numFmtId="10" xfId="0" applyAlignment="1" applyBorder="1" applyFont="1" applyNumberFormat="1">
      <alignment horizontal="right"/>
    </xf>
    <xf borderId="0" fillId="0" fontId="30" numFmtId="167" xfId="0" applyFont="1" applyNumberFormat="1"/>
    <xf borderId="9" fillId="2" fontId="15" numFmtId="0" xfId="0" applyAlignment="1" applyBorder="1" applyFont="1">
      <alignment horizontal="center"/>
    </xf>
    <xf borderId="10" fillId="2" fontId="31" numFmtId="0" xfId="0" applyAlignment="1" applyBorder="1" applyFont="1">
      <alignment horizontal="center"/>
    </xf>
    <xf borderId="14" fillId="0" fontId="32" numFmtId="0" xfId="0" applyBorder="1" applyFont="1"/>
    <xf borderId="21" fillId="0" fontId="8" numFmtId="0" xfId="0" applyBorder="1" applyFont="1"/>
    <xf borderId="0" fillId="0" fontId="33" numFmtId="0" xfId="0" applyFont="1"/>
    <xf borderId="0" fillId="0" fontId="30" numFmtId="165" xfId="0" applyFont="1" applyNumberFormat="1"/>
    <xf borderId="0" fillId="0" fontId="30" numFmtId="0" xfId="0" applyFont="1"/>
    <xf borderId="0" fillId="0" fontId="26" numFmtId="0" xfId="0" applyAlignment="1" applyFont="1">
      <alignment horizontal="center"/>
    </xf>
    <xf borderId="22" fillId="0" fontId="8" numFmtId="0" xfId="0" applyBorder="1" applyFont="1"/>
    <xf borderId="0" fillId="0" fontId="1" numFmtId="167" xfId="0" applyAlignment="1" applyFont="1" applyNumberFormat="1">
      <alignment horizontal="right"/>
    </xf>
    <xf borderId="0" fillId="0" fontId="1" numFmtId="167" xfId="0" applyFont="1" applyNumberFormat="1"/>
    <xf borderId="16" fillId="0" fontId="5" numFmtId="0" xfId="0" applyBorder="1" applyFont="1"/>
    <xf borderId="0" fillId="0" fontId="34" numFmtId="0" xfId="0" applyFont="1"/>
    <xf borderId="19" fillId="0" fontId="5" numFmtId="0" xfId="0" applyBorder="1" applyFont="1"/>
    <xf borderId="23" fillId="0" fontId="8" numFmtId="0" xfId="0" applyBorder="1" applyFont="1"/>
    <xf borderId="15" fillId="0" fontId="1" numFmtId="167" xfId="0" applyBorder="1" applyFont="1" applyNumberFormat="1"/>
    <xf borderId="21" fillId="0" fontId="1" numFmtId="167" xfId="0" applyBorder="1" applyFont="1" applyNumberFormat="1"/>
    <xf borderId="22" fillId="0" fontId="1" numFmtId="167" xfId="0" applyBorder="1" applyFont="1" applyNumberFormat="1"/>
    <xf borderId="18" fillId="4" fontId="26" numFmtId="167" xfId="0" applyBorder="1" applyFont="1" applyNumberFormat="1"/>
    <xf borderId="24" fillId="4" fontId="26" numFmtId="167" xfId="0" applyBorder="1" applyFont="1" applyNumberFormat="1"/>
    <xf borderId="20" fillId="0" fontId="1" numFmtId="0" xfId="0" applyBorder="1" applyFont="1"/>
    <xf borderId="20" fillId="0" fontId="1" numFmtId="167" xfId="0" applyBorder="1" applyFont="1" applyNumberFormat="1"/>
    <xf borderId="23" fillId="0" fontId="1" numFmtId="167" xfId="0" applyBorder="1" applyFont="1" applyNumberFormat="1"/>
    <xf borderId="17" fillId="5" fontId="28" numFmtId="0" xfId="0" applyBorder="1" applyFont="1"/>
    <xf borderId="18" fillId="5" fontId="14" numFmtId="165" xfId="0" applyBorder="1" applyFont="1" applyNumberFormat="1"/>
    <xf borderId="18" fillId="5" fontId="14" numFmtId="167" xfId="0" applyAlignment="1" applyBorder="1" applyFont="1" applyNumberFormat="1">
      <alignment horizontal="right"/>
    </xf>
    <xf borderId="18" fillId="5" fontId="14" numFmtId="167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0000"/>
            </a:solidFill>
          </c:spPr>
          <c:cat>
            <c:strRef>
              <c:f>'Recap Info - NO TOCAR'!$B$31:$B$39</c:f>
            </c:strRef>
          </c:cat>
          <c:val>
            <c:numRef>
              <c:f>'Recap Info - NO TOCAR'!$C$31:$C$39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'Recap Info - NO TOCAR'!$B$31:$B$39</c:f>
            </c:strRef>
          </c:cat>
          <c:val>
            <c:numRef>
              <c:f>'Recap Info - NO TOCAR'!$D$31:$D$39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'Recap Info - NO TOCAR'!$B$31:$B$39</c:f>
            </c:strRef>
          </c:cat>
          <c:val>
            <c:numRef>
              <c:f>'Recap Info - NO TOCAR'!$E$31:$E$39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'Recap Info - NO TOCAR'!$B$31:$B$39</c:f>
            </c:strRef>
          </c:cat>
          <c:val>
            <c:numRef>
              <c:f>'Recap Info - NO TOCAR'!$F$31:$F$39</c:f>
            </c:numRef>
          </c:val>
        </c:ser>
        <c:ser>
          <c:idx val="4"/>
          <c:order val="4"/>
          <c:spPr>
            <a:solidFill>
              <a:schemeClr val="accent5"/>
            </a:solidFill>
          </c:spPr>
          <c:cat>
            <c:strRef>
              <c:f>'Recap Info - NO TOCAR'!$B$31:$B$39</c:f>
            </c:strRef>
          </c:cat>
          <c:val>
            <c:numRef>
              <c:f>'Recap Info - NO TOCAR'!$G$31:$G$39</c:f>
            </c:numRef>
          </c:val>
        </c:ser>
        <c:overlap val="100"/>
        <c:axId val="1093072377"/>
        <c:axId val="1760302242"/>
      </c:barChart>
      <c:catAx>
        <c:axId val="10930723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760302242"/>
      </c:catAx>
      <c:valAx>
        <c:axId val="17603022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093072377"/>
      </c:valAx>
      <c:spPr>
        <a:solidFill>
          <a:srgbClr val="FFFFFF"/>
        </a:solidFill>
      </c:spPr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0000"/>
            </a:solidFill>
          </c:spPr>
          <c:cat>
            <c:strRef>
              <c:f>'Recap Info - NO TOCAR'!$B$40</c:f>
            </c:strRef>
          </c:cat>
          <c:val>
            <c:numRef>
              <c:f>'Recap Info - NO TOCAR'!$C$40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'Recap Info - NO TOCAR'!$B$40</c:f>
            </c:strRef>
          </c:cat>
          <c:val>
            <c:numRef>
              <c:f>'Recap Info - NO TOCAR'!$D$40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'Recap Info - NO TOCAR'!$B$40</c:f>
            </c:strRef>
          </c:cat>
          <c:val>
            <c:numRef>
              <c:f>'Recap Info - NO TOCAR'!$E$40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'Recap Info - NO TOCAR'!$B$40</c:f>
            </c:strRef>
          </c:cat>
          <c:val>
            <c:numRef>
              <c:f>'Recap Info - NO TOCAR'!$F$40</c:f>
            </c:numRef>
          </c:val>
        </c:ser>
        <c:ser>
          <c:idx val="4"/>
          <c:order val="4"/>
          <c:spPr>
            <a:solidFill>
              <a:schemeClr val="accent5"/>
            </a:solidFill>
          </c:spPr>
          <c:cat>
            <c:strRef>
              <c:f>'Recap Info - NO TOCAR'!$B$40</c:f>
            </c:strRef>
          </c:cat>
          <c:val>
            <c:numRef>
              <c:f>'Recap Info - NO TOCAR'!$G$40</c:f>
            </c:numRef>
          </c:val>
        </c:ser>
        <c:overlap val="100"/>
        <c:axId val="815999452"/>
        <c:axId val="2060008890"/>
      </c:barChart>
      <c:catAx>
        <c:axId val="8159994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2060008890"/>
      </c:catAx>
      <c:valAx>
        <c:axId val="20600088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815999452"/>
      </c:valAx>
      <c:spPr>
        <a:solidFill>
          <a:srgbClr val="FFFFFF"/>
        </a:solidFill>
      </c:spPr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000000"/>
            </a:solidFill>
          </c:spPr>
          <c:cat>
            <c:strRef>
              <c:f>'Recap Info - NO TOCAR'!$B$41</c:f>
            </c:strRef>
          </c:cat>
          <c:val>
            <c:numRef>
              <c:f>'Recap Info - NO TOCAR'!$C$41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'Recap Info - NO TOCAR'!$B$41</c:f>
            </c:strRef>
          </c:cat>
          <c:val>
            <c:numRef>
              <c:f>'Recap Info - NO TOCAR'!$D$41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'Recap Info - NO TOCAR'!$B$41</c:f>
            </c:strRef>
          </c:cat>
          <c:val>
            <c:numRef>
              <c:f>'Recap Info - NO TOCAR'!$E$41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'Recap Info - NO TOCAR'!$B$41</c:f>
            </c:strRef>
          </c:cat>
          <c:val>
            <c:numRef>
              <c:f>'Recap Info - NO TOCAR'!$F$41</c:f>
            </c:numRef>
          </c:val>
        </c:ser>
        <c:ser>
          <c:idx val="4"/>
          <c:order val="4"/>
          <c:spPr>
            <a:solidFill>
              <a:schemeClr val="accent5"/>
            </a:solidFill>
          </c:spPr>
          <c:cat>
            <c:strRef>
              <c:f>'Recap Info - NO TOCAR'!$B$41</c:f>
            </c:strRef>
          </c:cat>
          <c:val>
            <c:numRef>
              <c:f>'Recap Info - NO TOCAR'!$G$41</c:f>
            </c:numRef>
          </c:val>
        </c:ser>
        <c:overlap val="100"/>
        <c:axId val="1183015200"/>
        <c:axId val="588321076"/>
      </c:barChart>
      <c:catAx>
        <c:axId val="118301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588321076"/>
      </c:catAx>
      <c:valAx>
        <c:axId val="5883210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183015200"/>
      </c:valAx>
      <c:spPr>
        <a:solidFill>
          <a:srgbClr val="FFFFFF"/>
        </a:solidFill>
      </c:spPr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cat>
            <c:strRef>
              <c:f>'Recap Info - NO TOCAR'!$B$57:$B$65</c:f>
            </c:strRef>
          </c:cat>
          <c:val>
            <c:numRef>
              <c:f>'Recap Info - NO TOCAR'!$C$57:$C$65</c:f>
            </c:numRef>
          </c:val>
        </c:ser>
        <c:ser>
          <c:idx val="1"/>
          <c:order val="1"/>
          <c:cat>
            <c:strRef>
              <c:f>'Recap Info - NO TOCAR'!$B$57:$B$65</c:f>
            </c:strRef>
          </c:cat>
          <c:val>
            <c:numRef>
              <c:f>'Recap Info - NO TOCAR'!$D$57:$D$65</c:f>
            </c:numRef>
          </c:val>
        </c:ser>
        <c:ser>
          <c:idx val="2"/>
          <c:order val="2"/>
          <c:cat>
            <c:strRef>
              <c:f>'Recap Info - NO TOCAR'!$B$57:$B$65</c:f>
            </c:strRef>
          </c:cat>
          <c:val>
            <c:numRef>
              <c:f>'Recap Info - NO TOCAR'!$E$57:$E$65</c:f>
            </c:numRef>
          </c:val>
        </c:ser>
        <c:ser>
          <c:idx val="3"/>
          <c:order val="3"/>
          <c:cat>
            <c:strRef>
              <c:f>'Recap Info - NO TOCAR'!$B$57:$B$65</c:f>
            </c:strRef>
          </c:cat>
          <c:val>
            <c:numRef>
              <c:f>'Recap Info - NO TOCAR'!$F$57:$F$65</c:f>
            </c:numRef>
          </c:val>
        </c:ser>
        <c:ser>
          <c:idx val="4"/>
          <c:order val="4"/>
          <c:cat>
            <c:strRef>
              <c:f>'Recap Info - NO TOCAR'!$B$57:$B$65</c:f>
            </c:strRef>
          </c:cat>
          <c:val>
            <c:numRef>
              <c:f>'Recap Info - NO TOCAR'!$G$57:$G$65</c:f>
            </c:numRef>
          </c:val>
        </c:ser>
        <c:overlap val="100"/>
        <c:axId val="552395355"/>
        <c:axId val="106908962"/>
      </c:barChart>
      <c:catAx>
        <c:axId val="552395355"/>
        <c:scaling>
          <c:orientation val="maxMin"/>
        </c:scaling>
        <c:delete val="0"/>
        <c:axPos val="l"/>
        <c:crossAx val="106908962"/>
      </c:catAx>
      <c:valAx>
        <c:axId val="106908962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552395355"/>
        <c:crosses val="max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image" Target="../media/image3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image" Target="../media/image1.jpg"/><Relationship Id="rId3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1</xdr:row>
      <xdr:rowOff>171450</xdr:rowOff>
    </xdr:from>
    <xdr:ext cx="7705725" cy="4762500"/>
    <xdr:graphicFrame>
      <xdr:nvGraphicFramePr>
        <xdr:cNvPr id="1775968515" name="Chart 2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0</xdr:colOff>
      <xdr:row>2</xdr:row>
      <xdr:rowOff>0</xdr:rowOff>
    </xdr:from>
    <xdr:ext cx="1685925" cy="4762500"/>
    <xdr:graphicFrame>
      <xdr:nvGraphicFramePr>
        <xdr:cNvPr id="243738098" name="Chart 3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209550</xdr:colOff>
      <xdr:row>2</xdr:row>
      <xdr:rowOff>9525</xdr:rowOff>
    </xdr:from>
    <xdr:ext cx="1685925" cy="4762500"/>
    <xdr:graphicFrame>
      <xdr:nvGraphicFramePr>
        <xdr:cNvPr id="1702476845" name="Chart 4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609600</xdr:colOff>
      <xdr:row>27</xdr:row>
      <xdr:rowOff>171450</xdr:rowOff>
    </xdr:from>
    <xdr:ext cx="352425" cy="876300"/>
    <xdr:pic>
      <xdr:nvPicPr>
        <xdr:cNvPr id="0" name="image3.jpg" title="Imat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4</xdr:row>
      <xdr:rowOff>0</xdr:rowOff>
    </xdr:from>
    <xdr:ext cx="8772525" cy="4305300"/>
    <xdr:graphicFrame>
      <xdr:nvGraphicFramePr>
        <xdr:cNvPr id="836124111" name="Chart 1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133350</xdr:colOff>
      <xdr:row>29</xdr:row>
      <xdr:rowOff>133350</xdr:rowOff>
    </xdr:from>
    <xdr:ext cx="1162050" cy="485775"/>
    <xdr:sp>
      <xdr:nvSpPr>
        <xdr:cNvPr id="3" name="Shape 3"/>
        <xdr:cNvSpPr/>
      </xdr:nvSpPr>
      <xdr:spPr>
        <a:xfrm>
          <a:off x="4769738" y="3541875"/>
          <a:ext cx="1152525" cy="476250"/>
        </a:xfrm>
        <a:prstGeom prst="rect">
          <a:avLst/>
        </a:prstGeom>
        <a:solidFill>
          <a:srgbClr val="FFFFFF"/>
        </a:solidFill>
        <a:ln cap="flat" cmpd="sng" w="9525">
          <a:solidFill>
            <a:srgbClr val="FF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133350</xdr:colOff>
      <xdr:row>30</xdr:row>
      <xdr:rowOff>133350</xdr:rowOff>
    </xdr:from>
    <xdr:ext cx="3505200" cy="2162175"/>
    <xdr:sp>
      <xdr:nvSpPr>
        <xdr:cNvPr id="4" name="Shape 4"/>
        <xdr:cNvSpPr/>
      </xdr:nvSpPr>
      <xdr:spPr>
        <a:xfrm>
          <a:off x="3598163" y="2703675"/>
          <a:ext cx="3495675" cy="2152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FF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419100</xdr:colOff>
      <xdr:row>27</xdr:row>
      <xdr:rowOff>76200</xdr:rowOff>
    </xdr:from>
    <xdr:ext cx="876300" cy="352425"/>
    <xdr:pic>
      <xdr:nvPicPr>
        <xdr:cNvPr id="0" name="image1.jpg" title="Imat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628650</xdr:colOff>
      <xdr:row>27</xdr:row>
      <xdr:rowOff>76200</xdr:rowOff>
    </xdr:from>
    <xdr:ext cx="876300" cy="352425"/>
    <xdr:pic>
      <xdr:nvPicPr>
        <xdr:cNvPr id="0" name="image1.jpg" title="Imat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885825</xdr:colOff>
      <xdr:row>27</xdr:row>
      <xdr:rowOff>47625</xdr:rowOff>
    </xdr:from>
    <xdr:ext cx="876300" cy="352425"/>
    <xdr:pic>
      <xdr:nvPicPr>
        <xdr:cNvPr id="0" name="image1.jpg" title="Imat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895350</xdr:colOff>
      <xdr:row>27</xdr:row>
      <xdr:rowOff>66675</xdr:rowOff>
    </xdr:from>
    <xdr:ext cx="876300" cy="352425"/>
    <xdr:pic>
      <xdr:nvPicPr>
        <xdr:cNvPr id="0" name="image1.jpg" title="Imat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666750</xdr:colOff>
      <xdr:row>27</xdr:row>
      <xdr:rowOff>180975</xdr:rowOff>
    </xdr:from>
    <xdr:ext cx="600075" cy="190500"/>
    <xdr:pic>
      <xdr:nvPicPr>
        <xdr:cNvPr id="0" name="image2.jpg" title="Imat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27</xdr:row>
      <xdr:rowOff>133350</xdr:rowOff>
    </xdr:from>
    <xdr:ext cx="600075" cy="190500"/>
    <xdr:pic>
      <xdr:nvPicPr>
        <xdr:cNvPr id="0" name="image2.jpg" title="Imat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742950</xdr:colOff>
      <xdr:row>27</xdr:row>
      <xdr:rowOff>133350</xdr:rowOff>
    </xdr:from>
    <xdr:ext cx="600075" cy="190500"/>
    <xdr:pic>
      <xdr:nvPicPr>
        <xdr:cNvPr id="0" name="image2.jpg" title="Imat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104775</xdr:colOff>
      <xdr:row>27</xdr:row>
      <xdr:rowOff>133350</xdr:rowOff>
    </xdr:from>
    <xdr:ext cx="600075" cy="190500"/>
    <xdr:pic>
      <xdr:nvPicPr>
        <xdr:cNvPr id="0" name="image2.jpg" title="Imat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695325</xdr:colOff>
      <xdr:row>27</xdr:row>
      <xdr:rowOff>114300</xdr:rowOff>
    </xdr:from>
    <xdr:ext cx="600075" cy="190500"/>
    <xdr:pic>
      <xdr:nvPicPr>
        <xdr:cNvPr id="0" name="image2.jpg" title="Imat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581025</xdr:colOff>
      <xdr:row>27</xdr:row>
      <xdr:rowOff>123825</xdr:rowOff>
    </xdr:from>
    <xdr:ext cx="600075" cy="190500"/>
    <xdr:pic>
      <xdr:nvPicPr>
        <xdr:cNvPr id="0" name="image2.jpg" title="Imat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609600</xdr:colOff>
      <xdr:row>27</xdr:row>
      <xdr:rowOff>133350</xdr:rowOff>
    </xdr:from>
    <xdr:ext cx="600075" cy="190500"/>
    <xdr:pic>
      <xdr:nvPicPr>
        <xdr:cNvPr id="0" name="image2.jpg" title="Imat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8" max="8" width="15.14"/>
    <col customWidth="1" min="10" max="11" width="15.14"/>
    <col customWidth="1" min="14" max="16" width="15.14"/>
    <col customWidth="1" min="21" max="21" width="15.14"/>
    <col customWidth="1" min="31" max="31" width="71.71"/>
    <col customWidth="1" min="32" max="32" width="57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1"/>
      <c r="B2" s="2" t="s">
        <v>0</v>
      </c>
      <c r="E2" s="3"/>
      <c r="F2" s="2"/>
      <c r="G2" s="2"/>
      <c r="H2" s="2"/>
      <c r="I2" s="4" t="s">
        <v>1</v>
      </c>
      <c r="J2" s="5"/>
      <c r="K2" s="5"/>
      <c r="L2" s="5"/>
      <c r="M2" s="5"/>
      <c r="N2" s="5"/>
      <c r="O2" s="6"/>
      <c r="P2" s="6"/>
      <c r="Q2" s="6"/>
      <c r="R2" s="6"/>
      <c r="S2" s="6"/>
      <c r="T2" s="6"/>
      <c r="U2" s="7"/>
      <c r="V2" s="1"/>
      <c r="W2" s="1"/>
      <c r="X2" s="1"/>
      <c r="Y2" s="1"/>
      <c r="Z2" s="1"/>
      <c r="AA2" s="1"/>
      <c r="AB2" s="1"/>
      <c r="AC2" s="1"/>
    </row>
    <row r="3" ht="15.75" customHeight="1">
      <c r="A3" s="1"/>
      <c r="B3" s="8" t="s">
        <v>2</v>
      </c>
      <c r="C3" s="8"/>
      <c r="D3" s="8"/>
      <c r="E3" s="8"/>
      <c r="F3" s="8"/>
      <c r="G3" s="8"/>
      <c r="H3" s="8"/>
      <c r="I3" s="9" t="s">
        <v>3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/>
      <c r="V3" s="1"/>
      <c r="W3" s="1"/>
      <c r="X3" s="1"/>
      <c r="Y3" s="1"/>
      <c r="Z3" s="1"/>
      <c r="AA3" s="1"/>
      <c r="AB3" s="1"/>
      <c r="AC3" s="1"/>
    </row>
    <row r="4" ht="15.75" customHeight="1">
      <c r="A4" s="1"/>
      <c r="B4" s="1"/>
      <c r="C4" s="1"/>
      <c r="D4" s="1"/>
      <c r="E4" s="1"/>
      <c r="F4" s="1"/>
      <c r="G4" s="1"/>
      <c r="H4" s="1"/>
      <c r="I4" s="9" t="s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2"/>
      <c r="V4" s="1"/>
      <c r="W4" s="1"/>
      <c r="X4" s="1"/>
      <c r="Y4" s="1"/>
      <c r="Z4" s="1"/>
      <c r="AA4" s="1"/>
      <c r="AB4" s="1"/>
      <c r="AC4" s="1"/>
    </row>
    <row r="5" ht="15.75" customHeight="1">
      <c r="A5" s="1"/>
      <c r="B5" s="8" t="s">
        <v>5</v>
      </c>
      <c r="C5" s="1"/>
      <c r="D5" s="13" t="s">
        <v>6</v>
      </c>
      <c r="E5" s="1"/>
      <c r="F5" s="1"/>
      <c r="G5" s="1"/>
      <c r="H5" s="1"/>
      <c r="I5" s="14" t="s">
        <v>7</v>
      </c>
      <c r="J5" s="15"/>
      <c r="K5" s="16"/>
      <c r="L5" s="15"/>
      <c r="M5" s="15"/>
      <c r="N5" s="15"/>
      <c r="O5" s="15"/>
      <c r="P5" s="15"/>
      <c r="Q5" s="15"/>
      <c r="R5" s="15"/>
      <c r="S5" s="15"/>
      <c r="T5" s="15"/>
      <c r="U5" s="16"/>
      <c r="V5" s="1"/>
      <c r="W5" s="1"/>
      <c r="X5" s="1"/>
      <c r="Y5" s="1"/>
      <c r="Z5" s="1"/>
      <c r="AA5" s="1"/>
      <c r="AB5" s="1"/>
      <c r="AC5" s="1"/>
    </row>
    <row r="6" ht="15.75" customHeight="1">
      <c r="A6" s="1"/>
      <c r="B6" s="8" t="s">
        <v>8</v>
      </c>
      <c r="C6" s="1"/>
      <c r="D6" s="13">
        <v>0.0</v>
      </c>
      <c r="E6" s="1"/>
      <c r="F6" s="1"/>
      <c r="G6" s="1"/>
      <c r="H6" s="1"/>
      <c r="I6" s="1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</row>
    <row r="7" ht="15.75" customHeight="1">
      <c r="A7" s="1"/>
      <c r="B7" s="8" t="s">
        <v>9</v>
      </c>
      <c r="C7" s="1"/>
      <c r="D7" s="19">
        <v>0.0</v>
      </c>
      <c r="E7" s="1"/>
      <c r="F7" s="1"/>
      <c r="G7" s="1"/>
      <c r="H7" s="1"/>
      <c r="I7" s="1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</row>
    <row r="9" ht="15.75" customHeight="1">
      <c r="A9" s="1"/>
      <c r="B9" s="20" t="s">
        <v>10</v>
      </c>
      <c r="C9" s="21"/>
      <c r="D9" s="21"/>
      <c r="E9" s="21"/>
      <c r="F9" s="22" t="s">
        <v>11</v>
      </c>
      <c r="G9" s="23"/>
      <c r="H9" s="23"/>
      <c r="I9" s="23"/>
      <c r="J9" s="23"/>
      <c r="K9" s="23"/>
      <c r="L9" s="23"/>
      <c r="M9" s="24"/>
      <c r="N9" s="25"/>
      <c r="O9" s="25"/>
      <c r="P9" s="25"/>
      <c r="Q9" s="25"/>
      <c r="R9" s="25"/>
      <c r="S9" s="25"/>
      <c r="T9" s="25"/>
      <c r="U9" s="25"/>
      <c r="V9" s="25"/>
      <c r="W9" s="26" t="s">
        <v>12</v>
      </c>
      <c r="X9" s="26" t="s">
        <v>12</v>
      </c>
      <c r="Y9" s="27"/>
      <c r="Z9" s="27"/>
      <c r="AA9" s="25"/>
      <c r="AB9" s="18"/>
      <c r="AC9" s="28"/>
      <c r="AE9" s="28"/>
      <c r="AF9" s="28"/>
      <c r="AG9" s="28"/>
      <c r="AH9" s="28"/>
      <c r="AI9" s="28"/>
      <c r="AJ9" s="28"/>
      <c r="AK9" s="28"/>
      <c r="AL9" s="28"/>
      <c r="AM9" s="1"/>
      <c r="AN9" s="1"/>
      <c r="AO9" s="18"/>
      <c r="AP9" s="18"/>
    </row>
    <row r="10" ht="15.75" customHeight="1">
      <c r="A10" s="1"/>
      <c r="B10" s="25"/>
      <c r="C10" s="25"/>
      <c r="D10" s="26" t="s">
        <v>13</v>
      </c>
      <c r="E10" s="26" t="s">
        <v>14</v>
      </c>
      <c r="F10" s="26" t="s">
        <v>15</v>
      </c>
      <c r="G10" s="26"/>
      <c r="H10" s="26"/>
      <c r="I10" s="26" t="s">
        <v>16</v>
      </c>
      <c r="J10" s="26" t="s">
        <v>17</v>
      </c>
      <c r="K10" s="26" t="s">
        <v>18</v>
      </c>
      <c r="L10" s="26" t="s">
        <v>19</v>
      </c>
      <c r="M10" s="26" t="s">
        <v>20</v>
      </c>
      <c r="N10" s="22" t="s">
        <v>21</v>
      </c>
      <c r="O10" s="23"/>
      <c r="P10" s="24"/>
      <c r="Q10" s="22" t="s">
        <v>22</v>
      </c>
      <c r="R10" s="23"/>
      <c r="S10" s="24"/>
      <c r="T10" s="22" t="s">
        <v>23</v>
      </c>
      <c r="U10" s="23"/>
      <c r="V10" s="24"/>
      <c r="W10" s="26" t="s">
        <v>21</v>
      </c>
      <c r="X10" s="26" t="s">
        <v>22</v>
      </c>
      <c r="Y10" s="22" t="s">
        <v>24</v>
      </c>
      <c r="Z10" s="23"/>
      <c r="AA10" s="24"/>
      <c r="AB10" s="18"/>
      <c r="AC10" s="10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8"/>
      <c r="AP10" s="18"/>
    </row>
    <row r="11" ht="15.75" customHeight="1">
      <c r="A11" s="1"/>
      <c r="B11" s="29" t="s">
        <v>25</v>
      </c>
      <c r="C11" s="29" t="s">
        <v>26</v>
      </c>
      <c r="D11" s="30" t="s">
        <v>27</v>
      </c>
      <c r="E11" s="31" t="s">
        <v>28</v>
      </c>
      <c r="F11" s="30" t="s">
        <v>29</v>
      </c>
      <c r="G11" s="30" t="s">
        <v>30</v>
      </c>
      <c r="H11" s="30" t="s">
        <v>31</v>
      </c>
      <c r="I11" s="30" t="s">
        <v>32</v>
      </c>
      <c r="J11" s="30" t="s">
        <v>33</v>
      </c>
      <c r="K11" s="30" t="s">
        <v>34</v>
      </c>
      <c r="L11" s="30" t="s">
        <v>35</v>
      </c>
      <c r="M11" s="30" t="s">
        <v>29</v>
      </c>
      <c r="N11" s="31">
        <v>2017.0</v>
      </c>
      <c r="O11" s="31">
        <v>2018.0</v>
      </c>
      <c r="P11" s="31" t="s">
        <v>36</v>
      </c>
      <c r="Q11" s="31">
        <v>2017.0</v>
      </c>
      <c r="R11" s="31">
        <v>2018.0</v>
      </c>
      <c r="S11" s="31" t="s">
        <v>36</v>
      </c>
      <c r="T11" s="31">
        <v>2017.0</v>
      </c>
      <c r="U11" s="31">
        <v>2018.0</v>
      </c>
      <c r="V11" s="31" t="s">
        <v>36</v>
      </c>
      <c r="W11" s="30" t="s">
        <v>37</v>
      </c>
      <c r="X11" s="30" t="s">
        <v>37</v>
      </c>
      <c r="Y11" s="31">
        <v>2017.0</v>
      </c>
      <c r="Z11" s="31">
        <v>2018.0</v>
      </c>
      <c r="AA11" s="31" t="s">
        <v>36</v>
      </c>
      <c r="AB11" s="18"/>
      <c r="AC11" s="10"/>
      <c r="AD11" s="1"/>
      <c r="AK11" s="1"/>
      <c r="AL11" s="1"/>
      <c r="AM11" s="1"/>
      <c r="AN11" s="1"/>
      <c r="AO11" s="18"/>
      <c r="AP11" s="18"/>
    </row>
    <row r="12" ht="15.75" customHeight="1">
      <c r="A12" s="33" t="s">
        <v>38</v>
      </c>
      <c r="B12" s="34" t="s">
        <v>39</v>
      </c>
      <c r="C12" s="35">
        <v>2230.0</v>
      </c>
      <c r="D12" s="36">
        <f>0.13*34.66</f>
        <v>4.5058</v>
      </c>
      <c r="E12" s="13">
        <v>2198.58</v>
      </c>
      <c r="F12" s="37">
        <f t="shared" ref="F12:F31" si="2">+D12*E12</f>
        <v>9906.361764</v>
      </c>
      <c r="G12" s="36">
        <f>4138.34*0.13</f>
        <v>537.9842</v>
      </c>
      <c r="H12" s="36">
        <f>7997.69*0.13</f>
        <v>1039.6997</v>
      </c>
      <c r="I12" s="36">
        <v>0.0</v>
      </c>
      <c r="J12" s="36">
        <f>340*0.13</f>
        <v>44.2</v>
      </c>
      <c r="K12" s="36">
        <f>11207.2*0.13</f>
        <v>1456.936</v>
      </c>
      <c r="L12" s="36">
        <v>0.0</v>
      </c>
      <c r="M12" s="37">
        <f>F12-G12+H12+I12+J12</f>
        <v>10452.27726</v>
      </c>
      <c r="N12" s="36">
        <f>5444.69*0.13</f>
        <v>707.8097</v>
      </c>
      <c r="O12" s="36">
        <f>7917.22*0.13</f>
        <v>1029.2386</v>
      </c>
      <c r="P12" s="36">
        <f>9210*0.13</f>
        <v>1197.3</v>
      </c>
      <c r="Q12" s="36">
        <f>(400+570)*0.13</f>
        <v>126.1</v>
      </c>
      <c r="R12" s="36">
        <f>(610+620)*0.13</f>
        <v>159.9</v>
      </c>
      <c r="S12" s="36">
        <f>(890+790)*0.13</f>
        <v>218.4</v>
      </c>
      <c r="T12" s="36">
        <f>430*0.13</f>
        <v>55.9</v>
      </c>
      <c r="U12" s="36">
        <f>540*0.13</f>
        <v>70.2</v>
      </c>
      <c r="V12" s="36">
        <f>700*0.13</f>
        <v>91</v>
      </c>
      <c r="W12" s="39">
        <f t="shared" ref="W12:W31" si="3">IFERROR(+P12/O12-1,"N/A")</f>
        <v>0.1632871134</v>
      </c>
      <c r="X12" s="39">
        <f t="shared" ref="X12:X31" si="4">IFERROR(+S12/R12-1,"N/A")</f>
        <v>0.3658536585</v>
      </c>
      <c r="Y12" s="39">
        <f t="shared" ref="Y12:AA12" si="1">IFERROR(Q12/N12,"N/A")</f>
        <v>0.1781552301</v>
      </c>
      <c r="Z12" s="39">
        <f t="shared" si="1"/>
        <v>0.1553575624</v>
      </c>
      <c r="AA12" s="39">
        <f t="shared" si="1"/>
        <v>0.1824104235</v>
      </c>
      <c r="AB12" s="18"/>
      <c r="AC12" s="10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"/>
      <c r="AO12" s="1"/>
      <c r="AP12" s="1"/>
    </row>
    <row r="13" ht="15.75" customHeight="1">
      <c r="A13" s="33" t="s">
        <v>38</v>
      </c>
      <c r="B13" s="35" t="s">
        <v>41</v>
      </c>
      <c r="C13" s="35">
        <v>2415.0</v>
      </c>
      <c r="D13" s="36">
        <f>34.17*0.13</f>
        <v>4.4421</v>
      </c>
      <c r="E13" s="13">
        <v>9345.01</v>
      </c>
      <c r="F13" s="37">
        <f t="shared" si="2"/>
        <v>41511.46892</v>
      </c>
      <c r="G13" s="36">
        <f>21170.57*0.13</f>
        <v>2752.1741</v>
      </c>
      <c r="H13" s="36">
        <f>27849.43*0.13</f>
        <v>3620.4259</v>
      </c>
      <c r="I13" s="36">
        <v>0.0</v>
      </c>
      <c r="J13" s="36">
        <f>580*0.13</f>
        <v>75.4</v>
      </c>
      <c r="K13" s="36">
        <f>40439.4*0.13</f>
        <v>5257.122</v>
      </c>
      <c r="L13" s="36">
        <v>0.0</v>
      </c>
      <c r="M13" s="37">
        <f t="shared" ref="M13:M31" si="6">+F13-G13+H13+I13+J13</f>
        <v>42455.12072</v>
      </c>
      <c r="N13" s="36">
        <f>41910*0.13</f>
        <v>5448.3</v>
      </c>
      <c r="O13" s="36">
        <f>49840*0.13</f>
        <v>6479.2</v>
      </c>
      <c r="P13" s="36">
        <f>55870*0.13</f>
        <v>7263.1</v>
      </c>
      <c r="Q13" s="36">
        <f>(11100+340)*0.13</f>
        <v>1487.2</v>
      </c>
      <c r="R13" s="36">
        <f>(12270+480)*0.13</f>
        <v>1657.5</v>
      </c>
      <c r="S13" s="36">
        <f>(13370+570)*0.13</f>
        <v>1812.2</v>
      </c>
      <c r="T13" s="36">
        <f>9410*0.13</f>
        <v>1223.3</v>
      </c>
      <c r="U13" s="36">
        <f>11350*0.13</f>
        <v>1475.5</v>
      </c>
      <c r="V13" s="36">
        <f>11980*0.13</f>
        <v>1557.4</v>
      </c>
      <c r="W13" s="39">
        <f t="shared" si="3"/>
        <v>0.1209871589</v>
      </c>
      <c r="X13" s="39">
        <f t="shared" si="4"/>
        <v>0.09333333333</v>
      </c>
      <c r="Y13" s="39">
        <f t="shared" ref="Y13:AA13" si="5">IFERROR(Q13/N13,"N/A")</f>
        <v>0.2729658793</v>
      </c>
      <c r="Z13" s="39">
        <f t="shared" si="5"/>
        <v>0.2558186196</v>
      </c>
      <c r="AA13" s="39">
        <f t="shared" si="5"/>
        <v>0.2495077859</v>
      </c>
      <c r="AB13" s="18"/>
      <c r="AC13" s="18"/>
      <c r="AD13" s="18"/>
      <c r="AN13" s="1"/>
      <c r="AO13" s="1"/>
      <c r="AP13" s="1"/>
    </row>
    <row r="14" ht="15.75" customHeight="1">
      <c r="A14" s="33" t="s">
        <v>38</v>
      </c>
      <c r="B14" s="34" t="s">
        <v>42</v>
      </c>
      <c r="C14" s="35">
        <v>2236.0</v>
      </c>
      <c r="D14" s="36">
        <f>0.13*21.49</f>
        <v>2.7937</v>
      </c>
      <c r="E14" s="13">
        <v>2892.56</v>
      </c>
      <c r="F14" s="37">
        <f t="shared" si="2"/>
        <v>8080.944872</v>
      </c>
      <c r="G14" s="36">
        <f>3555.38*0.13</f>
        <v>462.1994</v>
      </c>
      <c r="H14" s="36">
        <f>13789.84*0.13</f>
        <v>1792.6792</v>
      </c>
      <c r="I14" s="36">
        <v>0.0</v>
      </c>
      <c r="J14" s="36">
        <f>280*0.13</f>
        <v>36.4</v>
      </c>
      <c r="K14" s="36">
        <f>14130.31*0.13</f>
        <v>1836.9403</v>
      </c>
      <c r="L14" s="36">
        <f>230*0.13</f>
        <v>29.9</v>
      </c>
      <c r="M14" s="37">
        <f t="shared" si="6"/>
        <v>9447.824672</v>
      </c>
      <c r="N14" s="36">
        <f>18844.46*0.13</f>
        <v>2449.7798</v>
      </c>
      <c r="O14" s="36">
        <f>23665.69*0.13</f>
        <v>3076.5397</v>
      </c>
      <c r="P14" s="36">
        <f>25060*0.13</f>
        <v>3257.8</v>
      </c>
      <c r="Q14" s="36">
        <f>(3070+160)*0.13</f>
        <v>419.9</v>
      </c>
      <c r="R14" s="36">
        <f>(3050+240)*0.13</f>
        <v>427.7</v>
      </c>
      <c r="S14" s="36">
        <f>(3420+280)*0.13</f>
        <v>481</v>
      </c>
      <c r="T14" s="36">
        <f>(2380)*0.13</f>
        <v>309.4</v>
      </c>
      <c r="U14" s="36">
        <f>(2530)*0.13</f>
        <v>328.9</v>
      </c>
      <c r="V14" s="36">
        <f>2840*0.13</f>
        <v>369.2</v>
      </c>
      <c r="W14" s="39">
        <f t="shared" si="3"/>
        <v>0.0589169384</v>
      </c>
      <c r="X14" s="39">
        <f t="shared" si="4"/>
        <v>0.1246200608</v>
      </c>
      <c r="Y14" s="39">
        <f t="shared" ref="Y14:AA14" si="7">IFERROR(Q14/N14,"N/A")</f>
        <v>0.1714031604</v>
      </c>
      <c r="Z14" s="39">
        <f t="shared" si="7"/>
        <v>0.1390198215</v>
      </c>
      <c r="AA14" s="39">
        <f t="shared" si="7"/>
        <v>0.1476456504</v>
      </c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"/>
      <c r="AO14" s="1"/>
      <c r="AP14" s="1"/>
    </row>
    <row r="15" ht="15.75" customHeight="1">
      <c r="A15" s="33" t="s">
        <v>43</v>
      </c>
      <c r="B15" s="35" t="s">
        <v>44</v>
      </c>
      <c r="C15" s="35" t="s">
        <v>45</v>
      </c>
      <c r="D15" s="36">
        <f>50.67*0.9</f>
        <v>45.603</v>
      </c>
      <c r="E15" s="13">
        <v>144.68</v>
      </c>
      <c r="F15" s="37">
        <f t="shared" si="2"/>
        <v>6597.84204</v>
      </c>
      <c r="G15" s="36">
        <f>533.1*0.9</f>
        <v>479.79</v>
      </c>
      <c r="H15" s="36">
        <f>113.76*0.9</f>
        <v>102.384</v>
      </c>
      <c r="I15" s="36">
        <v>0.0</v>
      </c>
      <c r="J15" s="36">
        <v>0.0</v>
      </c>
      <c r="K15" s="36">
        <f>552.49*0.9</f>
        <v>497.241</v>
      </c>
      <c r="L15" s="36">
        <v>0.0</v>
      </c>
      <c r="M15" s="37">
        <f t="shared" si="6"/>
        <v>6220.43604</v>
      </c>
      <c r="N15" s="36">
        <f>523.4*0.9</f>
        <v>471.06</v>
      </c>
      <c r="O15" s="36">
        <f>530.35*0.9</f>
        <v>477.315</v>
      </c>
      <c r="P15" s="36">
        <f>427.44*0.9</f>
        <v>384.696</v>
      </c>
      <c r="Q15" s="36">
        <f>(103.81+13.13)*0.9</f>
        <v>105.246</v>
      </c>
      <c r="R15" s="36">
        <f>(108.9+14.8)*0.9</f>
        <v>111.33</v>
      </c>
      <c r="S15" s="36">
        <f>(58.91+13.76)*0.9</f>
        <v>65.403</v>
      </c>
      <c r="T15" s="36">
        <f>74.96*0.9</f>
        <v>67.464</v>
      </c>
      <c r="U15" s="36">
        <f>98.07*0.9</f>
        <v>88.263</v>
      </c>
      <c r="V15" s="36">
        <f>54.07*0.9</f>
        <v>48.663</v>
      </c>
      <c r="W15" s="39">
        <f t="shared" si="3"/>
        <v>-0.1940416706</v>
      </c>
      <c r="X15" s="39">
        <f t="shared" si="4"/>
        <v>-0.4125303153</v>
      </c>
      <c r="Y15" s="39">
        <f t="shared" ref="Y15:AA15" si="8">IFERROR(Q15/N15,"N/A")</f>
        <v>0.2234237677</v>
      </c>
      <c r="Z15" s="39">
        <f t="shared" si="8"/>
        <v>0.2332421985</v>
      </c>
      <c r="AA15" s="39">
        <f t="shared" si="8"/>
        <v>0.1700121655</v>
      </c>
      <c r="AB15" s="18"/>
      <c r="AC15" s="18"/>
      <c r="AD15" s="28"/>
      <c r="AM15" s="18"/>
      <c r="AN15" s="1"/>
      <c r="AO15" s="1"/>
      <c r="AP15" s="1"/>
    </row>
    <row r="16" ht="15.75" customHeight="1">
      <c r="A16" s="33" t="s">
        <v>46</v>
      </c>
      <c r="B16" s="34" t="s">
        <v>47</v>
      </c>
      <c r="C16" s="35" t="s">
        <v>48</v>
      </c>
      <c r="D16" s="36">
        <f>11.31*0.9</f>
        <v>10.179</v>
      </c>
      <c r="E16" s="13">
        <v>287.12</v>
      </c>
      <c r="F16" s="37">
        <f t="shared" si="2"/>
        <v>2922.59448</v>
      </c>
      <c r="G16" s="36">
        <f>406.01*0.9</f>
        <v>365.409</v>
      </c>
      <c r="H16" s="36">
        <f>784.05*0.9</f>
        <v>705.645</v>
      </c>
      <c r="I16" s="36">
        <v>0.0</v>
      </c>
      <c r="J16" s="36">
        <v>0.0</v>
      </c>
      <c r="K16" s="36">
        <f>1448.86*0.9</f>
        <v>1303.974</v>
      </c>
      <c r="L16" s="36">
        <v>0.0</v>
      </c>
      <c r="M16" s="37">
        <f t="shared" si="6"/>
        <v>3262.83048</v>
      </c>
      <c r="N16" s="36">
        <f>261.03*0.9</f>
        <v>234.927</v>
      </c>
      <c r="O16" s="36">
        <f>367.443*0.9</f>
        <v>330.6987</v>
      </c>
      <c r="P16" s="36">
        <f>479.94*0.9</f>
        <v>431.946</v>
      </c>
      <c r="Q16" s="36">
        <f>(-187.346+10.13+2.87)*0.9</f>
        <v>-156.9114</v>
      </c>
      <c r="R16" s="36">
        <f>(-390.29+12.61)*0.9</f>
        <v>-339.912</v>
      </c>
      <c r="S16" s="36">
        <f>(-193.76+16.02)*0.9</f>
        <v>-159.966</v>
      </c>
      <c r="T16" s="36">
        <f>-187.32*0.9</f>
        <v>-168.588</v>
      </c>
      <c r="U16" s="36">
        <f>-385.79*0.9</f>
        <v>-347.211</v>
      </c>
      <c r="V16" s="36">
        <f>-192.95*0.9</f>
        <v>-173.655</v>
      </c>
      <c r="W16" s="39">
        <f t="shared" si="3"/>
        <v>0.306161772</v>
      </c>
      <c r="X16" s="39">
        <f t="shared" si="4"/>
        <v>-0.5293899598</v>
      </c>
      <c r="Y16" s="39">
        <f t="shared" ref="Y16:AA16" si="9">IFERROR(Q16/N16,"N/A")</f>
        <v>-0.6679155653</v>
      </c>
      <c r="Z16" s="39">
        <f t="shared" si="9"/>
        <v>-1.027860103</v>
      </c>
      <c r="AA16" s="39">
        <f t="shared" si="9"/>
        <v>-0.3703379589</v>
      </c>
      <c r="AB16" s="18"/>
      <c r="AC16" s="10"/>
      <c r="AD16" s="18"/>
      <c r="AN16" s="1"/>
      <c r="AO16" s="1"/>
      <c r="AP16" s="1"/>
    </row>
    <row r="17" ht="15.75" customHeight="1">
      <c r="A17" s="33" t="s">
        <v>46</v>
      </c>
      <c r="B17" s="34" t="s">
        <v>49</v>
      </c>
      <c r="C17" s="35" t="s">
        <v>50</v>
      </c>
      <c r="D17" s="36">
        <f>26.34*0.9</f>
        <v>23.706</v>
      </c>
      <c r="E17" s="13">
        <v>112.4</v>
      </c>
      <c r="F17" s="37">
        <f t="shared" si="2"/>
        <v>2664.5544</v>
      </c>
      <c r="G17" s="36">
        <f>528*0.9</f>
        <v>475.2</v>
      </c>
      <c r="H17" s="36">
        <f>1651*0.9</f>
        <v>1485.9</v>
      </c>
      <c r="I17" s="36">
        <v>0.0</v>
      </c>
      <c r="J17" s="36">
        <v>0.0</v>
      </c>
      <c r="K17" s="36">
        <f>328*0.9</f>
        <v>295.2</v>
      </c>
      <c r="L17" s="36">
        <f>30*0.9</f>
        <v>27</v>
      </c>
      <c r="M17" s="37">
        <f t="shared" si="6"/>
        <v>3675.2544</v>
      </c>
      <c r="N17" s="36">
        <f t="shared" ref="N17:O17" si="10">2160*0.9</f>
        <v>1944</v>
      </c>
      <c r="O17" s="36">
        <f t="shared" si="10"/>
        <v>1944</v>
      </c>
      <c r="P17" s="36">
        <f>1990*0.9</f>
        <v>1791</v>
      </c>
      <c r="Q17" s="36">
        <f>(140+60)*0.9</f>
        <v>180</v>
      </c>
      <c r="R17" s="36">
        <f>(130+40)*0.9</f>
        <v>153</v>
      </c>
      <c r="S17" s="36">
        <f>(150+40)*0.9</f>
        <v>171</v>
      </c>
      <c r="T17" s="36">
        <f>-70*0.9</f>
        <v>-63</v>
      </c>
      <c r="U17" s="36">
        <f>30*0.9</f>
        <v>27</v>
      </c>
      <c r="V17" s="36">
        <f>10*0.9</f>
        <v>9</v>
      </c>
      <c r="W17" s="39">
        <f t="shared" si="3"/>
        <v>-0.0787037037</v>
      </c>
      <c r="X17" s="39">
        <f t="shared" si="4"/>
        <v>0.1176470588</v>
      </c>
      <c r="Y17" s="39">
        <f t="shared" ref="Y17:AA17" si="11">IFERROR(Q17/N17,"N/A")</f>
        <v>0.09259259259</v>
      </c>
      <c r="Z17" s="39">
        <f t="shared" si="11"/>
        <v>0.0787037037</v>
      </c>
      <c r="AA17" s="39">
        <f t="shared" si="11"/>
        <v>0.09547738693</v>
      </c>
      <c r="AB17" s="18"/>
      <c r="AC17" s="10"/>
      <c r="AD17" s="18"/>
      <c r="AH17" s="18"/>
      <c r="AI17" s="18"/>
      <c r="AJ17" s="18"/>
      <c r="AK17" s="18"/>
      <c r="AL17" s="18"/>
      <c r="AM17" s="18"/>
      <c r="AN17" s="1"/>
      <c r="AO17" s="1"/>
      <c r="AP17" s="1"/>
    </row>
    <row r="18" ht="15.75" customHeight="1">
      <c r="A18" s="33" t="s">
        <v>46</v>
      </c>
      <c r="B18" s="35" t="s">
        <v>53</v>
      </c>
      <c r="C18" s="35" t="s">
        <v>54</v>
      </c>
      <c r="D18" s="36">
        <f>106.83*0.9</f>
        <v>96.147</v>
      </c>
      <c r="E18" s="13">
        <v>65.05</v>
      </c>
      <c r="F18" s="37">
        <f t="shared" si="2"/>
        <v>6254.36235</v>
      </c>
      <c r="G18" s="36">
        <f>874.43*0.9</f>
        <v>786.987</v>
      </c>
      <c r="H18" s="36">
        <f>852.57*0.9</f>
        <v>767.313</v>
      </c>
      <c r="I18" s="36">
        <v>0.0</v>
      </c>
      <c r="J18" s="36">
        <v>0.0</v>
      </c>
      <c r="K18" s="36">
        <f>386.74*0.9</f>
        <v>348.066</v>
      </c>
      <c r="L18" s="36">
        <f>15.57*0.9</f>
        <v>14.013</v>
      </c>
      <c r="M18" s="37">
        <f t="shared" si="6"/>
        <v>6234.68835</v>
      </c>
      <c r="N18" s="36">
        <f>131.71*0.9</f>
        <v>118.539</v>
      </c>
      <c r="O18" s="36">
        <f>253.57*0.9</f>
        <v>228.213</v>
      </c>
      <c r="P18" s="36">
        <f>371.23*0.9</f>
        <v>334.107</v>
      </c>
      <c r="Q18" s="36">
        <f>(-18.2+3.96)*0.9</f>
        <v>-12.816</v>
      </c>
      <c r="R18" s="36">
        <f>(29.77+3.84)*0.9</f>
        <v>30.249</v>
      </c>
      <c r="S18" s="36">
        <f>(44.16+3.92)*0.9</f>
        <v>43.272</v>
      </c>
      <c r="T18" s="36">
        <f>-17.5*0.9</f>
        <v>-15.75</v>
      </c>
      <c r="U18" s="36">
        <f>28.02*0.9</f>
        <v>25.218</v>
      </c>
      <c r="V18" s="36">
        <f>35.2*0.9</f>
        <v>31.68</v>
      </c>
      <c r="W18" s="39">
        <f t="shared" si="3"/>
        <v>0.4640138818</v>
      </c>
      <c r="X18" s="39">
        <f t="shared" si="4"/>
        <v>0.430526629</v>
      </c>
      <c r="Y18" s="39">
        <f t="shared" ref="Y18:AA18" si="12">IFERROR(Q18/N18,"N/A")</f>
        <v>-0.1081163161</v>
      </c>
      <c r="Z18" s="39">
        <f t="shared" si="12"/>
        <v>0.1325472256</v>
      </c>
      <c r="AA18" s="39">
        <f t="shared" si="12"/>
        <v>0.1295153948</v>
      </c>
      <c r="AB18" s="18"/>
      <c r="AC18" s="10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"/>
      <c r="AO18" s="1"/>
      <c r="AP18" s="1"/>
    </row>
    <row r="19" ht="15.75" customHeight="1">
      <c r="A19" s="33" t="s">
        <v>46</v>
      </c>
      <c r="B19" s="35" t="s">
        <v>55</v>
      </c>
      <c r="C19" s="35" t="s">
        <v>56</v>
      </c>
      <c r="D19" s="36">
        <f>154.02*0.9</f>
        <v>138.618</v>
      </c>
      <c r="E19" s="13">
        <v>409.73</v>
      </c>
      <c r="F19" s="37">
        <f t="shared" si="2"/>
        <v>56795.95314</v>
      </c>
      <c r="G19" s="36">
        <f>2025*0.9</f>
        <v>1822.5</v>
      </c>
      <c r="H19" s="36">
        <f>16188*0.9</f>
        <v>14569.2</v>
      </c>
      <c r="I19" s="36">
        <v>0.0</v>
      </c>
      <c r="J19" s="36">
        <v>0.0</v>
      </c>
      <c r="K19" s="36">
        <f>5814*0.9</f>
        <v>5232.6</v>
      </c>
      <c r="L19" s="36">
        <f>130*0.9</f>
        <v>117</v>
      </c>
      <c r="M19" s="37">
        <f t="shared" si="6"/>
        <v>69542.65314</v>
      </c>
      <c r="N19" s="36">
        <v>0.0</v>
      </c>
      <c r="O19" s="36">
        <f>7920*0.9</f>
        <v>7128</v>
      </c>
      <c r="P19" s="36">
        <f>8970*0.9</f>
        <v>8073</v>
      </c>
      <c r="Q19" s="36">
        <v>0.0</v>
      </c>
      <c r="R19" s="36">
        <f>(1780+340)*0.9</f>
        <v>1908</v>
      </c>
      <c r="S19" s="36">
        <f>(2060+630)*0.9</f>
        <v>2421</v>
      </c>
      <c r="T19" s="36">
        <v>0.0</v>
      </c>
      <c r="U19" s="36">
        <f>570*0.9</f>
        <v>513</v>
      </c>
      <c r="V19" s="36">
        <f>2420*0.9</f>
        <v>2178</v>
      </c>
      <c r="W19" s="39">
        <f t="shared" si="3"/>
        <v>0.1325757576</v>
      </c>
      <c r="X19" s="39">
        <f t="shared" si="4"/>
        <v>0.2688679245</v>
      </c>
      <c r="Y19" s="39" t="str">
        <f t="shared" ref="Y19:AA19" si="13">IFERROR(Q19/N19,"N/A")</f>
        <v>N/A</v>
      </c>
      <c r="Z19" s="39">
        <f t="shared" si="13"/>
        <v>0.2676767677</v>
      </c>
      <c r="AA19" s="39">
        <f t="shared" si="13"/>
        <v>0.2998885173</v>
      </c>
      <c r="AB19" s="18"/>
      <c r="AC19" s="10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"/>
      <c r="AO19" s="1"/>
      <c r="AP19" s="1"/>
    </row>
    <row r="20" ht="15.75" customHeight="1">
      <c r="A20" s="33" t="s">
        <v>57</v>
      </c>
      <c r="B20" s="35" t="s">
        <v>58</v>
      </c>
      <c r="C20" s="35" t="s">
        <v>59</v>
      </c>
      <c r="D20" s="36">
        <f>27.33*0.9</f>
        <v>24.597</v>
      </c>
      <c r="E20" s="13">
        <v>894.1</v>
      </c>
      <c r="F20" s="37">
        <f t="shared" si="2"/>
        <v>21992.1777</v>
      </c>
      <c r="G20" s="36">
        <f>2478*0.9</f>
        <v>2230.2</v>
      </c>
      <c r="H20" s="36">
        <f>5004*0.9</f>
        <v>4503.6</v>
      </c>
      <c r="I20" s="36">
        <v>0.0</v>
      </c>
      <c r="J20" s="36">
        <v>0.0</v>
      </c>
      <c r="K20" s="36">
        <f>6618*0.9</f>
        <v>5956.2</v>
      </c>
      <c r="L20" s="36">
        <v>190.0</v>
      </c>
      <c r="M20" s="37">
        <f t="shared" si="6"/>
        <v>24265.5777</v>
      </c>
      <c r="N20" s="36">
        <f>8350*0.9</f>
        <v>7515</v>
      </c>
      <c r="O20" s="36">
        <f>9660*0.9</f>
        <v>8694</v>
      </c>
      <c r="P20" s="36">
        <f>9450*0.9</f>
        <v>8505</v>
      </c>
      <c r="Q20" s="36">
        <f>(1040+650)*0.9</f>
        <v>1521</v>
      </c>
      <c r="R20" s="36">
        <f>(1410+790)*0.9</f>
        <v>1980</v>
      </c>
      <c r="S20" s="36">
        <f>(1180+850)*0.9</f>
        <v>1827</v>
      </c>
      <c r="T20" s="36">
        <f>800*0.9</f>
        <v>720</v>
      </c>
      <c r="U20" s="36">
        <f>1290*0.9</f>
        <v>1161</v>
      </c>
      <c r="V20" s="36">
        <f>1060*0.9</f>
        <v>954</v>
      </c>
      <c r="W20" s="39">
        <f t="shared" si="3"/>
        <v>-0.02173913043</v>
      </c>
      <c r="X20" s="39">
        <f t="shared" si="4"/>
        <v>-0.07727272727</v>
      </c>
      <c r="Y20" s="39">
        <f t="shared" ref="Y20:AA20" si="14">IFERROR(Q20/N20,"N/A")</f>
        <v>0.2023952096</v>
      </c>
      <c r="Z20" s="39">
        <f t="shared" si="14"/>
        <v>0.2277432712</v>
      </c>
      <c r="AA20" s="39">
        <f t="shared" si="14"/>
        <v>0.2148148148</v>
      </c>
      <c r="AB20" s="18"/>
      <c r="AC20" s="10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"/>
      <c r="AO20" s="1"/>
      <c r="AP20" s="1"/>
    </row>
    <row r="21" ht="15.75" customHeight="1">
      <c r="A21" s="33" t="s">
        <v>60</v>
      </c>
      <c r="B21" s="35" t="s">
        <v>61</v>
      </c>
      <c r="C21" s="35" t="s">
        <v>62</v>
      </c>
      <c r="D21" s="36">
        <f>67.22*0.9</f>
        <v>60.498</v>
      </c>
      <c r="E21" s="13">
        <v>299.06</v>
      </c>
      <c r="F21" s="37">
        <f t="shared" si="2"/>
        <v>18092.53188</v>
      </c>
      <c r="G21" s="36">
        <f>9422.37*0.9</f>
        <v>8480.133</v>
      </c>
      <c r="H21" s="36">
        <f>7706.3*0.9</f>
        <v>6935.67</v>
      </c>
      <c r="I21" s="36">
        <v>0.0</v>
      </c>
      <c r="J21" s="36">
        <v>0.0</v>
      </c>
      <c r="K21" s="36">
        <f>28152.15*0.9</f>
        <v>25336.935</v>
      </c>
      <c r="L21" s="36">
        <v>0.0</v>
      </c>
      <c r="M21" s="37">
        <f t="shared" si="6"/>
        <v>16548.06888</v>
      </c>
      <c r="N21" s="36">
        <f>10070*0.9</f>
        <v>9063</v>
      </c>
      <c r="O21" s="36">
        <f>13140*0.9</f>
        <v>11826</v>
      </c>
      <c r="P21" s="36">
        <f>15030*0.9</f>
        <v>13527</v>
      </c>
      <c r="Q21" s="36">
        <f>(1800+440)*0.9</f>
        <v>2016</v>
      </c>
      <c r="R21" s="36">
        <f>(2390+410)*0.9</f>
        <v>2520</v>
      </c>
      <c r="S21" s="36">
        <f>(2820+410)*0.9</f>
        <v>2907</v>
      </c>
      <c r="T21" s="36">
        <f>1390*0.9</f>
        <v>1251</v>
      </c>
      <c r="U21" s="36">
        <f>2130*0.9</f>
        <v>1917</v>
      </c>
      <c r="V21" s="36">
        <f>6220*0.9</f>
        <v>5598</v>
      </c>
      <c r="W21" s="39">
        <f t="shared" si="3"/>
        <v>0.1438356164</v>
      </c>
      <c r="X21" s="39">
        <f t="shared" si="4"/>
        <v>0.1535714286</v>
      </c>
      <c r="Y21" s="39">
        <f t="shared" ref="Y21:AA21" si="15">IFERROR(Q21/N21,"N/A")</f>
        <v>0.2224428997</v>
      </c>
      <c r="Z21" s="39">
        <f t="shared" si="15"/>
        <v>0.2130898021</v>
      </c>
      <c r="AA21" s="39">
        <f t="shared" si="15"/>
        <v>0.2149035263</v>
      </c>
      <c r="AB21" s="18"/>
      <c r="AC21" s="10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"/>
      <c r="AO21" s="1"/>
      <c r="AP21" s="1"/>
    </row>
    <row r="22" ht="15.75" customHeight="1">
      <c r="A22" s="42" t="s">
        <v>63</v>
      </c>
      <c r="B22" s="34" t="s">
        <v>64</v>
      </c>
      <c r="C22" s="34" t="s">
        <v>64</v>
      </c>
      <c r="D22" s="43">
        <v>134.11</v>
      </c>
      <c r="E22" s="44">
        <v>893.0</v>
      </c>
      <c r="F22" s="37">
        <f t="shared" si="2"/>
        <v>119760.23</v>
      </c>
      <c r="G22" s="45">
        <v>11379.0</v>
      </c>
      <c r="H22" s="46">
        <v>45812.0</v>
      </c>
      <c r="I22" s="36">
        <v>0.0</v>
      </c>
      <c r="J22" s="36">
        <v>0.0</v>
      </c>
      <c r="K22" s="46">
        <v>123382.0</v>
      </c>
      <c r="L22" s="36">
        <v>0.0</v>
      </c>
      <c r="M22" s="37">
        <f t="shared" si="6"/>
        <v>154193.23</v>
      </c>
      <c r="N22" s="45">
        <v>79139.0</v>
      </c>
      <c r="O22" s="45">
        <v>79591.0</v>
      </c>
      <c r="P22" s="47">
        <v>77131.0</v>
      </c>
      <c r="Q22" s="45">
        <v>11400.0</v>
      </c>
      <c r="R22" s="45">
        <v>11342.0</v>
      </c>
      <c r="S22" s="43">
        <v>15974.0</v>
      </c>
      <c r="T22" s="45">
        <v>5753.0</v>
      </c>
      <c r="U22" s="46">
        <v>8728.0</v>
      </c>
      <c r="V22" s="43">
        <v>7712.0</v>
      </c>
      <c r="W22" s="39">
        <f t="shared" si="3"/>
        <v>-0.03090801724</v>
      </c>
      <c r="X22" s="39">
        <f t="shared" si="4"/>
        <v>0.4083935814</v>
      </c>
      <c r="Y22" s="39">
        <f t="shared" ref="Y22:AA22" si="16">IFERROR(Q22/N22,"N/A")</f>
        <v>0.1440503418</v>
      </c>
      <c r="Z22" s="39">
        <f t="shared" si="16"/>
        <v>0.1425035494</v>
      </c>
      <c r="AA22" s="39">
        <f t="shared" si="16"/>
        <v>0.2071022027</v>
      </c>
      <c r="AB22" s="18"/>
      <c r="AC22" s="10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"/>
      <c r="AO22" s="1"/>
      <c r="AP22" s="1"/>
    </row>
    <row r="23" ht="15.75" customHeight="1">
      <c r="A23" s="42" t="s">
        <v>63</v>
      </c>
      <c r="B23" s="34" t="s">
        <v>69</v>
      </c>
      <c r="C23" s="34" t="s">
        <v>70</v>
      </c>
      <c r="D23" s="43">
        <v>58.93</v>
      </c>
      <c r="E23" s="44">
        <v>4433.0</v>
      </c>
      <c r="F23" s="37">
        <f t="shared" si="2"/>
        <v>261236.69</v>
      </c>
      <c r="G23" s="45">
        <v>3019.0</v>
      </c>
      <c r="H23" s="45">
        <v>26359.0</v>
      </c>
      <c r="I23" s="36">
        <v>0.0</v>
      </c>
      <c r="J23" s="36">
        <v>0.0</v>
      </c>
      <c r="K23" s="45">
        <v>127963.0</v>
      </c>
      <c r="L23" s="36">
        <v>0.0</v>
      </c>
      <c r="M23" s="37">
        <f t="shared" si="6"/>
        <v>284576.69</v>
      </c>
      <c r="N23" s="45">
        <v>62761.0</v>
      </c>
      <c r="O23" s="46">
        <v>70848.0</v>
      </c>
      <c r="P23" s="43">
        <v>70413.0</v>
      </c>
      <c r="Q23" s="45">
        <v>20352.0</v>
      </c>
      <c r="R23" s="45">
        <v>23317.0</v>
      </c>
      <c r="S23" s="43">
        <v>31813.0</v>
      </c>
      <c r="T23" s="46">
        <v>9601.0</v>
      </c>
      <c r="U23" s="46">
        <v>21053.0</v>
      </c>
      <c r="V23" s="43">
        <v>19338.0</v>
      </c>
      <c r="W23" s="39">
        <f t="shared" si="3"/>
        <v>-0.006139905149</v>
      </c>
      <c r="X23" s="39">
        <f t="shared" si="4"/>
        <v>0.3643693443</v>
      </c>
      <c r="Y23" s="39">
        <f t="shared" ref="Y23:AA23" si="17">IFERROR(Q23/N23,"N/A")</f>
        <v>0.3242778158</v>
      </c>
      <c r="Z23" s="39">
        <f t="shared" si="17"/>
        <v>0.3291130307</v>
      </c>
      <c r="AA23" s="39">
        <f t="shared" si="17"/>
        <v>0.4518057745</v>
      </c>
      <c r="AB23" s="18"/>
      <c r="AC23" s="10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"/>
      <c r="AO23" s="1"/>
      <c r="AP23" s="1"/>
    </row>
    <row r="24" ht="15.75" customHeight="1">
      <c r="A24" s="42" t="s">
        <v>63</v>
      </c>
      <c r="B24" s="34" t="s">
        <v>71</v>
      </c>
      <c r="C24" s="34" t="s">
        <v>72</v>
      </c>
      <c r="D24" s="43">
        <v>44.39</v>
      </c>
      <c r="E24" s="44">
        <v>9582.0</v>
      </c>
      <c r="F24" s="37">
        <f t="shared" si="2"/>
        <v>425344.98</v>
      </c>
      <c r="G24" s="51"/>
      <c r="H24" s="36">
        <v>0.0</v>
      </c>
      <c r="I24" s="36">
        <v>0.0</v>
      </c>
      <c r="J24" s="36">
        <v>0.0</v>
      </c>
      <c r="K24" s="51"/>
      <c r="L24" s="36">
        <v>0.0</v>
      </c>
      <c r="M24" s="37">
        <f t="shared" si="6"/>
        <v>425344.98</v>
      </c>
      <c r="N24" s="51"/>
      <c r="O24" s="51"/>
      <c r="P24" s="36">
        <v>0.0</v>
      </c>
      <c r="Q24" s="51"/>
      <c r="R24" s="51"/>
      <c r="S24" s="36">
        <v>0.0</v>
      </c>
      <c r="T24" s="51"/>
      <c r="U24" s="51"/>
      <c r="V24" s="36">
        <v>0.0</v>
      </c>
      <c r="W24" s="39" t="str">
        <f t="shared" si="3"/>
        <v>N/A</v>
      </c>
      <c r="X24" s="39" t="str">
        <f t="shared" si="4"/>
        <v>N/A</v>
      </c>
      <c r="Y24" s="39" t="str">
        <f t="shared" ref="Y24:AA24" si="18">IFERROR(Q24/N24,"N/A")</f>
        <v>N/A</v>
      </c>
      <c r="Z24" s="39" t="str">
        <f t="shared" si="18"/>
        <v>N/A</v>
      </c>
      <c r="AA24" s="39" t="str">
        <f t="shared" si="18"/>
        <v>N/A</v>
      </c>
      <c r="AB24" s="18"/>
      <c r="AC24" s="10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"/>
      <c r="AO24" s="1"/>
      <c r="AP24" s="1"/>
    </row>
    <row r="25" ht="15.75" customHeight="1">
      <c r="A25" s="1"/>
      <c r="B25" s="35" t="s">
        <v>73</v>
      </c>
      <c r="C25" s="35" t="s">
        <v>74</v>
      </c>
      <c r="D25" s="36">
        <v>0.0</v>
      </c>
      <c r="E25" s="13">
        <v>0.0</v>
      </c>
      <c r="F25" s="37">
        <f t="shared" si="2"/>
        <v>0</v>
      </c>
      <c r="G25" s="36">
        <v>0.0</v>
      </c>
      <c r="H25" s="36">
        <v>0.0</v>
      </c>
      <c r="I25" s="36">
        <v>0.0</v>
      </c>
      <c r="J25" s="36">
        <v>0.0</v>
      </c>
      <c r="K25" s="36">
        <v>0.0</v>
      </c>
      <c r="L25" s="36">
        <v>0.0</v>
      </c>
      <c r="M25" s="37">
        <f t="shared" si="6"/>
        <v>0</v>
      </c>
      <c r="N25" s="36">
        <v>0.0</v>
      </c>
      <c r="O25" s="36">
        <v>0.0</v>
      </c>
      <c r="P25" s="36">
        <v>0.0</v>
      </c>
      <c r="Q25" s="36">
        <v>0.0</v>
      </c>
      <c r="R25" s="36">
        <v>0.0</v>
      </c>
      <c r="S25" s="36">
        <v>0.0</v>
      </c>
      <c r="T25" s="36">
        <v>0.0</v>
      </c>
      <c r="U25" s="36">
        <v>0.0</v>
      </c>
      <c r="V25" s="36">
        <v>0.0</v>
      </c>
      <c r="W25" s="39" t="str">
        <f t="shared" si="3"/>
        <v>N/A</v>
      </c>
      <c r="X25" s="39" t="str">
        <f t="shared" si="4"/>
        <v>N/A</v>
      </c>
      <c r="Y25" s="39" t="str">
        <f t="shared" ref="Y25:AA25" si="19">IFERROR(Q25/N25,"N/A")</f>
        <v>N/A</v>
      </c>
      <c r="Z25" s="39" t="str">
        <f t="shared" si="19"/>
        <v>N/A</v>
      </c>
      <c r="AA25" s="39" t="str">
        <f t="shared" si="19"/>
        <v>N/A</v>
      </c>
      <c r="AB25" s="18"/>
      <c r="AC25" s="10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"/>
      <c r="AO25" s="1"/>
      <c r="AP25" s="1"/>
    </row>
    <row r="26" ht="15.75" customHeight="1">
      <c r="A26" s="1"/>
      <c r="B26" s="35" t="s">
        <v>73</v>
      </c>
      <c r="C26" s="35" t="s">
        <v>74</v>
      </c>
      <c r="D26" s="36">
        <v>0.0</v>
      </c>
      <c r="E26" s="13">
        <v>0.0</v>
      </c>
      <c r="F26" s="37">
        <f t="shared" si="2"/>
        <v>0</v>
      </c>
      <c r="G26" s="36">
        <v>0.0</v>
      </c>
      <c r="H26" s="36">
        <v>0.0</v>
      </c>
      <c r="I26" s="36">
        <v>0.0</v>
      </c>
      <c r="J26" s="36">
        <v>0.0</v>
      </c>
      <c r="K26" s="36">
        <v>0.0</v>
      </c>
      <c r="L26" s="36">
        <v>0.0</v>
      </c>
      <c r="M26" s="37">
        <f t="shared" si="6"/>
        <v>0</v>
      </c>
      <c r="N26" s="36">
        <v>0.0</v>
      </c>
      <c r="O26" s="36">
        <v>0.0</v>
      </c>
      <c r="P26" s="36">
        <v>0.0</v>
      </c>
      <c r="Q26" s="36">
        <v>0.0</v>
      </c>
      <c r="R26" s="36">
        <v>0.0</v>
      </c>
      <c r="S26" s="36">
        <v>0.0</v>
      </c>
      <c r="T26" s="36">
        <v>0.0</v>
      </c>
      <c r="U26" s="36">
        <v>0.0</v>
      </c>
      <c r="V26" s="36">
        <v>0.0</v>
      </c>
      <c r="W26" s="39" t="str">
        <f t="shared" si="3"/>
        <v>N/A</v>
      </c>
      <c r="X26" s="39" t="str">
        <f t="shared" si="4"/>
        <v>N/A</v>
      </c>
      <c r="Y26" s="39" t="str">
        <f t="shared" ref="Y26:AA26" si="20">IFERROR(Q26/N26,"N/A")</f>
        <v>N/A</v>
      </c>
      <c r="Z26" s="39" t="str">
        <f t="shared" si="20"/>
        <v>N/A</v>
      </c>
      <c r="AA26" s="39" t="str">
        <f t="shared" si="20"/>
        <v>N/A</v>
      </c>
      <c r="AB26" s="18"/>
      <c r="AC26" s="10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"/>
      <c r="AO26" s="1"/>
      <c r="AP26" s="1"/>
    </row>
    <row r="27" ht="15.75" customHeight="1">
      <c r="A27" s="1"/>
      <c r="B27" s="35" t="s">
        <v>73</v>
      </c>
      <c r="C27" s="35" t="s">
        <v>74</v>
      </c>
      <c r="D27" s="36">
        <v>0.0</v>
      </c>
      <c r="E27" s="13">
        <v>0.0</v>
      </c>
      <c r="F27" s="37">
        <f t="shared" si="2"/>
        <v>0</v>
      </c>
      <c r="G27" s="36">
        <v>0.0</v>
      </c>
      <c r="H27" s="36">
        <v>0.0</v>
      </c>
      <c r="I27" s="36">
        <v>0.0</v>
      </c>
      <c r="J27" s="36">
        <v>0.0</v>
      </c>
      <c r="K27" s="36">
        <v>0.0</v>
      </c>
      <c r="L27" s="36">
        <v>0.0</v>
      </c>
      <c r="M27" s="37">
        <f t="shared" si="6"/>
        <v>0</v>
      </c>
      <c r="N27" s="36">
        <v>0.0</v>
      </c>
      <c r="O27" s="36">
        <v>0.0</v>
      </c>
      <c r="P27" s="36">
        <v>0.0</v>
      </c>
      <c r="Q27" s="36">
        <v>0.0</v>
      </c>
      <c r="R27" s="36">
        <v>0.0</v>
      </c>
      <c r="S27" s="36">
        <v>0.0</v>
      </c>
      <c r="T27" s="36">
        <v>0.0</v>
      </c>
      <c r="U27" s="36">
        <v>0.0</v>
      </c>
      <c r="V27" s="36">
        <v>0.0</v>
      </c>
      <c r="W27" s="39" t="str">
        <f t="shared" si="3"/>
        <v>N/A</v>
      </c>
      <c r="X27" s="39" t="str">
        <f t="shared" si="4"/>
        <v>N/A</v>
      </c>
      <c r="Y27" s="39" t="str">
        <f t="shared" ref="Y27:AA27" si="21">IFERROR(Q27/N27,"N/A")</f>
        <v>N/A</v>
      </c>
      <c r="Z27" s="39" t="str">
        <f t="shared" si="21"/>
        <v>N/A</v>
      </c>
      <c r="AA27" s="39" t="str">
        <f t="shared" si="21"/>
        <v>N/A</v>
      </c>
      <c r="AB27" s="18"/>
      <c r="AC27" s="10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"/>
      <c r="AO27" s="1"/>
      <c r="AP27" s="1"/>
    </row>
    <row r="28" ht="15.75" customHeight="1">
      <c r="A28" s="1"/>
      <c r="B28" s="35" t="s">
        <v>73</v>
      </c>
      <c r="C28" s="35" t="s">
        <v>74</v>
      </c>
      <c r="D28" s="36">
        <v>0.0</v>
      </c>
      <c r="E28" s="13">
        <v>0.0</v>
      </c>
      <c r="F28" s="37">
        <f t="shared" si="2"/>
        <v>0</v>
      </c>
      <c r="G28" s="36">
        <v>0.0</v>
      </c>
      <c r="H28" s="36">
        <v>0.0</v>
      </c>
      <c r="I28" s="36">
        <v>0.0</v>
      </c>
      <c r="J28" s="36">
        <v>0.0</v>
      </c>
      <c r="K28" s="36">
        <v>0.0</v>
      </c>
      <c r="L28" s="36">
        <v>0.0</v>
      </c>
      <c r="M28" s="37">
        <f t="shared" si="6"/>
        <v>0</v>
      </c>
      <c r="N28" s="36">
        <v>0.0</v>
      </c>
      <c r="O28" s="36">
        <v>0.0</v>
      </c>
      <c r="P28" s="36">
        <v>0.0</v>
      </c>
      <c r="Q28" s="36">
        <v>0.0</v>
      </c>
      <c r="R28" s="36">
        <v>0.0</v>
      </c>
      <c r="S28" s="36">
        <v>0.0</v>
      </c>
      <c r="T28" s="36">
        <v>0.0</v>
      </c>
      <c r="U28" s="36">
        <v>0.0</v>
      </c>
      <c r="V28" s="36">
        <v>0.0</v>
      </c>
      <c r="W28" s="39" t="str">
        <f t="shared" si="3"/>
        <v>N/A</v>
      </c>
      <c r="X28" s="39" t="str">
        <f t="shared" si="4"/>
        <v>N/A</v>
      </c>
      <c r="Y28" s="39" t="str">
        <f t="shared" ref="Y28:AA28" si="22">IFERROR(Q28/N28,"N/A")</f>
        <v>N/A</v>
      </c>
      <c r="Z28" s="39" t="str">
        <f t="shared" si="22"/>
        <v>N/A</v>
      </c>
      <c r="AA28" s="39" t="str">
        <f t="shared" si="22"/>
        <v>N/A</v>
      </c>
      <c r="AB28" s="18"/>
      <c r="AC28" s="10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"/>
      <c r="AO28" s="1"/>
      <c r="AP28" s="1"/>
    </row>
    <row r="29" ht="15.75" customHeight="1">
      <c r="A29" s="1"/>
      <c r="B29" s="35" t="s">
        <v>73</v>
      </c>
      <c r="C29" s="35" t="s">
        <v>74</v>
      </c>
      <c r="D29" s="36">
        <v>0.0</v>
      </c>
      <c r="E29" s="13">
        <v>0.0</v>
      </c>
      <c r="F29" s="37">
        <f t="shared" si="2"/>
        <v>0</v>
      </c>
      <c r="G29" s="36">
        <v>0.0</v>
      </c>
      <c r="H29" s="36">
        <v>0.0</v>
      </c>
      <c r="I29" s="36">
        <v>0.0</v>
      </c>
      <c r="J29" s="36">
        <v>0.0</v>
      </c>
      <c r="K29" s="36">
        <v>0.0</v>
      </c>
      <c r="L29" s="36">
        <v>0.0</v>
      </c>
      <c r="M29" s="37">
        <f t="shared" si="6"/>
        <v>0</v>
      </c>
      <c r="N29" s="36">
        <v>0.0</v>
      </c>
      <c r="O29" s="36">
        <v>0.0</v>
      </c>
      <c r="P29" s="36">
        <v>0.0</v>
      </c>
      <c r="Q29" s="36">
        <v>0.0</v>
      </c>
      <c r="R29" s="36">
        <v>0.0</v>
      </c>
      <c r="S29" s="36">
        <v>0.0</v>
      </c>
      <c r="T29" s="36">
        <v>0.0</v>
      </c>
      <c r="U29" s="36">
        <v>0.0</v>
      </c>
      <c r="V29" s="36">
        <v>0.0</v>
      </c>
      <c r="W29" s="39" t="str">
        <f t="shared" si="3"/>
        <v>N/A</v>
      </c>
      <c r="X29" s="39" t="str">
        <f t="shared" si="4"/>
        <v>N/A</v>
      </c>
      <c r="Y29" s="39" t="str">
        <f t="shared" ref="Y29:AA29" si="23">IFERROR(Q29/N29,"N/A")</f>
        <v>N/A</v>
      </c>
      <c r="Z29" s="39" t="str">
        <f t="shared" si="23"/>
        <v>N/A</v>
      </c>
      <c r="AA29" s="39" t="str">
        <f t="shared" si="23"/>
        <v>N/A</v>
      </c>
      <c r="AB29" s="18"/>
      <c r="AC29" s="10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"/>
      <c r="AO29" s="1"/>
      <c r="AP29" s="1"/>
    </row>
    <row r="30" ht="15.75" customHeight="1">
      <c r="A30" s="1"/>
      <c r="B30" s="35" t="s">
        <v>73</v>
      </c>
      <c r="C30" s="35" t="s">
        <v>74</v>
      </c>
      <c r="D30" s="36">
        <v>0.0</v>
      </c>
      <c r="E30" s="13">
        <v>0.0</v>
      </c>
      <c r="F30" s="37">
        <f t="shared" si="2"/>
        <v>0</v>
      </c>
      <c r="G30" s="36">
        <v>0.0</v>
      </c>
      <c r="H30" s="36">
        <v>0.0</v>
      </c>
      <c r="I30" s="36">
        <v>0.0</v>
      </c>
      <c r="J30" s="36">
        <v>0.0</v>
      </c>
      <c r="K30" s="36">
        <v>0.0</v>
      </c>
      <c r="L30" s="36">
        <v>0.0</v>
      </c>
      <c r="M30" s="37">
        <f t="shared" si="6"/>
        <v>0</v>
      </c>
      <c r="N30" s="36">
        <v>0.0</v>
      </c>
      <c r="O30" s="36">
        <v>0.0</v>
      </c>
      <c r="P30" s="36">
        <v>0.0</v>
      </c>
      <c r="Q30" s="36">
        <v>0.0</v>
      </c>
      <c r="R30" s="36">
        <v>0.0</v>
      </c>
      <c r="S30" s="36">
        <v>0.0</v>
      </c>
      <c r="T30" s="36">
        <v>0.0</v>
      </c>
      <c r="U30" s="36">
        <v>0.0</v>
      </c>
      <c r="V30" s="36">
        <v>0.0</v>
      </c>
      <c r="W30" s="39" t="str">
        <f t="shared" si="3"/>
        <v>N/A</v>
      </c>
      <c r="X30" s="39" t="str">
        <f t="shared" si="4"/>
        <v>N/A</v>
      </c>
      <c r="Y30" s="39" t="str">
        <f t="shared" ref="Y30:AA30" si="24">IFERROR(Q30/N30,"N/A")</f>
        <v>N/A</v>
      </c>
      <c r="Z30" s="39" t="str">
        <f t="shared" si="24"/>
        <v>N/A</v>
      </c>
      <c r="AA30" s="39" t="str">
        <f t="shared" si="24"/>
        <v>N/A</v>
      </c>
      <c r="AB30" s="18"/>
      <c r="AC30" s="10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"/>
      <c r="AO30" s="1"/>
      <c r="AP30" s="1"/>
    </row>
    <row r="31" ht="15.75" customHeight="1">
      <c r="A31" s="1"/>
      <c r="B31" s="35" t="s">
        <v>73</v>
      </c>
      <c r="C31" s="35" t="s">
        <v>74</v>
      </c>
      <c r="D31" s="36">
        <v>0.0</v>
      </c>
      <c r="E31" s="13">
        <v>0.0</v>
      </c>
      <c r="F31" s="37">
        <f t="shared" si="2"/>
        <v>0</v>
      </c>
      <c r="G31" s="36">
        <v>0.0</v>
      </c>
      <c r="H31" s="36">
        <v>0.0</v>
      </c>
      <c r="I31" s="36">
        <v>0.0</v>
      </c>
      <c r="J31" s="36">
        <v>0.0</v>
      </c>
      <c r="K31" s="36">
        <v>0.0</v>
      </c>
      <c r="L31" s="36">
        <v>0.0</v>
      </c>
      <c r="M31" s="37">
        <f t="shared" si="6"/>
        <v>0</v>
      </c>
      <c r="N31" s="36">
        <v>0.0</v>
      </c>
      <c r="O31" s="36">
        <v>0.0</v>
      </c>
      <c r="P31" s="36">
        <v>0.0</v>
      </c>
      <c r="Q31" s="36">
        <v>0.0</v>
      </c>
      <c r="R31" s="36">
        <v>0.0</v>
      </c>
      <c r="S31" s="36">
        <v>0.0</v>
      </c>
      <c r="T31" s="36">
        <v>0.0</v>
      </c>
      <c r="U31" s="36">
        <v>0.0</v>
      </c>
      <c r="V31" s="36">
        <v>0.0</v>
      </c>
      <c r="W31" s="39" t="str">
        <f t="shared" si="3"/>
        <v>N/A</v>
      </c>
      <c r="X31" s="39" t="str">
        <f t="shared" si="4"/>
        <v>N/A</v>
      </c>
      <c r="Y31" s="39" t="str">
        <f t="shared" ref="Y31:AA31" si="25">IFERROR(Q31/N31,"N/A")</f>
        <v>N/A</v>
      </c>
      <c r="Z31" s="39" t="str">
        <f t="shared" si="25"/>
        <v>N/A</v>
      </c>
      <c r="AA31" s="39" t="str">
        <f t="shared" si="25"/>
        <v>N/A</v>
      </c>
      <c r="AB31" s="18"/>
      <c r="AC31" s="10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"/>
      <c r="AO31" s="1"/>
      <c r="AP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8"/>
      <c r="AC32" s="10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"/>
      <c r="AO32" s="1"/>
      <c r="AP32" s="1"/>
    </row>
    <row r="33" ht="15.75" customHeight="1">
      <c r="A33" s="1"/>
      <c r="B33" s="59" t="s">
        <v>79</v>
      </c>
      <c r="C33" s="60"/>
      <c r="D33" s="61">
        <f>MAX(D12:D31)</f>
        <v>138.618</v>
      </c>
      <c r="E33" s="60"/>
      <c r="F33" s="61">
        <f>MAX(F12:F31)</f>
        <v>425344.98</v>
      </c>
      <c r="G33" s="60"/>
      <c r="H33" s="60"/>
      <c r="I33" s="60"/>
      <c r="J33" s="60"/>
      <c r="K33" s="60"/>
      <c r="L33" s="60"/>
      <c r="M33" s="61">
        <f t="shared" ref="M33:AA33" si="26">MAX(M12:M31)</f>
        <v>425344.98</v>
      </c>
      <c r="N33" s="61">
        <f t="shared" si="26"/>
        <v>79139</v>
      </c>
      <c r="O33" s="61">
        <f t="shared" si="26"/>
        <v>79591</v>
      </c>
      <c r="P33" s="61">
        <f t="shared" si="26"/>
        <v>77131</v>
      </c>
      <c r="Q33" s="61">
        <f t="shared" si="26"/>
        <v>20352</v>
      </c>
      <c r="R33" s="61">
        <f t="shared" si="26"/>
        <v>23317</v>
      </c>
      <c r="S33" s="61">
        <f t="shared" si="26"/>
        <v>31813</v>
      </c>
      <c r="T33" s="61">
        <f t="shared" si="26"/>
        <v>9601</v>
      </c>
      <c r="U33" s="61">
        <f t="shared" si="26"/>
        <v>21053</v>
      </c>
      <c r="V33" s="61">
        <f t="shared" si="26"/>
        <v>19338</v>
      </c>
      <c r="W33" s="62">
        <f t="shared" si="26"/>
        <v>0.4640138818</v>
      </c>
      <c r="X33" s="62">
        <f t="shared" si="26"/>
        <v>0.430526629</v>
      </c>
      <c r="Y33" s="62">
        <f t="shared" si="26"/>
        <v>0.3242778158</v>
      </c>
      <c r="Z33" s="62">
        <f t="shared" si="26"/>
        <v>0.3291130307</v>
      </c>
      <c r="AA33" s="62">
        <f t="shared" si="26"/>
        <v>0.4518057745</v>
      </c>
      <c r="AB33" s="18"/>
      <c r="AC33" s="18"/>
      <c r="AD33" s="18"/>
      <c r="AN33" s="1"/>
      <c r="AO33" s="1"/>
      <c r="AP33" s="1"/>
    </row>
    <row r="34" ht="15.75" customHeight="1">
      <c r="A34" s="1"/>
      <c r="B34" s="63" t="s">
        <v>91</v>
      </c>
      <c r="C34" s="1"/>
      <c r="D34" s="64">
        <f>QUARTILE(D12:D31,3)</f>
        <v>48.93475</v>
      </c>
      <c r="E34" s="10"/>
      <c r="F34" s="64">
        <f>QUARTILE(F12:F31,3)</f>
        <v>26872.00051</v>
      </c>
      <c r="G34" s="1"/>
      <c r="H34" s="1"/>
      <c r="I34" s="1"/>
      <c r="J34" s="1"/>
      <c r="K34" s="64"/>
      <c r="L34" s="64"/>
      <c r="M34" s="64">
        <f t="shared" ref="M34:AA34" si="27">QUARTILE(M12:M31,3)</f>
        <v>28812.96346</v>
      </c>
      <c r="N34" s="64">
        <f t="shared" si="27"/>
        <v>3949.0399</v>
      </c>
      <c r="O34" s="64">
        <f t="shared" si="27"/>
        <v>6803.6</v>
      </c>
      <c r="P34" s="64">
        <f t="shared" si="27"/>
        <v>7465.575</v>
      </c>
      <c r="Q34" s="64">
        <f t="shared" si="27"/>
        <v>953.55</v>
      </c>
      <c r="R34" s="64">
        <f t="shared" si="27"/>
        <v>1782.75</v>
      </c>
      <c r="S34" s="64">
        <f t="shared" si="27"/>
        <v>1815.9</v>
      </c>
      <c r="T34" s="64">
        <f t="shared" si="27"/>
        <v>514.7</v>
      </c>
      <c r="U34" s="64">
        <f t="shared" si="27"/>
        <v>837</v>
      </c>
      <c r="V34" s="64">
        <f t="shared" si="27"/>
        <v>1104.85</v>
      </c>
      <c r="W34" s="65">
        <f t="shared" si="27"/>
        <v>0.1486984907</v>
      </c>
      <c r="X34" s="65">
        <f t="shared" si="27"/>
        <v>0.3647404228</v>
      </c>
      <c r="Y34" s="65">
        <f t="shared" si="27"/>
        <v>0.2229333337</v>
      </c>
      <c r="Z34" s="65">
        <f t="shared" si="27"/>
        <v>0.2388863038</v>
      </c>
      <c r="AA34" s="65">
        <f t="shared" si="27"/>
        <v>0.2235545912</v>
      </c>
      <c r="AB34" s="18"/>
      <c r="AC34" s="10"/>
      <c r="AD34" s="1"/>
      <c r="AH34" s="1"/>
      <c r="AI34" s="1"/>
      <c r="AJ34" s="1"/>
      <c r="AK34" s="1"/>
      <c r="AL34" s="1"/>
      <c r="AM34" s="18"/>
      <c r="AN34" s="1"/>
      <c r="AO34" s="1"/>
      <c r="AP34" s="1"/>
    </row>
    <row r="35" ht="15.75" customHeight="1">
      <c r="A35" s="1"/>
      <c r="B35" s="66" t="s">
        <v>81</v>
      </c>
      <c r="C35" s="67"/>
      <c r="D35" s="68">
        <f>MEDIAN(D12:D31)</f>
        <v>7.3424</v>
      </c>
      <c r="E35" s="69"/>
      <c r="F35" s="68">
        <f>MEDIAN(F12:F31)</f>
        <v>6426.102195</v>
      </c>
      <c r="G35" s="67"/>
      <c r="H35" s="67"/>
      <c r="I35" s="67"/>
      <c r="J35" s="67"/>
      <c r="K35" s="69"/>
      <c r="L35" s="69"/>
      <c r="M35" s="68">
        <f t="shared" ref="M35:AA35" si="28">MEDIAN(M12:M31)</f>
        <v>6227.562195</v>
      </c>
      <c r="N35" s="68">
        <f t="shared" si="28"/>
        <v>234.927</v>
      </c>
      <c r="O35" s="68">
        <f t="shared" si="28"/>
        <v>477.315</v>
      </c>
      <c r="P35" s="68">
        <f t="shared" si="28"/>
        <v>408.321</v>
      </c>
      <c r="Q35" s="68">
        <f t="shared" si="28"/>
        <v>0</v>
      </c>
      <c r="R35" s="68">
        <f t="shared" si="28"/>
        <v>111.33</v>
      </c>
      <c r="S35" s="68">
        <f t="shared" si="28"/>
        <v>54.3375</v>
      </c>
      <c r="T35" s="68">
        <f t="shared" si="28"/>
        <v>0</v>
      </c>
      <c r="U35" s="68">
        <f t="shared" si="28"/>
        <v>27</v>
      </c>
      <c r="V35" s="68">
        <f t="shared" si="28"/>
        <v>20.34</v>
      </c>
      <c r="W35" s="70">
        <f t="shared" si="28"/>
        <v>0.08995204866</v>
      </c>
      <c r="X35" s="70">
        <f t="shared" si="28"/>
        <v>0.1390957447</v>
      </c>
      <c r="Y35" s="70">
        <f t="shared" si="28"/>
        <v>0.1781552301</v>
      </c>
      <c r="Z35" s="70">
        <f t="shared" si="28"/>
        <v>0.1842236823</v>
      </c>
      <c r="AA35" s="70">
        <f t="shared" si="28"/>
        <v>0.1947563131</v>
      </c>
      <c r="AB35" s="18"/>
      <c r="AC35" s="10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"/>
      <c r="AO35" s="1"/>
      <c r="AP35" s="1"/>
    </row>
    <row r="36" ht="15.75" customHeight="1">
      <c r="A36" s="1"/>
      <c r="B36" s="63" t="s">
        <v>96</v>
      </c>
      <c r="C36" s="71"/>
      <c r="D36" s="64">
        <f>QUARTILE(D12:D31,1)</f>
        <v>0</v>
      </c>
      <c r="E36" s="64"/>
      <c r="F36" s="64">
        <f>QUARTILE(F12:F31,1)</f>
        <v>0</v>
      </c>
      <c r="G36" s="1"/>
      <c r="H36" s="1"/>
      <c r="I36" s="1"/>
      <c r="J36" s="1"/>
      <c r="K36" s="64"/>
      <c r="L36" s="64"/>
      <c r="M36" s="64">
        <f t="shared" ref="M36:AA36" si="29">QUARTILE(M12:M31,1)</f>
        <v>0</v>
      </c>
      <c r="N36" s="64">
        <f t="shared" si="29"/>
        <v>0</v>
      </c>
      <c r="O36" s="64">
        <f t="shared" si="29"/>
        <v>0</v>
      </c>
      <c r="P36" s="64">
        <f t="shared" si="29"/>
        <v>0</v>
      </c>
      <c r="Q36" s="64">
        <f t="shared" si="29"/>
        <v>0</v>
      </c>
      <c r="R36" s="64">
        <f t="shared" si="29"/>
        <v>0</v>
      </c>
      <c r="S36" s="64">
        <f t="shared" si="29"/>
        <v>0</v>
      </c>
      <c r="T36" s="64">
        <f t="shared" si="29"/>
        <v>0</v>
      </c>
      <c r="U36" s="64">
        <f t="shared" si="29"/>
        <v>0</v>
      </c>
      <c r="V36" s="64">
        <f t="shared" si="29"/>
        <v>0</v>
      </c>
      <c r="W36" s="65">
        <f t="shared" si="29"/>
        <v>-0.02403135214</v>
      </c>
      <c r="X36" s="65">
        <f t="shared" si="29"/>
        <v>0.05068181818</v>
      </c>
      <c r="Y36" s="65">
        <f t="shared" si="29"/>
        <v>0.1183214672</v>
      </c>
      <c r="Z36" s="65">
        <f t="shared" si="29"/>
        <v>0.1374016725</v>
      </c>
      <c r="AA36" s="65">
        <f t="shared" si="29"/>
        <v>0.1431130865</v>
      </c>
      <c r="AB36" s="18"/>
      <c r="AC36" s="10"/>
      <c r="AD36" s="18"/>
      <c r="AM36" s="18"/>
      <c r="AN36" s="1"/>
      <c r="AO36" s="1"/>
      <c r="AP36" s="1"/>
    </row>
    <row r="37" ht="15.75" customHeight="1">
      <c r="A37" s="1"/>
      <c r="B37" s="72" t="s">
        <v>82</v>
      </c>
      <c r="C37" s="73"/>
      <c r="D37" s="74">
        <f>MIN(D12:D31)</f>
        <v>0</v>
      </c>
      <c r="E37" s="75"/>
      <c r="F37" s="74">
        <f>MIN(F12:F31)</f>
        <v>0</v>
      </c>
      <c r="G37" s="75"/>
      <c r="H37" s="75"/>
      <c r="I37" s="75"/>
      <c r="J37" s="75"/>
      <c r="K37" s="75"/>
      <c r="L37" s="75"/>
      <c r="M37" s="74">
        <f t="shared" ref="M37:AA37" si="30">MIN(M12:M31)</f>
        <v>0</v>
      </c>
      <c r="N37" s="74">
        <f t="shared" si="30"/>
        <v>0</v>
      </c>
      <c r="O37" s="74">
        <f t="shared" si="30"/>
        <v>0</v>
      </c>
      <c r="P37" s="74">
        <f t="shared" si="30"/>
        <v>0</v>
      </c>
      <c r="Q37" s="74">
        <f t="shared" si="30"/>
        <v>-156.9114</v>
      </c>
      <c r="R37" s="74">
        <f t="shared" si="30"/>
        <v>-339.912</v>
      </c>
      <c r="S37" s="74">
        <f t="shared" si="30"/>
        <v>-159.966</v>
      </c>
      <c r="T37" s="74">
        <f t="shared" si="30"/>
        <v>-168.588</v>
      </c>
      <c r="U37" s="74">
        <f t="shared" si="30"/>
        <v>-347.211</v>
      </c>
      <c r="V37" s="74">
        <f t="shared" si="30"/>
        <v>-173.655</v>
      </c>
      <c r="W37" s="76">
        <f t="shared" si="30"/>
        <v>-0.1940416706</v>
      </c>
      <c r="X37" s="76">
        <f t="shared" si="30"/>
        <v>-0.5293899598</v>
      </c>
      <c r="Y37" s="76">
        <f t="shared" si="30"/>
        <v>-0.6679155653</v>
      </c>
      <c r="Z37" s="76">
        <f t="shared" si="30"/>
        <v>-1.027860103</v>
      </c>
      <c r="AA37" s="76">
        <f t="shared" si="30"/>
        <v>-0.3703379589</v>
      </c>
      <c r="AB37" s="18"/>
      <c r="AC37" s="10"/>
      <c r="AD37" s="18"/>
      <c r="AJ37" s="18"/>
      <c r="AK37" s="18"/>
      <c r="AL37" s="18"/>
      <c r="AM37" s="18"/>
      <c r="AN37" s="1"/>
      <c r="AO37" s="1"/>
      <c r="AP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8"/>
      <c r="AC38" s="10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ht="15.75" customHeight="1">
      <c r="A39" s="1"/>
      <c r="B39" s="77" t="str">
        <f>D5</f>
        <v>XXXXXX</v>
      </c>
      <c r="C39" s="78"/>
      <c r="D39" s="79">
        <f>D7</f>
        <v>0</v>
      </c>
      <c r="E39" s="80">
        <f>D6</f>
        <v>0</v>
      </c>
      <c r="F39" s="79">
        <f>E39*D39</f>
        <v>0</v>
      </c>
      <c r="G39" s="81">
        <v>0.0</v>
      </c>
      <c r="H39" s="81">
        <v>0.0</v>
      </c>
      <c r="I39" s="81">
        <v>0.0</v>
      </c>
      <c r="J39" s="81">
        <v>0.0</v>
      </c>
      <c r="K39" s="81">
        <v>0.0</v>
      </c>
      <c r="L39" s="81">
        <v>0.0</v>
      </c>
      <c r="M39" s="79">
        <f>IFERROR(+F39+G39+H39+I39+J39,"N/A")</f>
        <v>0</v>
      </c>
      <c r="N39" s="81">
        <v>0.0</v>
      </c>
      <c r="O39" s="81">
        <v>0.0</v>
      </c>
      <c r="P39" s="81">
        <v>0.0</v>
      </c>
      <c r="Q39" s="81">
        <v>0.0</v>
      </c>
      <c r="R39" s="81">
        <v>0.0</v>
      </c>
      <c r="S39" s="81">
        <v>0.0</v>
      </c>
      <c r="T39" s="81">
        <v>0.0</v>
      </c>
      <c r="U39" s="81">
        <v>0.0</v>
      </c>
      <c r="V39" s="81">
        <v>0.0</v>
      </c>
      <c r="W39" s="83" t="str">
        <f>IFERROR(+P39/O39-1,"N/A")</f>
        <v>N/A</v>
      </c>
      <c r="X39" s="83" t="str">
        <f>IFERROR(+S39/R39-1,"N/A")</f>
        <v>N/A</v>
      </c>
      <c r="Y39" s="83" t="str">
        <f t="shared" ref="Y39:AA39" si="31">IFERROR(Q39/N39,"N/A")</f>
        <v>N/A</v>
      </c>
      <c r="Z39" s="83" t="str">
        <f t="shared" si="31"/>
        <v>N/A</v>
      </c>
      <c r="AA39" s="83" t="str">
        <f t="shared" si="31"/>
        <v>N/A</v>
      </c>
      <c r="AB39" s="18"/>
      <c r="AC39" s="28"/>
      <c r="AG39" s="28"/>
      <c r="AH39" s="28"/>
      <c r="AI39" s="28"/>
      <c r="AJ39" s="28"/>
      <c r="AK39" s="28"/>
      <c r="AL39" s="28"/>
      <c r="AM39" s="1"/>
      <c r="AN39" s="1"/>
      <c r="AO39" s="1"/>
      <c r="AP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8"/>
      <c r="AF40" s="10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ht="15.75" customHeight="1">
      <c r="A41" s="1"/>
      <c r="B41" s="21" t="s">
        <v>107</v>
      </c>
      <c r="C41" s="21"/>
      <c r="D41" s="21"/>
      <c r="E41" s="21"/>
      <c r="F41" s="22" t="s">
        <v>11</v>
      </c>
      <c r="G41" s="23"/>
      <c r="H41" s="23"/>
      <c r="I41" s="23"/>
      <c r="J41" s="23"/>
      <c r="K41" s="23"/>
      <c r="L41" s="23"/>
      <c r="M41" s="24"/>
      <c r="N41" s="22" t="s">
        <v>108</v>
      </c>
      <c r="O41" s="23"/>
      <c r="P41" s="24"/>
      <c r="Q41" s="22" t="s">
        <v>108</v>
      </c>
      <c r="R41" s="23"/>
      <c r="S41" s="24"/>
      <c r="T41" s="25"/>
      <c r="U41" s="25"/>
      <c r="V41" s="25"/>
      <c r="W41" s="25"/>
      <c r="X41" s="25"/>
      <c r="Y41" s="25"/>
      <c r="Z41" s="25"/>
      <c r="AA41" s="25"/>
      <c r="AB41" s="1"/>
      <c r="AC41" s="1"/>
      <c r="AD41" s="18"/>
      <c r="AE41" s="10"/>
      <c r="AF41" s="1"/>
      <c r="AO41" s="1"/>
      <c r="AP41" s="1"/>
      <c r="AQ41" s="1"/>
      <c r="AR41" s="1"/>
    </row>
    <row r="42" ht="15.75" customHeight="1">
      <c r="A42" s="1"/>
      <c r="B42" s="25"/>
      <c r="C42" s="25"/>
      <c r="D42" s="26"/>
      <c r="E42" s="26"/>
      <c r="F42" s="26" t="s">
        <v>15</v>
      </c>
      <c r="G42" s="26"/>
      <c r="H42" s="26"/>
      <c r="I42" s="26"/>
      <c r="J42" s="26"/>
      <c r="K42" s="26"/>
      <c r="L42" s="26"/>
      <c r="M42" s="26" t="s">
        <v>20</v>
      </c>
      <c r="N42" s="22" t="s">
        <v>21</v>
      </c>
      <c r="O42" s="23"/>
      <c r="P42" s="24"/>
      <c r="Q42" s="22" t="s">
        <v>22</v>
      </c>
      <c r="R42" s="23"/>
      <c r="S42" s="24"/>
      <c r="T42" s="22" t="s">
        <v>109</v>
      </c>
      <c r="U42" s="23"/>
      <c r="V42" s="24"/>
      <c r="W42" s="85" t="s">
        <v>110</v>
      </c>
      <c r="X42" s="85" t="s">
        <v>111</v>
      </c>
      <c r="Y42" s="86" t="s">
        <v>112</v>
      </c>
      <c r="Z42" s="23"/>
      <c r="AA42" s="24"/>
      <c r="AB42" s="33"/>
      <c r="AC42" s="87" t="s">
        <v>113</v>
      </c>
      <c r="AD42" s="88"/>
      <c r="AE42" s="10"/>
      <c r="AF42" s="1"/>
      <c r="AJ42" s="1"/>
      <c r="AK42" s="1"/>
      <c r="AL42" s="1"/>
      <c r="AM42" s="1"/>
      <c r="AN42" s="1"/>
      <c r="AO42" s="1"/>
      <c r="AP42" s="1"/>
      <c r="AQ42" s="1"/>
      <c r="AR42" s="1"/>
    </row>
    <row r="43" ht="15.75" customHeight="1">
      <c r="A43" s="1"/>
      <c r="B43" s="29" t="s">
        <v>25</v>
      </c>
      <c r="C43" s="29"/>
      <c r="D43" s="30"/>
      <c r="E43" s="30"/>
      <c r="F43" s="30" t="s">
        <v>29</v>
      </c>
      <c r="G43" s="30"/>
      <c r="H43" s="30"/>
      <c r="I43" s="30"/>
      <c r="J43" s="30"/>
      <c r="K43" s="30"/>
      <c r="L43" s="30"/>
      <c r="M43" s="30" t="s">
        <v>29</v>
      </c>
      <c r="N43" s="31">
        <v>2016.0</v>
      </c>
      <c r="O43" s="31">
        <v>2017.0</v>
      </c>
      <c r="P43" s="31" t="s">
        <v>118</v>
      </c>
      <c r="Q43" s="31">
        <v>2016.0</v>
      </c>
      <c r="R43" s="31">
        <v>2017.0</v>
      </c>
      <c r="S43" s="31" t="s">
        <v>118</v>
      </c>
      <c r="T43" s="31">
        <v>2016.0</v>
      </c>
      <c r="U43" s="31">
        <v>2017.0</v>
      </c>
      <c r="V43" s="31" t="s">
        <v>118</v>
      </c>
      <c r="W43" s="31" t="s">
        <v>15</v>
      </c>
      <c r="X43" s="31" t="s">
        <v>119</v>
      </c>
      <c r="Y43" s="31">
        <v>2016.0</v>
      </c>
      <c r="Z43" s="31">
        <v>2017.0</v>
      </c>
      <c r="AA43" s="31" t="s">
        <v>118</v>
      </c>
      <c r="AB43" s="92"/>
      <c r="AC43" s="63"/>
      <c r="AD43" s="93"/>
      <c r="AE43" s="10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ht="15.75" customHeight="1">
      <c r="A44" s="33" t="s">
        <v>38</v>
      </c>
      <c r="B44" s="1" t="str">
        <f t="shared" ref="B44:C44" si="32">B12</f>
        <v>Iflytek Co Ltd. (Vender?)</v>
      </c>
      <c r="C44" s="1">
        <f t="shared" si="32"/>
        <v>2230</v>
      </c>
      <c r="D44" s="35"/>
      <c r="E44" s="35"/>
      <c r="F44" s="37">
        <f t="shared" ref="F44:F63" si="37">F12</f>
        <v>9906.361764</v>
      </c>
      <c r="G44" s="35"/>
      <c r="H44" s="35"/>
      <c r="I44" s="35"/>
      <c r="J44" s="35"/>
      <c r="K44" s="1"/>
      <c r="L44" s="1"/>
      <c r="M44" s="37">
        <f t="shared" ref="M44:M63" si="38">M12</f>
        <v>10452.27726</v>
      </c>
      <c r="N44" s="94">
        <f t="shared" ref="N44:S44" si="33">IFERROR(IF(OR(+$M12/N12&lt;0,+$M12/N12&gt;=100),"NM",+$M12/N12),"N/A")</f>
        <v>14.76707265</v>
      </c>
      <c r="O44" s="94">
        <f t="shared" si="33"/>
        <v>10.15534907</v>
      </c>
      <c r="P44" s="94">
        <f t="shared" si="33"/>
        <v>8.729873268</v>
      </c>
      <c r="Q44" s="95">
        <f t="shared" si="33"/>
        <v>82.8887967</v>
      </c>
      <c r="R44" s="95">
        <f t="shared" si="33"/>
        <v>65.36758764</v>
      </c>
      <c r="S44" s="95">
        <f t="shared" si="33"/>
        <v>47.85841238</v>
      </c>
      <c r="T44" s="95" t="str">
        <f t="shared" ref="T44:V44" si="34">IFERROR(IF(OR(+$F12/T12&lt;0,+$F12/T12&gt;=100),"NM",+$F12/T12),"N/A")</f>
        <v>NM</v>
      </c>
      <c r="U44" s="95" t="str">
        <f t="shared" si="34"/>
        <v>NM</v>
      </c>
      <c r="V44" s="95" t="str">
        <f t="shared" si="34"/>
        <v>NM</v>
      </c>
      <c r="W44" s="95">
        <f t="shared" ref="W44:W63" si="41">IFERROR(IF(OR(+$H12/K12&lt;0,+$H12/K12&gt;=100),"NM",+$H12/K12),"N/A")</f>
        <v>0.7136207081</v>
      </c>
      <c r="X44" s="95" t="str">
        <f t="shared" ref="X44:X63" si="42">IFERROR(IF(OR(+$R12/L12&lt;0,+$R12/L12&gt;=100),"NM",+$R12/L12),"N/A")</f>
        <v>N/A</v>
      </c>
      <c r="Y44" s="95">
        <f t="shared" ref="Y44:AA44" si="35">IFERROR(IF(OR(+$F12/Q12&lt;0,+$F12/Q12&gt;=100),"NM",+$F12/Q12),"N/A")</f>
        <v>78.5595699</v>
      </c>
      <c r="Z44" s="95">
        <f t="shared" si="35"/>
        <v>61.95348195</v>
      </c>
      <c r="AA44" s="95">
        <f t="shared" si="35"/>
        <v>45.35879929</v>
      </c>
      <c r="AB44" s="1"/>
      <c r="AC44" s="96" t="s">
        <v>120</v>
      </c>
      <c r="AD44" s="93"/>
      <c r="AE44" s="10"/>
      <c r="AF44" s="1"/>
      <c r="AP44" s="1"/>
      <c r="AQ44" s="1"/>
      <c r="AR44" s="1"/>
    </row>
    <row r="45" ht="15.75" customHeight="1">
      <c r="A45" s="33" t="s">
        <v>38</v>
      </c>
      <c r="B45" s="1" t="str">
        <f t="shared" ref="B45:C45" si="36">B13</f>
        <v>Hangzhou Hikvision Digital Technology Co Ltd</v>
      </c>
      <c r="C45" s="1">
        <f t="shared" si="36"/>
        <v>2415</v>
      </c>
      <c r="D45" s="35"/>
      <c r="E45" s="35"/>
      <c r="F45" s="37">
        <f t="shared" si="37"/>
        <v>41511.46892</v>
      </c>
      <c r="G45" s="35"/>
      <c r="H45" s="35"/>
      <c r="I45" s="35"/>
      <c r="J45" s="35"/>
      <c r="K45" s="1"/>
      <c r="L45" s="1"/>
      <c r="M45" s="37">
        <f t="shared" si="38"/>
        <v>42455.12072</v>
      </c>
      <c r="N45" s="94">
        <f t="shared" ref="N45:S45" si="39">IFERROR(IF(OR(+$M13/N13&lt;0,+$M13/N13&gt;=100),"NM",+$M13/N13),"N/A")</f>
        <v>7.792361052</v>
      </c>
      <c r="O45" s="94">
        <f t="shared" si="39"/>
        <v>6.552525114</v>
      </c>
      <c r="P45" s="94">
        <f t="shared" si="39"/>
        <v>5.845316837</v>
      </c>
      <c r="Q45" s="95">
        <f t="shared" si="39"/>
        <v>28.54701501</v>
      </c>
      <c r="R45" s="95">
        <f t="shared" si="39"/>
        <v>25.61394915</v>
      </c>
      <c r="S45" s="95">
        <f t="shared" si="39"/>
        <v>23.42739252</v>
      </c>
      <c r="T45" s="95">
        <f t="shared" ref="T45:V45" si="40">IFERROR(IF(OR(+$F13/T13&lt;0,+$F13/T13&gt;=100),"NM",+$F13/T13),"N/A")</f>
        <v>33.93400549</v>
      </c>
      <c r="U45" s="95">
        <f t="shared" si="40"/>
        <v>28.13383187</v>
      </c>
      <c r="V45" s="95">
        <f t="shared" si="40"/>
        <v>26.65433987</v>
      </c>
      <c r="W45" s="95">
        <f t="shared" si="41"/>
        <v>0.6886707023</v>
      </c>
      <c r="X45" s="95" t="str">
        <f t="shared" si="42"/>
        <v>N/A</v>
      </c>
      <c r="Y45" s="95">
        <f t="shared" ref="Y45:AA45" si="43">IFERROR(IF(OR(+$F13/Q13&lt;0,+$F13/Q13&gt;=100),"NM",+$F13/Q13),"N/A")</f>
        <v>27.91249927</v>
      </c>
      <c r="Z45" s="95">
        <f t="shared" si="43"/>
        <v>25.0446268</v>
      </c>
      <c r="AA45" s="95">
        <f t="shared" si="43"/>
        <v>22.90667085</v>
      </c>
      <c r="AB45" s="1"/>
      <c r="AC45" s="96" t="s">
        <v>121</v>
      </c>
      <c r="AD45" s="93"/>
      <c r="AE45" s="10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ht="15.75" customHeight="1">
      <c r="A46" s="33" t="s">
        <v>38</v>
      </c>
      <c r="B46" s="1" t="str">
        <f t="shared" ref="B46:C46" si="44">B14</f>
        <v>Zhejiang Dahua Technology Co Ltd (Comprar?)</v>
      </c>
      <c r="C46" s="1">
        <f t="shared" si="44"/>
        <v>2236</v>
      </c>
      <c r="D46" s="35"/>
      <c r="E46" s="35"/>
      <c r="F46" s="37">
        <f t="shared" si="37"/>
        <v>8080.944872</v>
      </c>
      <c r="G46" s="35"/>
      <c r="H46" s="35"/>
      <c r="I46" s="35"/>
      <c r="J46" s="35"/>
      <c r="K46" s="1"/>
      <c r="L46" s="1"/>
      <c r="M46" s="37">
        <f t="shared" si="38"/>
        <v>9447.824672</v>
      </c>
      <c r="N46" s="94">
        <f t="shared" ref="N46:S46" si="45">IFERROR(IF(OR(+$M14/N14&lt;0,+$M14/N14&gt;=100),"NM",+$M14/N14),"N/A")</f>
        <v>3.85660159</v>
      </c>
      <c r="O46" s="94">
        <f t="shared" si="45"/>
        <v>3.070925648</v>
      </c>
      <c r="P46" s="94">
        <f t="shared" si="45"/>
        <v>2.900062825</v>
      </c>
      <c r="Q46" s="95">
        <f t="shared" si="45"/>
        <v>22.50017783</v>
      </c>
      <c r="R46" s="95">
        <f t="shared" si="45"/>
        <v>22.08984024</v>
      </c>
      <c r="S46" s="95">
        <f t="shared" si="45"/>
        <v>19.64204714</v>
      </c>
      <c r="T46" s="95">
        <f t="shared" ref="T46:V46" si="46">IFERROR(IF(OR(+$F14/T14&lt;0,+$F14/T14&gt;=100),"NM",+$F14/T14),"N/A")</f>
        <v>26.11811529</v>
      </c>
      <c r="U46" s="95">
        <f t="shared" si="46"/>
        <v>24.56961043</v>
      </c>
      <c r="V46" s="95">
        <f t="shared" si="46"/>
        <v>21.88771634</v>
      </c>
      <c r="W46" s="95">
        <f t="shared" si="41"/>
        <v>0.9759049872</v>
      </c>
      <c r="X46" s="95">
        <f t="shared" si="42"/>
        <v>14.30434783</v>
      </c>
      <c r="Y46" s="95">
        <f t="shared" ref="Y46:AA46" si="47">IFERROR(IF(OR(+$F14/Q14&lt;0,+$F14/Q14&gt;=100),"NM",+$F14/Q14),"N/A")</f>
        <v>19.24492706</v>
      </c>
      <c r="Z46" s="95">
        <f t="shared" si="47"/>
        <v>18.89395574</v>
      </c>
      <c r="AA46" s="95">
        <f t="shared" si="47"/>
        <v>16.80030119</v>
      </c>
      <c r="AB46" s="1"/>
      <c r="AC46" s="96" t="s">
        <v>122</v>
      </c>
      <c r="AD46" s="93"/>
      <c r="AE46" s="10"/>
      <c r="AF46" s="1"/>
      <c r="AP46" s="1"/>
      <c r="AQ46" s="1"/>
      <c r="AR46" s="1"/>
    </row>
    <row r="47" ht="15.75" customHeight="1">
      <c r="A47" s="33" t="s">
        <v>43</v>
      </c>
      <c r="B47" s="1" t="str">
        <f t="shared" ref="B47:C47" si="48">B15</f>
        <v>Silicon Motion Technology</v>
      </c>
      <c r="C47" s="1" t="str">
        <f t="shared" si="48"/>
        <v>SIMO</v>
      </c>
      <c r="D47" s="35"/>
      <c r="E47" s="35"/>
      <c r="F47" s="37">
        <f t="shared" si="37"/>
        <v>6597.84204</v>
      </c>
      <c r="G47" s="35"/>
      <c r="H47" s="35"/>
      <c r="I47" s="35"/>
      <c r="J47" s="35"/>
      <c r="K47" s="1"/>
      <c r="L47" s="1"/>
      <c r="M47" s="37">
        <f t="shared" si="38"/>
        <v>6220.43604</v>
      </c>
      <c r="N47" s="94">
        <f t="shared" ref="N47:S47" si="49">IFERROR(IF(OR(+$M15/N15&lt;0,+$M15/N15&gt;=100),"NM",+$M15/N15),"N/A")</f>
        <v>13.20518838</v>
      </c>
      <c r="O47" s="94">
        <f t="shared" si="49"/>
        <v>13.03214028</v>
      </c>
      <c r="P47" s="94">
        <f t="shared" si="49"/>
        <v>16.16974453</v>
      </c>
      <c r="Q47" s="95">
        <f t="shared" si="49"/>
        <v>59.1037763</v>
      </c>
      <c r="R47" s="95">
        <f t="shared" si="49"/>
        <v>55.87385287</v>
      </c>
      <c r="S47" s="95">
        <f t="shared" si="49"/>
        <v>95.1093381</v>
      </c>
      <c r="T47" s="95">
        <f t="shared" ref="T47:V47" si="50">IFERROR(IF(OR(+$F15/T15&lt;0,+$F15/T15&gt;=100),"NM",+$F15/T15),"N/A")</f>
        <v>97.79796692</v>
      </c>
      <c r="U47" s="95">
        <f t="shared" si="50"/>
        <v>74.75207097</v>
      </c>
      <c r="V47" s="95" t="str">
        <f t="shared" si="50"/>
        <v>NM</v>
      </c>
      <c r="W47" s="95">
        <f t="shared" si="41"/>
        <v>0.2059041793</v>
      </c>
      <c r="X47" s="95" t="str">
        <f t="shared" si="42"/>
        <v>N/A</v>
      </c>
      <c r="Y47" s="95">
        <f t="shared" ref="Y47:AA47" si="51">IFERROR(IF(OR(+$F15/Q15&lt;0,+$F15/Q15&gt;=100),"NM",+$F15/Q15),"N/A")</f>
        <v>62.6897178</v>
      </c>
      <c r="Z47" s="95">
        <f t="shared" si="51"/>
        <v>59.26382862</v>
      </c>
      <c r="AA47" s="95" t="str">
        <f t="shared" si="51"/>
        <v>NM</v>
      </c>
      <c r="AB47" s="1"/>
      <c r="AC47" s="63"/>
      <c r="AD47" s="93"/>
      <c r="AE47" s="10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ht="15.75" customHeight="1">
      <c r="A48" s="33" t="s">
        <v>46</v>
      </c>
      <c r="B48" s="1" t="str">
        <f t="shared" ref="B48:C48" si="52">B16</f>
        <v>Cloudera Inc. (vender)</v>
      </c>
      <c r="C48" s="1" t="str">
        <f t="shared" si="52"/>
        <v>CLDR</v>
      </c>
      <c r="D48" s="35"/>
      <c r="E48" s="35"/>
      <c r="F48" s="37">
        <f t="shared" si="37"/>
        <v>2922.59448</v>
      </c>
      <c r="G48" s="35"/>
      <c r="H48" s="35"/>
      <c r="I48" s="35"/>
      <c r="J48" s="35"/>
      <c r="K48" s="1"/>
      <c r="L48" s="1"/>
      <c r="M48" s="37">
        <f t="shared" si="38"/>
        <v>3262.83048</v>
      </c>
      <c r="N48" s="94">
        <f t="shared" ref="N48:S48" si="53">IFERROR(IF(OR(+$M16/N16&lt;0,+$M16/N16&gt;=100),"NM",+$M16/N16),"N/A")</f>
        <v>13.88869938</v>
      </c>
      <c r="O48" s="94">
        <f t="shared" si="53"/>
        <v>9.866475072</v>
      </c>
      <c r="P48" s="94">
        <f t="shared" si="53"/>
        <v>7.553792557</v>
      </c>
      <c r="Q48" s="95" t="str">
        <f t="shared" si="53"/>
        <v>NM</v>
      </c>
      <c r="R48" s="95" t="str">
        <f t="shared" si="53"/>
        <v>NM</v>
      </c>
      <c r="S48" s="95" t="str">
        <f t="shared" si="53"/>
        <v>NM</v>
      </c>
      <c r="T48" s="95" t="str">
        <f t="shared" ref="T48:V48" si="54">IFERROR(IF(OR(+$F16/T16&lt;0,+$F16/T16&gt;=100),"NM",+$F16/T16),"N/A")</f>
        <v>NM</v>
      </c>
      <c r="U48" s="95" t="str">
        <f t="shared" si="54"/>
        <v>NM</v>
      </c>
      <c r="V48" s="95" t="str">
        <f t="shared" si="54"/>
        <v>NM</v>
      </c>
      <c r="W48" s="95">
        <f t="shared" si="41"/>
        <v>0.5411495935</v>
      </c>
      <c r="X48" s="95" t="str">
        <f t="shared" si="42"/>
        <v>N/A</v>
      </c>
      <c r="Y48" s="95" t="str">
        <f t="shared" ref="Y48:AA48" si="55">IFERROR(IF(OR(+$F16/Q16&lt;0,+$F16/Q16&gt;=100),"NM",+$F16/Q16),"N/A")</f>
        <v>NM</v>
      </c>
      <c r="Z48" s="95" t="str">
        <f t="shared" si="55"/>
        <v>NM</v>
      </c>
      <c r="AA48" s="95" t="str">
        <f t="shared" si="55"/>
        <v>NM</v>
      </c>
      <c r="AB48" s="1"/>
      <c r="AC48" s="96" t="s">
        <v>123</v>
      </c>
      <c r="AD48" s="93"/>
      <c r="AE48" s="28"/>
      <c r="AI48" s="28"/>
      <c r="AJ48" s="28"/>
      <c r="AK48" s="28"/>
      <c r="AL48" s="28"/>
      <c r="AM48" s="28"/>
      <c r="AN48" s="28"/>
      <c r="AO48" s="1"/>
      <c r="AP48" s="1"/>
      <c r="AQ48" s="1"/>
      <c r="AR48" s="1"/>
    </row>
    <row r="49" ht="15.75" customHeight="1">
      <c r="A49" s="33" t="s">
        <v>46</v>
      </c>
      <c r="B49" s="1" t="str">
        <f t="shared" ref="B49:C49" si="56">B17</f>
        <v>Teradata Corp. (comprar)</v>
      </c>
      <c r="C49" s="1" t="str">
        <f t="shared" si="56"/>
        <v>TDC</v>
      </c>
      <c r="D49" s="35"/>
      <c r="E49" s="35"/>
      <c r="F49" s="37">
        <f t="shared" si="37"/>
        <v>2664.5544</v>
      </c>
      <c r="G49" s="35"/>
      <c r="H49" s="35"/>
      <c r="I49" s="35"/>
      <c r="J49" s="35"/>
      <c r="K49" s="1"/>
      <c r="L49" s="1"/>
      <c r="M49" s="37">
        <f t="shared" si="38"/>
        <v>3675.2544</v>
      </c>
      <c r="N49" s="94">
        <f t="shared" ref="N49:S49" si="57">IFERROR(IF(OR(+$M17/N17&lt;0,+$M17/N17&gt;=100),"NM",+$M17/N17),"N/A")</f>
        <v>1.890562963</v>
      </c>
      <c r="O49" s="94">
        <f t="shared" si="57"/>
        <v>1.890562963</v>
      </c>
      <c r="P49" s="94">
        <f t="shared" si="57"/>
        <v>2.052068342</v>
      </c>
      <c r="Q49" s="95">
        <f t="shared" si="57"/>
        <v>20.41808</v>
      </c>
      <c r="R49" s="95">
        <f t="shared" si="57"/>
        <v>24.02127059</v>
      </c>
      <c r="S49" s="95">
        <f t="shared" si="57"/>
        <v>21.49271579</v>
      </c>
      <c r="T49" s="95" t="str">
        <f t="shared" ref="T49:V49" si="58">IFERROR(IF(OR(+$F17/T17&lt;0,+$F17/T17&gt;=100),"NM",+$F17/T17),"N/A")</f>
        <v>NM</v>
      </c>
      <c r="U49" s="95">
        <f t="shared" si="58"/>
        <v>98.6872</v>
      </c>
      <c r="V49" s="95" t="str">
        <f t="shared" si="58"/>
        <v>NM</v>
      </c>
      <c r="W49" s="95">
        <f t="shared" si="41"/>
        <v>5.033536585</v>
      </c>
      <c r="X49" s="95">
        <f t="shared" si="42"/>
        <v>5.666666667</v>
      </c>
      <c r="Y49" s="95">
        <f t="shared" ref="Y49:AA49" si="59">IFERROR(IF(OR(+$F17/Q17&lt;0,+$F17/Q17&gt;=100),"NM",+$F17/Q17),"N/A")</f>
        <v>14.80308</v>
      </c>
      <c r="Z49" s="95">
        <f t="shared" si="59"/>
        <v>17.41538824</v>
      </c>
      <c r="AA49" s="95">
        <f t="shared" si="59"/>
        <v>15.58218947</v>
      </c>
      <c r="AB49" s="1"/>
      <c r="AC49" s="96" t="s">
        <v>124</v>
      </c>
      <c r="AD49" s="93"/>
      <c r="AE49" s="10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ht="15.75" customHeight="1">
      <c r="A50" s="33" t="s">
        <v>46</v>
      </c>
      <c r="B50" s="1" t="str">
        <f t="shared" ref="B50:C50" si="60">B18</f>
        <v>Alteryx Inc.</v>
      </c>
      <c r="C50" s="1" t="str">
        <f t="shared" si="60"/>
        <v>AYX</v>
      </c>
      <c r="D50" s="35"/>
      <c r="E50" s="35"/>
      <c r="F50" s="37">
        <f t="shared" si="37"/>
        <v>6254.36235</v>
      </c>
      <c r="G50" s="35"/>
      <c r="H50" s="35"/>
      <c r="I50" s="35"/>
      <c r="J50" s="35"/>
      <c r="K50" s="1"/>
      <c r="L50" s="1"/>
      <c r="M50" s="37">
        <f t="shared" si="38"/>
        <v>6234.68835</v>
      </c>
      <c r="N50" s="94">
        <f t="shared" ref="N50:S50" si="61">IFERROR(IF(OR(+$M18/N18&lt;0,+$M18/N18&gt;=100),"NM",+$M18/N18),"N/A")</f>
        <v>52.59609369</v>
      </c>
      <c r="O50" s="94">
        <f t="shared" si="61"/>
        <v>27.31960208</v>
      </c>
      <c r="P50" s="94">
        <f t="shared" si="61"/>
        <v>18.66075344</v>
      </c>
      <c r="Q50" s="95" t="str">
        <f t="shared" si="61"/>
        <v>NM</v>
      </c>
      <c r="R50" s="95" t="str">
        <f t="shared" si="61"/>
        <v>NM</v>
      </c>
      <c r="S50" s="95" t="str">
        <f t="shared" si="61"/>
        <v>NM</v>
      </c>
      <c r="T50" s="95" t="str">
        <f t="shared" ref="T50:V50" si="62">IFERROR(IF(OR(+$F18/T18&lt;0,+$F18/T18&gt;=100),"NM",+$F18/T18),"N/A")</f>
        <v>NM</v>
      </c>
      <c r="U50" s="95" t="str">
        <f t="shared" si="62"/>
        <v>NM</v>
      </c>
      <c r="V50" s="95" t="str">
        <f t="shared" si="62"/>
        <v>NM</v>
      </c>
      <c r="W50" s="95">
        <f t="shared" si="41"/>
        <v>2.204504318</v>
      </c>
      <c r="X50" s="95">
        <f t="shared" si="42"/>
        <v>2.158638407</v>
      </c>
      <c r="Y50" s="95" t="str">
        <f t="shared" ref="Y50:AA50" si="63">IFERROR(IF(OR(+$F18/Q18&lt;0,+$F18/Q18&gt;=100),"NM",+$F18/Q18),"N/A")</f>
        <v>NM</v>
      </c>
      <c r="Z50" s="95" t="str">
        <f t="shared" si="63"/>
        <v>NM</v>
      </c>
      <c r="AA50" s="95" t="str">
        <f t="shared" si="63"/>
        <v>NM</v>
      </c>
      <c r="AB50" s="1"/>
      <c r="AC50" s="96" t="s">
        <v>125</v>
      </c>
      <c r="AD50" s="93"/>
      <c r="AE50" s="10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ht="15.75" customHeight="1">
      <c r="A51" s="33" t="s">
        <v>46</v>
      </c>
      <c r="B51" s="1" t="str">
        <f t="shared" ref="B51:C51" si="64">B19</f>
        <v>Vmware Inc.</v>
      </c>
      <c r="C51" s="1" t="str">
        <f t="shared" si="64"/>
        <v>VMW</v>
      </c>
      <c r="D51" s="35"/>
      <c r="E51" s="35"/>
      <c r="F51" s="37">
        <f t="shared" si="37"/>
        <v>56795.95314</v>
      </c>
      <c r="G51" s="35"/>
      <c r="H51" s="35"/>
      <c r="I51" s="35"/>
      <c r="J51" s="35"/>
      <c r="K51" s="1"/>
      <c r="L51" s="1"/>
      <c r="M51" s="37">
        <f t="shared" si="38"/>
        <v>69542.65314</v>
      </c>
      <c r="N51" s="94" t="str">
        <f t="shared" ref="N51:S51" si="65">IFERROR(IF(OR(+$M19/N19&lt;0,+$M19/N19&gt;=100),"NM",+$M19/N19),"N/A")</f>
        <v>N/A</v>
      </c>
      <c r="O51" s="94">
        <f t="shared" si="65"/>
        <v>9.75626447</v>
      </c>
      <c r="P51" s="94">
        <f t="shared" si="65"/>
        <v>8.614226823</v>
      </c>
      <c r="Q51" s="95" t="str">
        <f t="shared" si="65"/>
        <v>N/A</v>
      </c>
      <c r="R51" s="95">
        <f t="shared" si="65"/>
        <v>36.44793142</v>
      </c>
      <c r="S51" s="95">
        <f t="shared" si="65"/>
        <v>28.72476379</v>
      </c>
      <c r="T51" s="95" t="str">
        <f t="shared" ref="T51:V51" si="66">IFERROR(IF(OR(+$F19/T19&lt;0,+$F19/T19&gt;=100),"NM",+$F19/T19),"N/A")</f>
        <v>N/A</v>
      </c>
      <c r="U51" s="95" t="str">
        <f t="shared" si="66"/>
        <v>NM</v>
      </c>
      <c r="V51" s="95">
        <f t="shared" si="66"/>
        <v>26.07711347</v>
      </c>
      <c r="W51" s="95">
        <f t="shared" si="41"/>
        <v>2.784313725</v>
      </c>
      <c r="X51" s="95">
        <f t="shared" si="42"/>
        <v>16.30769231</v>
      </c>
      <c r="Y51" s="95" t="str">
        <f t="shared" ref="Y51:AA51" si="67">IFERROR(IF(OR(+$F19/Q19&lt;0,+$F19/Q19&gt;=100),"NM",+$F19/Q19),"N/A")</f>
        <v>N/A</v>
      </c>
      <c r="Z51" s="95">
        <f t="shared" si="67"/>
        <v>29.76727104</v>
      </c>
      <c r="AA51" s="95">
        <f t="shared" si="67"/>
        <v>23.45970803</v>
      </c>
      <c r="AB51" s="1"/>
      <c r="AC51" s="63"/>
      <c r="AD51" s="93"/>
      <c r="AE51" s="10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ht="15.75" customHeight="1">
      <c r="A52" s="1"/>
      <c r="B52" s="1" t="str">
        <f t="shared" ref="B52:C52" si="68">B20</f>
        <v>STMicroelectronics Inc.</v>
      </c>
      <c r="C52" s="1" t="str">
        <f t="shared" si="68"/>
        <v>STM</v>
      </c>
      <c r="D52" s="35"/>
      <c r="E52" s="35"/>
      <c r="F52" s="37">
        <f t="shared" si="37"/>
        <v>21992.1777</v>
      </c>
      <c r="G52" s="35"/>
      <c r="H52" s="35"/>
      <c r="I52" s="35"/>
      <c r="J52" s="35"/>
      <c r="K52" s="1"/>
      <c r="L52" s="1"/>
      <c r="M52" s="37">
        <f t="shared" si="38"/>
        <v>24265.5777</v>
      </c>
      <c r="N52" s="94">
        <f t="shared" ref="N52:S52" si="69">IFERROR(IF(OR(+$M20/N20&lt;0,+$M20/N20&gt;=100),"NM",+$M20/N20),"N/A")</f>
        <v>3.228952455</v>
      </c>
      <c r="O52" s="94">
        <f t="shared" si="69"/>
        <v>2.791071739</v>
      </c>
      <c r="P52" s="94">
        <f t="shared" si="69"/>
        <v>2.853095556</v>
      </c>
      <c r="Q52" s="95">
        <f t="shared" si="69"/>
        <v>15.9537</v>
      </c>
      <c r="R52" s="95">
        <f t="shared" si="69"/>
        <v>12.25534227</v>
      </c>
      <c r="S52" s="95">
        <f t="shared" si="69"/>
        <v>13.28165172</v>
      </c>
      <c r="T52" s="95">
        <f t="shared" ref="T52:V52" si="70">IFERROR(IF(OR(+$F20/T20&lt;0,+$F20/T20&gt;=100),"NM",+$F20/T20),"N/A")</f>
        <v>30.54469125</v>
      </c>
      <c r="U52" s="95">
        <f t="shared" si="70"/>
        <v>18.94244419</v>
      </c>
      <c r="V52" s="95">
        <f t="shared" si="70"/>
        <v>23.05259717</v>
      </c>
      <c r="W52" s="95">
        <f t="shared" si="41"/>
        <v>0.7561196736</v>
      </c>
      <c r="X52" s="95">
        <f t="shared" si="42"/>
        <v>10.42105263</v>
      </c>
      <c r="Y52" s="95">
        <f t="shared" ref="Y52:AA52" si="71">IFERROR(IF(OR(+$F20/Q20&lt;0,+$F20/Q20&gt;=100),"NM",+$F20/Q20),"N/A")</f>
        <v>14.45902544</v>
      </c>
      <c r="Z52" s="95">
        <f t="shared" si="71"/>
        <v>11.10716045</v>
      </c>
      <c r="AA52" s="95">
        <f t="shared" si="71"/>
        <v>12.03731675</v>
      </c>
      <c r="AB52" s="1"/>
      <c r="AC52" s="96" t="s">
        <v>126</v>
      </c>
      <c r="AD52" s="93"/>
      <c r="AE52" s="10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ht="15.75" customHeight="1">
      <c r="A53" s="1"/>
      <c r="B53" s="1" t="str">
        <f t="shared" ref="B53:C53" si="72">B21</f>
        <v>58.com Inc.</v>
      </c>
      <c r="C53" s="1" t="str">
        <f t="shared" si="72"/>
        <v>WUBA</v>
      </c>
      <c r="D53" s="35"/>
      <c r="E53" s="35"/>
      <c r="F53" s="37">
        <f t="shared" si="37"/>
        <v>18092.53188</v>
      </c>
      <c r="G53" s="35"/>
      <c r="H53" s="35"/>
      <c r="I53" s="35"/>
      <c r="J53" s="35"/>
      <c r="K53" s="1"/>
      <c r="L53" s="1"/>
      <c r="M53" s="37">
        <f t="shared" si="38"/>
        <v>16548.06888</v>
      </c>
      <c r="N53" s="94">
        <f t="shared" ref="N53:S53" si="73">IFERROR(IF(OR(+$M21/N21&lt;0,+$M21/N21&gt;=100),"NM",+$M21/N21),"N/A")</f>
        <v>1.825893069</v>
      </c>
      <c r="O53" s="94">
        <f t="shared" si="73"/>
        <v>1.399295525</v>
      </c>
      <c r="P53" s="94">
        <f t="shared" si="73"/>
        <v>1.223336208</v>
      </c>
      <c r="Q53" s="95">
        <f t="shared" si="73"/>
        <v>8.2083675</v>
      </c>
      <c r="R53" s="95">
        <f t="shared" si="73"/>
        <v>6.566694</v>
      </c>
      <c r="S53" s="95">
        <f t="shared" si="73"/>
        <v>5.692490155</v>
      </c>
      <c r="T53" s="95">
        <f t="shared" ref="T53:V53" si="74">IFERROR(IF(OR(+$F21/T21&lt;0,+$F21/T21&gt;=100),"NM",+$F21/T21),"N/A")</f>
        <v>14.46245554</v>
      </c>
      <c r="U53" s="95">
        <f t="shared" si="74"/>
        <v>9.437940469</v>
      </c>
      <c r="V53" s="95">
        <f t="shared" si="74"/>
        <v>3.231963537</v>
      </c>
      <c r="W53" s="95">
        <f t="shared" si="41"/>
        <v>0.2737375298</v>
      </c>
      <c r="X53" s="95" t="str">
        <f t="shared" si="42"/>
        <v>N/A</v>
      </c>
      <c r="Y53" s="95">
        <f t="shared" ref="Y53:AA53" si="75">IFERROR(IF(OR(+$F21/Q21&lt;0,+$F21/Q21&gt;=100),"NM",+$F21/Q21),"N/A")</f>
        <v>8.974470179</v>
      </c>
      <c r="Z53" s="95">
        <f t="shared" si="75"/>
        <v>7.179576143</v>
      </c>
      <c r="AA53" s="95">
        <f t="shared" si="75"/>
        <v>6.223781176</v>
      </c>
      <c r="AB53" s="1"/>
      <c r="AC53" s="96" t="s">
        <v>127</v>
      </c>
      <c r="AD53" s="93"/>
      <c r="AE53" s="10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ht="15.75" customHeight="1">
      <c r="A54" s="1"/>
      <c r="B54" s="1" t="str">
        <f t="shared" ref="B54:C54" si="76">B22</f>
        <v>IBM</v>
      </c>
      <c r="C54" s="1" t="str">
        <f t="shared" si="76"/>
        <v>IBM</v>
      </c>
      <c r="D54" s="35"/>
      <c r="E54" s="35"/>
      <c r="F54" s="37">
        <f t="shared" si="37"/>
        <v>119760.23</v>
      </c>
      <c r="G54" s="35"/>
      <c r="H54" s="35"/>
      <c r="I54" s="35"/>
      <c r="J54" s="35"/>
      <c r="K54" s="1"/>
      <c r="L54" s="1"/>
      <c r="M54" s="37">
        <f t="shared" si="38"/>
        <v>154193.23</v>
      </c>
      <c r="N54" s="94">
        <f t="shared" ref="N54:S54" si="77">IFERROR(IF(OR(+$M22/N22&lt;0,+$M22/N22&gt;=100),"NM",+$M22/N22),"N/A")</f>
        <v>1.948384867</v>
      </c>
      <c r="O54" s="94">
        <f t="shared" si="77"/>
        <v>1.937319923</v>
      </c>
      <c r="P54" s="94">
        <f t="shared" si="77"/>
        <v>1.9991084</v>
      </c>
      <c r="Q54" s="95">
        <f t="shared" si="77"/>
        <v>13.52572193</v>
      </c>
      <c r="R54" s="95">
        <f t="shared" si="77"/>
        <v>13.59488891</v>
      </c>
      <c r="S54" s="95">
        <f t="shared" si="77"/>
        <v>9.652762614</v>
      </c>
      <c r="T54" s="95">
        <f t="shared" ref="T54:V54" si="78">IFERROR(IF(OR(+$F22/T22&lt;0,+$F22/T22&gt;=100),"NM",+$F22/T22),"N/A")</f>
        <v>20.81700504</v>
      </c>
      <c r="U54" s="95">
        <f t="shared" si="78"/>
        <v>13.72138291</v>
      </c>
      <c r="V54" s="95">
        <f t="shared" si="78"/>
        <v>15.52907547</v>
      </c>
      <c r="W54" s="95">
        <f t="shared" si="41"/>
        <v>0.3713021348</v>
      </c>
      <c r="X54" s="95" t="str">
        <f t="shared" si="42"/>
        <v>N/A</v>
      </c>
      <c r="Y54" s="95">
        <f t="shared" ref="Y54:AA54" si="79">IFERROR(IF(OR(+$F22/Q22&lt;0,+$F22/Q22&gt;=100),"NM",+$F22/Q22),"N/A")</f>
        <v>10.50528333</v>
      </c>
      <c r="Z54" s="95">
        <f t="shared" si="79"/>
        <v>10.55900458</v>
      </c>
      <c r="AA54" s="95">
        <f t="shared" si="79"/>
        <v>7.497197321</v>
      </c>
      <c r="AB54" s="1"/>
      <c r="AC54" s="96" t="s">
        <v>128</v>
      </c>
      <c r="AD54" s="93"/>
      <c r="AE54" s="10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ht="15.75" customHeight="1">
      <c r="A55" s="1"/>
      <c r="B55" s="1" t="str">
        <f t="shared" ref="B55:C55" si="80">B23</f>
        <v>Intel</v>
      </c>
      <c r="C55" s="1" t="str">
        <f t="shared" si="80"/>
        <v>INTC</v>
      </c>
      <c r="D55" s="35"/>
      <c r="E55" s="35"/>
      <c r="F55" s="37">
        <f t="shared" si="37"/>
        <v>261236.69</v>
      </c>
      <c r="G55" s="35"/>
      <c r="H55" s="35"/>
      <c r="I55" s="35"/>
      <c r="J55" s="35"/>
      <c r="K55" s="1"/>
      <c r="L55" s="1"/>
      <c r="M55" s="37">
        <f t="shared" si="38"/>
        <v>284576.69</v>
      </c>
      <c r="N55" s="94">
        <f t="shared" ref="N55:S55" si="81">IFERROR(IF(OR(+$M23/N23&lt;0,+$M23/N23&gt;=100),"NM",+$M23/N23),"N/A")</f>
        <v>4.534291837</v>
      </c>
      <c r="O55" s="94">
        <f t="shared" si="81"/>
        <v>4.016721573</v>
      </c>
      <c r="P55" s="94">
        <f t="shared" si="81"/>
        <v>4.041536222</v>
      </c>
      <c r="Q55" s="95">
        <f t="shared" si="81"/>
        <v>13.98273831</v>
      </c>
      <c r="R55" s="95">
        <f t="shared" si="81"/>
        <v>12.20468714</v>
      </c>
      <c r="S55" s="95">
        <f t="shared" si="81"/>
        <v>8.945295634</v>
      </c>
      <c r="T55" s="95">
        <f t="shared" ref="T55:V55" si="82">IFERROR(IF(OR(+$F23/T23&lt;0,+$F23/T23&gt;=100),"NM",+$F23/T23),"N/A")</f>
        <v>27.2093209</v>
      </c>
      <c r="U55" s="95">
        <f t="shared" si="82"/>
        <v>12.40852563</v>
      </c>
      <c r="V55" s="95">
        <f t="shared" si="82"/>
        <v>13.5089818</v>
      </c>
      <c r="W55" s="95">
        <f t="shared" si="41"/>
        <v>0.2059892313</v>
      </c>
      <c r="X55" s="95" t="str">
        <f t="shared" si="42"/>
        <v>N/A</v>
      </c>
      <c r="Y55" s="95">
        <f t="shared" ref="Y55:AA55" si="83">IFERROR(IF(OR(+$F23/Q23&lt;0,+$F23/Q23&gt;=100),"NM",+$F23/Q23),"N/A")</f>
        <v>12.83592227</v>
      </c>
      <c r="Z55" s="95">
        <f t="shared" si="83"/>
        <v>11.20370073</v>
      </c>
      <c r="AA55" s="95">
        <f t="shared" si="83"/>
        <v>8.211633295</v>
      </c>
      <c r="AB55" s="1"/>
      <c r="AC55" s="96" t="s">
        <v>129</v>
      </c>
      <c r="AD55" s="93"/>
      <c r="AE55" s="10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ht="15.75" customHeight="1">
      <c r="A56" s="1"/>
      <c r="B56" s="1" t="str">
        <f t="shared" ref="B56:C56" si="84">B24</f>
        <v>Tencent</v>
      </c>
      <c r="C56" s="1" t="str">
        <f t="shared" si="84"/>
        <v>TCHEY</v>
      </c>
      <c r="D56" s="35"/>
      <c r="E56" s="35"/>
      <c r="F56" s="37">
        <f t="shared" si="37"/>
        <v>425344.98</v>
      </c>
      <c r="G56" s="35"/>
      <c r="H56" s="35"/>
      <c r="I56" s="35"/>
      <c r="J56" s="35"/>
      <c r="K56" s="1"/>
      <c r="L56" s="1"/>
      <c r="M56" s="37">
        <f t="shared" si="38"/>
        <v>425344.98</v>
      </c>
      <c r="N56" s="94" t="str">
        <f t="shared" ref="N56:S56" si="85">IFERROR(IF(OR(+$M24/N24&lt;0,+$M24/N24&gt;=100),"NM",+$M24/N24),"N/A")</f>
        <v>N/A</v>
      </c>
      <c r="O56" s="94" t="str">
        <f t="shared" si="85"/>
        <v>N/A</v>
      </c>
      <c r="P56" s="94" t="str">
        <f t="shared" si="85"/>
        <v>N/A</v>
      </c>
      <c r="Q56" s="95" t="str">
        <f t="shared" si="85"/>
        <v>N/A</v>
      </c>
      <c r="R56" s="95" t="str">
        <f t="shared" si="85"/>
        <v>N/A</v>
      </c>
      <c r="S56" s="95" t="str">
        <f t="shared" si="85"/>
        <v>N/A</v>
      </c>
      <c r="T56" s="95" t="str">
        <f t="shared" ref="T56:V56" si="86">IFERROR(IF(OR(+$F24/T24&lt;0,+$F24/T24&gt;=100),"NM",+$F24/T24),"N/A")</f>
        <v>N/A</v>
      </c>
      <c r="U56" s="95" t="str">
        <f t="shared" si="86"/>
        <v>N/A</v>
      </c>
      <c r="V56" s="95" t="str">
        <f t="shared" si="86"/>
        <v>N/A</v>
      </c>
      <c r="W56" s="95" t="str">
        <f t="shared" si="41"/>
        <v>N/A</v>
      </c>
      <c r="X56" s="95" t="str">
        <f t="shared" si="42"/>
        <v>N/A</v>
      </c>
      <c r="Y56" s="95" t="str">
        <f t="shared" ref="Y56:AA56" si="87">IFERROR(IF(OR(+$F24/Q24&lt;0,+$F24/Q24&gt;=100),"NM",+$F24/Q24),"N/A")</f>
        <v>N/A</v>
      </c>
      <c r="Z56" s="95" t="str">
        <f t="shared" si="87"/>
        <v>N/A</v>
      </c>
      <c r="AA56" s="95" t="str">
        <f t="shared" si="87"/>
        <v>N/A</v>
      </c>
      <c r="AB56" s="1"/>
      <c r="AC56" s="63"/>
      <c r="AD56" s="93"/>
      <c r="AE56" s="10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ht="15.75" customHeight="1">
      <c r="A57" s="1"/>
      <c r="B57" s="1" t="str">
        <f t="shared" ref="B57:C57" si="88">B25</f>
        <v>xxx</v>
      </c>
      <c r="C57" s="1" t="str">
        <f t="shared" si="88"/>
        <v>XX</v>
      </c>
      <c r="D57" s="35"/>
      <c r="E57" s="35"/>
      <c r="F57" s="37">
        <f t="shared" si="37"/>
        <v>0</v>
      </c>
      <c r="G57" s="35"/>
      <c r="H57" s="35"/>
      <c r="I57" s="35"/>
      <c r="J57" s="35"/>
      <c r="K57" s="1"/>
      <c r="L57" s="1"/>
      <c r="M57" s="37">
        <f t="shared" si="38"/>
        <v>0</v>
      </c>
      <c r="N57" s="94" t="str">
        <f t="shared" ref="N57:S57" si="89">IFERROR(IF(OR(+$M25/N25&lt;0,+$M25/N25&gt;=100),"NM",+$M25/N25),"N/A")</f>
        <v>N/A</v>
      </c>
      <c r="O57" s="94" t="str">
        <f t="shared" si="89"/>
        <v>N/A</v>
      </c>
      <c r="P57" s="94" t="str">
        <f t="shared" si="89"/>
        <v>N/A</v>
      </c>
      <c r="Q57" s="95" t="str">
        <f t="shared" si="89"/>
        <v>N/A</v>
      </c>
      <c r="R57" s="95" t="str">
        <f t="shared" si="89"/>
        <v>N/A</v>
      </c>
      <c r="S57" s="95" t="str">
        <f t="shared" si="89"/>
        <v>N/A</v>
      </c>
      <c r="T57" s="95" t="str">
        <f t="shared" ref="T57:V57" si="90">IFERROR(IF(OR(+$F25/T25&lt;0,+$F25/T25&gt;=100),"NM",+$F25/T25),"N/A")</f>
        <v>N/A</v>
      </c>
      <c r="U57" s="95" t="str">
        <f t="shared" si="90"/>
        <v>N/A</v>
      </c>
      <c r="V57" s="95" t="str">
        <f t="shared" si="90"/>
        <v>N/A</v>
      </c>
      <c r="W57" s="95" t="str">
        <f t="shared" si="41"/>
        <v>N/A</v>
      </c>
      <c r="X57" s="95" t="str">
        <f t="shared" si="42"/>
        <v>N/A</v>
      </c>
      <c r="Y57" s="95" t="str">
        <f t="shared" ref="Y57:AA57" si="91">IFERROR(IF(OR(+$F25/Q25&lt;0,+$F25/Q25&gt;=100),"NM",+$F25/Q25),"N/A")</f>
        <v>N/A</v>
      </c>
      <c r="Z57" s="95" t="str">
        <f t="shared" si="91"/>
        <v>N/A</v>
      </c>
      <c r="AA57" s="95" t="str">
        <f t="shared" si="91"/>
        <v>N/A</v>
      </c>
      <c r="AB57" s="1"/>
      <c r="AC57" s="96" t="s">
        <v>130</v>
      </c>
      <c r="AD57" s="93"/>
      <c r="AE57" s="10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ht="15.75" customHeight="1">
      <c r="A58" s="1"/>
      <c r="B58" s="1" t="str">
        <f t="shared" ref="B58:C58" si="92">B26</f>
        <v>xxx</v>
      </c>
      <c r="C58" s="1" t="str">
        <f t="shared" si="92"/>
        <v>XX</v>
      </c>
      <c r="D58" s="35"/>
      <c r="E58" s="35"/>
      <c r="F58" s="37">
        <f t="shared" si="37"/>
        <v>0</v>
      </c>
      <c r="G58" s="35"/>
      <c r="H58" s="35"/>
      <c r="I58" s="35"/>
      <c r="J58" s="35"/>
      <c r="K58" s="1"/>
      <c r="L58" s="1"/>
      <c r="M58" s="37">
        <f t="shared" si="38"/>
        <v>0</v>
      </c>
      <c r="N58" s="94" t="str">
        <f t="shared" ref="N58:S58" si="93">IFERROR(IF(OR(+$M26/N26&lt;0,+$M26/N26&gt;=100),"NM",+$M26/N26),"N/A")</f>
        <v>N/A</v>
      </c>
      <c r="O58" s="94" t="str">
        <f t="shared" si="93"/>
        <v>N/A</v>
      </c>
      <c r="P58" s="94" t="str">
        <f t="shared" si="93"/>
        <v>N/A</v>
      </c>
      <c r="Q58" s="95" t="str">
        <f t="shared" si="93"/>
        <v>N/A</v>
      </c>
      <c r="R58" s="95" t="str">
        <f t="shared" si="93"/>
        <v>N/A</v>
      </c>
      <c r="S58" s="95" t="str">
        <f t="shared" si="93"/>
        <v>N/A</v>
      </c>
      <c r="T58" s="95" t="str">
        <f t="shared" ref="T58:V58" si="94">IFERROR(IF(OR(+$F26/T26&lt;0,+$F26/T26&gt;=100),"NM",+$F26/T26),"N/A")</f>
        <v>N/A</v>
      </c>
      <c r="U58" s="95" t="str">
        <f t="shared" si="94"/>
        <v>N/A</v>
      </c>
      <c r="V58" s="95" t="str">
        <f t="shared" si="94"/>
        <v>N/A</v>
      </c>
      <c r="W58" s="95" t="str">
        <f t="shared" si="41"/>
        <v>N/A</v>
      </c>
      <c r="X58" s="95" t="str">
        <f t="shared" si="42"/>
        <v>N/A</v>
      </c>
      <c r="Y58" s="95" t="str">
        <f t="shared" ref="Y58:AA58" si="95">IFERROR(IF(OR(+$F26/Q26&lt;0,+$F26/Q26&gt;=100),"NM",+$F26/Q26),"N/A")</f>
        <v>N/A</v>
      </c>
      <c r="Z58" s="95" t="str">
        <f t="shared" si="95"/>
        <v>N/A</v>
      </c>
      <c r="AA58" s="95" t="str">
        <f t="shared" si="95"/>
        <v>N/A</v>
      </c>
      <c r="AB58" s="1"/>
      <c r="AC58" s="96" t="s">
        <v>131</v>
      </c>
      <c r="AD58" s="93"/>
      <c r="AE58" s="10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ht="15.75" customHeight="1">
      <c r="A59" s="1"/>
      <c r="B59" s="1" t="str">
        <f t="shared" ref="B59:C59" si="96">B27</f>
        <v>xxx</v>
      </c>
      <c r="C59" s="1" t="str">
        <f t="shared" si="96"/>
        <v>XX</v>
      </c>
      <c r="D59" s="35"/>
      <c r="E59" s="35"/>
      <c r="F59" s="37">
        <f t="shared" si="37"/>
        <v>0</v>
      </c>
      <c r="G59" s="35"/>
      <c r="H59" s="35"/>
      <c r="I59" s="35"/>
      <c r="J59" s="35"/>
      <c r="K59" s="1"/>
      <c r="L59" s="1"/>
      <c r="M59" s="37">
        <f t="shared" si="38"/>
        <v>0</v>
      </c>
      <c r="N59" s="94" t="str">
        <f t="shared" ref="N59:S59" si="97">IFERROR(IF(OR(+$M27/N27&lt;0,+$M27/N27&gt;=100),"NM",+$M27/N27),"N/A")</f>
        <v>N/A</v>
      </c>
      <c r="O59" s="94" t="str">
        <f t="shared" si="97"/>
        <v>N/A</v>
      </c>
      <c r="P59" s="94" t="str">
        <f t="shared" si="97"/>
        <v>N/A</v>
      </c>
      <c r="Q59" s="95" t="str">
        <f t="shared" si="97"/>
        <v>N/A</v>
      </c>
      <c r="R59" s="95" t="str">
        <f t="shared" si="97"/>
        <v>N/A</v>
      </c>
      <c r="S59" s="95" t="str">
        <f t="shared" si="97"/>
        <v>N/A</v>
      </c>
      <c r="T59" s="95" t="str">
        <f t="shared" ref="T59:V59" si="98">IFERROR(IF(OR(+$F27/T27&lt;0,+$F27/T27&gt;=100),"NM",+$F27/T27),"N/A")</f>
        <v>N/A</v>
      </c>
      <c r="U59" s="95" t="str">
        <f t="shared" si="98"/>
        <v>N/A</v>
      </c>
      <c r="V59" s="95" t="str">
        <f t="shared" si="98"/>
        <v>N/A</v>
      </c>
      <c r="W59" s="95" t="str">
        <f t="shared" si="41"/>
        <v>N/A</v>
      </c>
      <c r="X59" s="95" t="str">
        <f t="shared" si="42"/>
        <v>N/A</v>
      </c>
      <c r="Y59" s="95" t="str">
        <f t="shared" ref="Y59:AA59" si="99">IFERROR(IF(OR(+$F27/Q27&lt;0,+$F27/Q27&gt;=100),"NM",+$F27/Q27),"N/A")</f>
        <v>N/A</v>
      </c>
      <c r="Z59" s="95" t="str">
        <f t="shared" si="99"/>
        <v>N/A</v>
      </c>
      <c r="AA59" s="95" t="str">
        <f t="shared" si="99"/>
        <v>N/A</v>
      </c>
      <c r="AB59" s="1"/>
      <c r="AC59" s="96" t="s">
        <v>132</v>
      </c>
      <c r="AD59" s="93"/>
      <c r="AE59" s="10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ht="15.75" customHeight="1">
      <c r="A60" s="1"/>
      <c r="B60" s="1" t="str">
        <f t="shared" ref="B60:C60" si="100">B28</f>
        <v>xxx</v>
      </c>
      <c r="C60" s="1" t="str">
        <f t="shared" si="100"/>
        <v>XX</v>
      </c>
      <c r="D60" s="35"/>
      <c r="E60" s="35"/>
      <c r="F60" s="37">
        <f t="shared" si="37"/>
        <v>0</v>
      </c>
      <c r="G60" s="35"/>
      <c r="H60" s="35"/>
      <c r="I60" s="35"/>
      <c r="J60" s="35"/>
      <c r="K60" s="1"/>
      <c r="L60" s="1"/>
      <c r="M60" s="37">
        <f t="shared" si="38"/>
        <v>0</v>
      </c>
      <c r="N60" s="94" t="str">
        <f t="shared" ref="N60:S60" si="101">IFERROR(IF(OR(+$M28/N28&lt;0,+$M28/N28&gt;=100),"NM",+$M28/N28),"N/A")</f>
        <v>N/A</v>
      </c>
      <c r="O60" s="94" t="str">
        <f t="shared" si="101"/>
        <v>N/A</v>
      </c>
      <c r="P60" s="94" t="str">
        <f t="shared" si="101"/>
        <v>N/A</v>
      </c>
      <c r="Q60" s="95" t="str">
        <f t="shared" si="101"/>
        <v>N/A</v>
      </c>
      <c r="R60" s="95" t="str">
        <f t="shared" si="101"/>
        <v>N/A</v>
      </c>
      <c r="S60" s="95" t="str">
        <f t="shared" si="101"/>
        <v>N/A</v>
      </c>
      <c r="T60" s="95" t="str">
        <f t="shared" ref="T60:V60" si="102">IFERROR(IF(OR(+$F28/T28&lt;0,+$F28/T28&gt;=100),"NM",+$F28/T28),"N/A")</f>
        <v>N/A</v>
      </c>
      <c r="U60" s="95" t="str">
        <f t="shared" si="102"/>
        <v>N/A</v>
      </c>
      <c r="V60" s="95" t="str">
        <f t="shared" si="102"/>
        <v>N/A</v>
      </c>
      <c r="W60" s="95" t="str">
        <f t="shared" si="41"/>
        <v>N/A</v>
      </c>
      <c r="X60" s="95" t="str">
        <f t="shared" si="42"/>
        <v>N/A</v>
      </c>
      <c r="Y60" s="95" t="str">
        <f t="shared" ref="Y60:AA60" si="103">IFERROR(IF(OR(+$F28/Q28&lt;0,+$F28/Q28&gt;=100),"NM",+$F28/Q28),"N/A")</f>
        <v>N/A</v>
      </c>
      <c r="Z60" s="95" t="str">
        <f t="shared" si="103"/>
        <v>N/A</v>
      </c>
      <c r="AA60" s="95" t="str">
        <f t="shared" si="103"/>
        <v>N/A</v>
      </c>
      <c r="AB60" s="1"/>
      <c r="AC60" s="98" t="s">
        <v>133</v>
      </c>
      <c r="AD60" s="99"/>
      <c r="AE60" s="10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ht="15.75" customHeight="1">
      <c r="A61" s="1"/>
      <c r="B61" s="1" t="str">
        <f t="shared" ref="B61:C61" si="104">B29</f>
        <v>xxx</v>
      </c>
      <c r="C61" s="1" t="str">
        <f t="shared" si="104"/>
        <v>XX</v>
      </c>
      <c r="D61" s="35"/>
      <c r="E61" s="35"/>
      <c r="F61" s="37">
        <f t="shared" si="37"/>
        <v>0</v>
      </c>
      <c r="G61" s="35"/>
      <c r="H61" s="35"/>
      <c r="I61" s="35"/>
      <c r="J61" s="35"/>
      <c r="K61" s="1"/>
      <c r="L61" s="1"/>
      <c r="M61" s="37">
        <f t="shared" si="38"/>
        <v>0</v>
      </c>
      <c r="N61" s="94" t="str">
        <f t="shared" ref="N61:S61" si="105">IFERROR(IF(OR(+$M29/N29&lt;0,+$M29/N29&gt;=100),"NM",+$M29/N29),"N/A")</f>
        <v>N/A</v>
      </c>
      <c r="O61" s="94" t="str">
        <f t="shared" si="105"/>
        <v>N/A</v>
      </c>
      <c r="P61" s="94" t="str">
        <f t="shared" si="105"/>
        <v>N/A</v>
      </c>
      <c r="Q61" s="95" t="str">
        <f t="shared" si="105"/>
        <v>N/A</v>
      </c>
      <c r="R61" s="95" t="str">
        <f t="shared" si="105"/>
        <v>N/A</v>
      </c>
      <c r="S61" s="95" t="str">
        <f t="shared" si="105"/>
        <v>N/A</v>
      </c>
      <c r="T61" s="95" t="str">
        <f t="shared" ref="T61:V61" si="106">IFERROR(IF(OR(+$F29/T29&lt;0,+$F29/T29&gt;=100),"NM",+$F29/T29),"N/A")</f>
        <v>N/A</v>
      </c>
      <c r="U61" s="95" t="str">
        <f t="shared" si="106"/>
        <v>N/A</v>
      </c>
      <c r="V61" s="95" t="str">
        <f t="shared" si="106"/>
        <v>N/A</v>
      </c>
      <c r="W61" s="95" t="str">
        <f t="shared" si="41"/>
        <v>N/A</v>
      </c>
      <c r="X61" s="95" t="str">
        <f t="shared" si="42"/>
        <v>N/A</v>
      </c>
      <c r="Y61" s="95" t="str">
        <f t="shared" ref="Y61:AA61" si="107">IFERROR(IF(OR(+$F29/Q29&lt;0,+$F29/Q29&gt;=100),"NM",+$F29/Q29),"N/A")</f>
        <v>N/A</v>
      </c>
      <c r="Z61" s="95" t="str">
        <f t="shared" si="107"/>
        <v>N/A</v>
      </c>
      <c r="AA61" s="95" t="str">
        <f t="shared" si="107"/>
        <v>N/A</v>
      </c>
      <c r="AB61" s="1"/>
      <c r="AC61" s="1"/>
      <c r="AD61" s="18"/>
      <c r="AE61" s="10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ht="15.75" customHeight="1">
      <c r="A62" s="1"/>
      <c r="B62" s="1" t="str">
        <f t="shared" ref="B62:C62" si="108">B30</f>
        <v>xxx</v>
      </c>
      <c r="C62" s="1" t="str">
        <f t="shared" si="108"/>
        <v>XX</v>
      </c>
      <c r="D62" s="35"/>
      <c r="E62" s="35"/>
      <c r="F62" s="37">
        <f t="shared" si="37"/>
        <v>0</v>
      </c>
      <c r="G62" s="35"/>
      <c r="H62" s="35"/>
      <c r="I62" s="35"/>
      <c r="J62" s="35"/>
      <c r="K62" s="1"/>
      <c r="L62" s="1"/>
      <c r="M62" s="37">
        <f t="shared" si="38"/>
        <v>0</v>
      </c>
      <c r="N62" s="94" t="str">
        <f t="shared" ref="N62:S62" si="109">IFERROR(IF(OR(+$M30/N30&lt;0,+$M30/N30&gt;=100),"NM",+$M30/N30),"N/A")</f>
        <v>N/A</v>
      </c>
      <c r="O62" s="94" t="str">
        <f t="shared" si="109"/>
        <v>N/A</v>
      </c>
      <c r="P62" s="94" t="str">
        <f t="shared" si="109"/>
        <v>N/A</v>
      </c>
      <c r="Q62" s="95" t="str">
        <f t="shared" si="109"/>
        <v>N/A</v>
      </c>
      <c r="R62" s="95" t="str">
        <f t="shared" si="109"/>
        <v>N/A</v>
      </c>
      <c r="S62" s="95" t="str">
        <f t="shared" si="109"/>
        <v>N/A</v>
      </c>
      <c r="T62" s="95" t="str">
        <f t="shared" ref="T62:V62" si="110">IFERROR(IF(OR(+$F30/T30&lt;0,+$F30/T30&gt;=100),"NM",+$F30/T30),"N/A")</f>
        <v>N/A</v>
      </c>
      <c r="U62" s="95" t="str">
        <f t="shared" si="110"/>
        <v>N/A</v>
      </c>
      <c r="V62" s="95" t="str">
        <f t="shared" si="110"/>
        <v>N/A</v>
      </c>
      <c r="W62" s="95" t="str">
        <f t="shared" si="41"/>
        <v>N/A</v>
      </c>
      <c r="X62" s="95" t="str">
        <f t="shared" si="42"/>
        <v>N/A</v>
      </c>
      <c r="Y62" s="95" t="str">
        <f t="shared" ref="Y62:AA62" si="111">IFERROR(IF(OR(+$F30/Q30&lt;0,+$F30/Q30&gt;=100),"NM",+$F30/Q30),"N/A")</f>
        <v>N/A</v>
      </c>
      <c r="Z62" s="95" t="str">
        <f t="shared" si="111"/>
        <v>N/A</v>
      </c>
      <c r="AA62" s="95" t="str">
        <f t="shared" si="111"/>
        <v>N/A</v>
      </c>
      <c r="AB62" s="1"/>
      <c r="AC62" s="1"/>
      <c r="AD62" s="18"/>
      <c r="AE62" s="10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ht="15.75" customHeight="1">
      <c r="A63" s="1"/>
      <c r="B63" s="1" t="str">
        <f t="shared" ref="B63:C63" si="112">B31</f>
        <v>xxx</v>
      </c>
      <c r="C63" s="1" t="str">
        <f t="shared" si="112"/>
        <v>XX</v>
      </c>
      <c r="D63" s="35"/>
      <c r="E63" s="35"/>
      <c r="F63" s="37">
        <f t="shared" si="37"/>
        <v>0</v>
      </c>
      <c r="G63" s="35"/>
      <c r="H63" s="35"/>
      <c r="I63" s="35"/>
      <c r="J63" s="35"/>
      <c r="K63" s="1"/>
      <c r="L63" s="1"/>
      <c r="M63" s="37">
        <f t="shared" si="38"/>
        <v>0</v>
      </c>
      <c r="N63" s="94" t="str">
        <f t="shared" ref="N63:S63" si="113">IFERROR(IF(OR(+$M31/N31&lt;0,+$M31/N31&gt;=100),"NM",+$M31/N31),"N/A")</f>
        <v>N/A</v>
      </c>
      <c r="O63" s="94" t="str">
        <f t="shared" si="113"/>
        <v>N/A</v>
      </c>
      <c r="P63" s="94" t="str">
        <f t="shared" si="113"/>
        <v>N/A</v>
      </c>
      <c r="Q63" s="95" t="str">
        <f t="shared" si="113"/>
        <v>N/A</v>
      </c>
      <c r="R63" s="95" t="str">
        <f t="shared" si="113"/>
        <v>N/A</v>
      </c>
      <c r="S63" s="95" t="str">
        <f t="shared" si="113"/>
        <v>N/A</v>
      </c>
      <c r="T63" s="95" t="str">
        <f t="shared" ref="T63:V63" si="114">IFERROR(IF(OR(+$F31/T31&lt;0,+$F31/T31&gt;=100),"NM",+$F31/T31),"N/A")</f>
        <v>N/A</v>
      </c>
      <c r="U63" s="95" t="str">
        <f t="shared" si="114"/>
        <v>N/A</v>
      </c>
      <c r="V63" s="95" t="str">
        <f t="shared" si="114"/>
        <v>N/A</v>
      </c>
      <c r="W63" s="95" t="str">
        <f t="shared" si="41"/>
        <v>N/A</v>
      </c>
      <c r="X63" s="95" t="str">
        <f t="shared" si="42"/>
        <v>N/A</v>
      </c>
      <c r="Y63" s="95" t="str">
        <f t="shared" ref="Y63:AA63" si="115">IFERROR(IF(OR(+$F31/Q31&lt;0,+$F31/Q31&gt;=100),"NM",+$F31/Q31),"N/A")</f>
        <v>N/A</v>
      </c>
      <c r="Z63" s="95" t="str">
        <f t="shared" si="115"/>
        <v>N/A</v>
      </c>
      <c r="AA63" s="95" t="str">
        <f t="shared" si="115"/>
        <v>N/A</v>
      </c>
      <c r="AB63" s="1"/>
      <c r="AC63" s="1"/>
      <c r="AD63" s="18"/>
      <c r="AE63" s="10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8"/>
      <c r="AE64" s="10"/>
      <c r="AF64" s="1"/>
      <c r="AP64" s="1"/>
      <c r="AQ64" s="1"/>
      <c r="AR64" s="1"/>
    </row>
    <row r="65" ht="15.75" customHeight="1">
      <c r="A65" s="1"/>
      <c r="B65" s="59" t="s">
        <v>79</v>
      </c>
      <c r="C65" s="60"/>
      <c r="D65" s="60"/>
      <c r="E65" s="60"/>
      <c r="F65" s="61">
        <f>MAX(F44:F63)</f>
        <v>425344.98</v>
      </c>
      <c r="G65" s="60"/>
      <c r="H65" s="60"/>
      <c r="I65" s="60"/>
      <c r="J65" s="60"/>
      <c r="K65" s="60"/>
      <c r="L65" s="60"/>
      <c r="M65" s="61">
        <f t="shared" ref="M65:AA65" si="116">MAX(M44:M63)</f>
        <v>425344.98</v>
      </c>
      <c r="N65" s="100">
        <f t="shared" si="116"/>
        <v>52.59609369</v>
      </c>
      <c r="O65" s="100">
        <f t="shared" si="116"/>
        <v>27.31960208</v>
      </c>
      <c r="P65" s="100">
        <f t="shared" si="116"/>
        <v>18.66075344</v>
      </c>
      <c r="Q65" s="100">
        <f t="shared" si="116"/>
        <v>82.8887967</v>
      </c>
      <c r="R65" s="100">
        <f t="shared" si="116"/>
        <v>65.36758764</v>
      </c>
      <c r="S65" s="100">
        <f t="shared" si="116"/>
        <v>95.1093381</v>
      </c>
      <c r="T65" s="100">
        <f t="shared" si="116"/>
        <v>97.79796692</v>
      </c>
      <c r="U65" s="100">
        <f t="shared" si="116"/>
        <v>98.6872</v>
      </c>
      <c r="V65" s="101">
        <f t="shared" si="116"/>
        <v>26.65433987</v>
      </c>
      <c r="W65" s="101">
        <f t="shared" si="116"/>
        <v>5.033536585</v>
      </c>
      <c r="X65" s="101">
        <f t="shared" si="116"/>
        <v>16.30769231</v>
      </c>
      <c r="Y65" s="100">
        <f t="shared" si="116"/>
        <v>78.5595699</v>
      </c>
      <c r="Z65" s="100">
        <f t="shared" si="116"/>
        <v>61.95348195</v>
      </c>
      <c r="AA65" s="101">
        <f t="shared" si="116"/>
        <v>45.35879929</v>
      </c>
      <c r="AB65" s="1"/>
      <c r="AC65" s="1"/>
      <c r="AD65" s="18"/>
      <c r="AE65" s="10"/>
      <c r="AF65" s="1"/>
      <c r="AM65" s="1"/>
      <c r="AN65" s="1"/>
      <c r="AO65" s="1"/>
      <c r="AP65" s="1"/>
      <c r="AQ65" s="1"/>
      <c r="AR65" s="1"/>
    </row>
    <row r="66" ht="15.75" customHeight="1">
      <c r="A66" s="1"/>
      <c r="B66" s="63" t="s">
        <v>91</v>
      </c>
      <c r="C66" s="1"/>
      <c r="D66" s="1"/>
      <c r="E66" s="1"/>
      <c r="F66" s="64">
        <f>QUARTILE(F44:F63,3)</f>
        <v>26872.00051</v>
      </c>
      <c r="G66" s="10"/>
      <c r="H66" s="10"/>
      <c r="I66" s="10"/>
      <c r="J66" s="10"/>
      <c r="K66" s="64"/>
      <c r="L66" s="64"/>
      <c r="M66" s="64">
        <f t="shared" ref="M66:AA66" si="117">QUARTILE(M44:M63,3)</f>
        <v>28812.96346</v>
      </c>
      <c r="N66" s="95">
        <f t="shared" si="117"/>
        <v>13.54694388</v>
      </c>
      <c r="O66" s="95">
        <f t="shared" si="117"/>
        <v>9.938693573</v>
      </c>
      <c r="P66" s="95">
        <f t="shared" si="117"/>
        <v>8.643138434</v>
      </c>
      <c r="Q66" s="95">
        <f t="shared" si="117"/>
        <v>28.54701501</v>
      </c>
      <c r="R66" s="95">
        <f t="shared" si="117"/>
        <v>33.73943585</v>
      </c>
      <c r="S66" s="95">
        <f t="shared" si="117"/>
        <v>27.40042097</v>
      </c>
      <c r="T66" s="95">
        <f t="shared" si="117"/>
        <v>32.23934837</v>
      </c>
      <c r="U66" s="95">
        <f t="shared" si="117"/>
        <v>39.78839164</v>
      </c>
      <c r="V66" s="102">
        <f t="shared" si="117"/>
        <v>24.56485532</v>
      </c>
      <c r="W66" s="102">
        <f t="shared" si="117"/>
        <v>1.28305482</v>
      </c>
      <c r="X66" s="102">
        <f t="shared" si="117"/>
        <v>14.30434783</v>
      </c>
      <c r="Y66" s="95">
        <f t="shared" si="117"/>
        <v>27.91249927</v>
      </c>
      <c r="Z66" s="95">
        <f t="shared" si="117"/>
        <v>28.58660998</v>
      </c>
      <c r="AA66" s="102">
        <f t="shared" si="117"/>
        <v>22.90667085</v>
      </c>
      <c r="AB66" s="1"/>
      <c r="AC66" s="1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"/>
      <c r="AP66" s="1"/>
      <c r="AQ66" s="1"/>
      <c r="AR66" s="1"/>
    </row>
    <row r="67" ht="15.75" customHeight="1">
      <c r="A67" s="1"/>
      <c r="B67" s="66" t="s">
        <v>81</v>
      </c>
      <c r="C67" s="67"/>
      <c r="D67" s="67"/>
      <c r="E67" s="67"/>
      <c r="F67" s="68">
        <f>MEDIAN(F44:F63)</f>
        <v>6426.102195</v>
      </c>
      <c r="G67" s="69"/>
      <c r="H67" s="69"/>
      <c r="I67" s="69"/>
      <c r="J67" s="69"/>
      <c r="K67" s="69"/>
      <c r="L67" s="69"/>
      <c r="M67" s="68">
        <f t="shared" ref="M67:AA67" si="118">MEDIAN(M44:M63)</f>
        <v>6227.562195</v>
      </c>
      <c r="N67" s="103">
        <f t="shared" si="118"/>
        <v>4.534291837</v>
      </c>
      <c r="O67" s="103">
        <f t="shared" si="118"/>
        <v>5.284623344</v>
      </c>
      <c r="P67" s="103">
        <f t="shared" si="118"/>
        <v>4.94342653</v>
      </c>
      <c r="Q67" s="103">
        <f t="shared" si="118"/>
        <v>20.41808</v>
      </c>
      <c r="R67" s="103">
        <f t="shared" si="118"/>
        <v>23.05555542</v>
      </c>
      <c r="S67" s="103">
        <f t="shared" si="118"/>
        <v>20.56738146</v>
      </c>
      <c r="T67" s="103">
        <f t="shared" si="118"/>
        <v>27.2093209</v>
      </c>
      <c r="U67" s="103">
        <f t="shared" si="118"/>
        <v>21.75602731</v>
      </c>
      <c r="V67" s="104">
        <f t="shared" si="118"/>
        <v>21.88771634</v>
      </c>
      <c r="W67" s="104">
        <f t="shared" si="118"/>
        <v>0.7011457052</v>
      </c>
      <c r="X67" s="104">
        <f t="shared" si="118"/>
        <v>10.42105263</v>
      </c>
      <c r="Y67" s="103">
        <f t="shared" si="118"/>
        <v>14.80308</v>
      </c>
      <c r="Z67" s="103">
        <f t="shared" si="118"/>
        <v>18.15467199</v>
      </c>
      <c r="AA67" s="104">
        <f t="shared" si="118"/>
        <v>15.58218947</v>
      </c>
      <c r="AB67" s="1"/>
      <c r="AC67" s="1"/>
      <c r="AD67" s="18"/>
      <c r="AE67" s="18"/>
      <c r="AF67" s="18"/>
      <c r="AO67" s="1"/>
      <c r="AP67" s="1"/>
      <c r="AQ67" s="1"/>
      <c r="AR67" s="1"/>
    </row>
    <row r="68" ht="15.75" customHeight="1">
      <c r="A68" s="1"/>
      <c r="B68" s="63" t="s">
        <v>96</v>
      </c>
      <c r="C68" s="71"/>
      <c r="D68" s="1"/>
      <c r="E68" s="1"/>
      <c r="F68" s="64">
        <f>QUARTILE(F44:F63,1)</f>
        <v>0</v>
      </c>
      <c r="G68" s="10"/>
      <c r="H68" s="10"/>
      <c r="I68" s="10"/>
      <c r="J68" s="10"/>
      <c r="K68" s="64"/>
      <c r="L68" s="64"/>
      <c r="M68" s="64">
        <f t="shared" ref="M68:AA68" si="119">QUARTILE(M44:M63,1)</f>
        <v>0</v>
      </c>
      <c r="N68" s="95">
        <f t="shared" si="119"/>
        <v>2.588668661</v>
      </c>
      <c r="O68" s="95">
        <f t="shared" si="119"/>
        <v>2.577633785</v>
      </c>
      <c r="P68" s="95">
        <f t="shared" si="119"/>
        <v>2.652838752</v>
      </c>
      <c r="Q68" s="95">
        <f t="shared" si="119"/>
        <v>13.98273831</v>
      </c>
      <c r="R68" s="95">
        <f t="shared" si="119"/>
        <v>12.59022893</v>
      </c>
      <c r="S68" s="95">
        <f t="shared" si="119"/>
        <v>10.55998489</v>
      </c>
      <c r="T68" s="95">
        <f t="shared" si="119"/>
        <v>23.46756017</v>
      </c>
      <c r="U68" s="95">
        <f t="shared" si="119"/>
        <v>13.39316859</v>
      </c>
      <c r="V68" s="102">
        <f t="shared" si="119"/>
        <v>14.51902863</v>
      </c>
      <c r="W68" s="102">
        <f t="shared" si="119"/>
        <v>0.3469109836</v>
      </c>
      <c r="X68" s="102">
        <f t="shared" si="119"/>
        <v>5.666666667</v>
      </c>
      <c r="Y68" s="95">
        <f t="shared" si="119"/>
        <v>12.83592227</v>
      </c>
      <c r="Z68" s="95">
        <f t="shared" si="119"/>
        <v>11.13129552</v>
      </c>
      <c r="AA68" s="102">
        <f t="shared" si="119"/>
        <v>8.211633295</v>
      </c>
      <c r="AB68" s="1"/>
      <c r="AC68" s="1"/>
      <c r="AD68" s="18"/>
      <c r="AE68" s="10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ht="15.75" customHeight="1">
      <c r="A69" s="1"/>
      <c r="B69" s="72" t="s">
        <v>82</v>
      </c>
      <c r="C69" s="73"/>
      <c r="D69" s="105"/>
      <c r="E69" s="105"/>
      <c r="F69" s="74">
        <f>MIN(F44:F63)</f>
        <v>0</v>
      </c>
      <c r="G69" s="75"/>
      <c r="H69" s="75"/>
      <c r="I69" s="75"/>
      <c r="J69" s="75"/>
      <c r="K69" s="75"/>
      <c r="L69" s="75"/>
      <c r="M69" s="74">
        <f t="shared" ref="M69:AA69" si="120">MIN(M44:M63)</f>
        <v>0</v>
      </c>
      <c r="N69" s="106">
        <f t="shared" si="120"/>
        <v>1.825893069</v>
      </c>
      <c r="O69" s="106">
        <f t="shared" si="120"/>
        <v>1.399295525</v>
      </c>
      <c r="P69" s="106">
        <f t="shared" si="120"/>
        <v>1.223336208</v>
      </c>
      <c r="Q69" s="106">
        <f t="shared" si="120"/>
        <v>8.2083675</v>
      </c>
      <c r="R69" s="106">
        <f t="shared" si="120"/>
        <v>6.566694</v>
      </c>
      <c r="S69" s="106">
        <f t="shared" si="120"/>
        <v>5.692490155</v>
      </c>
      <c r="T69" s="106">
        <f t="shared" si="120"/>
        <v>14.46245554</v>
      </c>
      <c r="U69" s="106">
        <f t="shared" si="120"/>
        <v>9.437940469</v>
      </c>
      <c r="V69" s="107">
        <f t="shared" si="120"/>
        <v>3.231963537</v>
      </c>
      <c r="W69" s="107">
        <f t="shared" si="120"/>
        <v>0.2059041793</v>
      </c>
      <c r="X69" s="107">
        <f t="shared" si="120"/>
        <v>2.158638407</v>
      </c>
      <c r="Y69" s="106">
        <f t="shared" si="120"/>
        <v>8.974470179</v>
      </c>
      <c r="Z69" s="106">
        <f t="shared" si="120"/>
        <v>7.179576143</v>
      </c>
      <c r="AA69" s="107">
        <f t="shared" si="120"/>
        <v>6.223781176</v>
      </c>
      <c r="AB69" s="1"/>
      <c r="AC69" s="1"/>
      <c r="AD69" s="18"/>
      <c r="AE69" s="28"/>
      <c r="AJ69" s="28"/>
      <c r="AK69" s="28"/>
      <c r="AL69" s="28"/>
      <c r="AM69" s="28"/>
      <c r="AN69" s="28"/>
      <c r="AO69" s="1"/>
      <c r="AP69" s="1"/>
      <c r="AQ69" s="1"/>
      <c r="AR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8"/>
      <c r="AE70" s="10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ht="15.75" customHeight="1">
      <c r="A71" s="1"/>
      <c r="B71" s="108" t="str">
        <f>B39</f>
        <v>XXXXXX</v>
      </c>
      <c r="C71" s="78"/>
      <c r="D71" s="78"/>
      <c r="E71" s="78"/>
      <c r="F71" s="109">
        <f>F39</f>
        <v>0</v>
      </c>
      <c r="G71" s="78"/>
      <c r="H71" s="78"/>
      <c r="I71" s="78"/>
      <c r="J71" s="78"/>
      <c r="K71" s="78"/>
      <c r="L71" s="78"/>
      <c r="M71" s="109">
        <f>M39</f>
        <v>0</v>
      </c>
      <c r="N71" s="110" t="str">
        <f t="shared" ref="N71:S71" si="121">IFERROR(IF(OR(+$M39/N39&lt;0,+$M39/N39&gt;=100),"NM",+$M39/N39),"N/A")</f>
        <v>N/A</v>
      </c>
      <c r="O71" s="110" t="str">
        <f t="shared" si="121"/>
        <v>N/A</v>
      </c>
      <c r="P71" s="110" t="str">
        <f t="shared" si="121"/>
        <v>N/A</v>
      </c>
      <c r="Q71" s="110" t="str">
        <f t="shared" si="121"/>
        <v>N/A</v>
      </c>
      <c r="R71" s="110" t="str">
        <f t="shared" si="121"/>
        <v>N/A</v>
      </c>
      <c r="S71" s="110" t="str">
        <f t="shared" si="121"/>
        <v>N/A</v>
      </c>
      <c r="T71" s="111" t="str">
        <f t="shared" ref="T71:V71" si="122">IFERROR(IF(OR(+$F39/T39&lt;0,+$F39/T39&gt;=100),"NM",+$F39/T39),"N/A")</f>
        <v>N/A</v>
      </c>
      <c r="U71" s="111" t="str">
        <f t="shared" si="122"/>
        <v>N/A</v>
      </c>
      <c r="V71" s="111" t="str">
        <f t="shared" si="122"/>
        <v>N/A</v>
      </c>
      <c r="W71" s="111" t="str">
        <f>IFERROR(IF(OR(+$H39/K39&lt;0,+$H39/K39&gt;=100),"NM",+$H39/K39),"N/A")</f>
        <v>N/A</v>
      </c>
      <c r="X71" s="111" t="str">
        <f>IFERROR(IF(OR(+$R39/L39&lt;0,+$R39/L39&gt;=100),"NM",+$R39/L39),"N/A")</f>
        <v>N/A</v>
      </c>
      <c r="Y71" s="111" t="str">
        <f t="shared" ref="Y71:AA71" si="123">IFERROR(IF(OR(+$F39/Q39&lt;0,+$F39/Q39&gt;=100),"NM",+$F39/Q39),"N/A")</f>
        <v>N/A</v>
      </c>
      <c r="Z71" s="111" t="str">
        <f t="shared" si="123"/>
        <v>N/A</v>
      </c>
      <c r="AA71" s="111" t="str">
        <f t="shared" si="123"/>
        <v>N/A</v>
      </c>
      <c r="AB71" s="1"/>
      <c r="AC71" s="1"/>
      <c r="AD71" s="18"/>
      <c r="AE71" s="10"/>
      <c r="AF71" s="1"/>
      <c r="AO71" s="1"/>
      <c r="AP71" s="1"/>
      <c r="AQ71" s="1"/>
      <c r="AR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8"/>
      <c r="AF72" s="10"/>
      <c r="AG72" s="1"/>
      <c r="AQ72" s="1"/>
      <c r="AR72" s="1"/>
      <c r="AS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8"/>
      <c r="AF73" s="10"/>
      <c r="AG73" s="1"/>
      <c r="AL73" s="1"/>
      <c r="AM73" s="1"/>
      <c r="AN73" s="1"/>
      <c r="AO73" s="1"/>
      <c r="AP73" s="1"/>
      <c r="AQ73" s="1"/>
      <c r="AR73" s="1"/>
      <c r="AS73" s="1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"/>
      <c r="AQ74" s="1"/>
      <c r="AR74" s="1"/>
      <c r="AS74" s="1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0"/>
      <c r="AG75" s="1"/>
      <c r="AP75" s="1"/>
      <c r="AQ75" s="1"/>
      <c r="AR75" s="1"/>
      <c r="AS75" s="1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N76" s="18"/>
      <c r="AO76" s="18"/>
      <c r="AP76" s="18"/>
      <c r="AQ76" s="18"/>
      <c r="AR76" s="18"/>
      <c r="AS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P78" s="18"/>
      <c r="AQ78" s="18"/>
      <c r="AR78" s="18"/>
      <c r="AS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28"/>
      <c r="AK80" s="28"/>
      <c r="AL80" s="28"/>
      <c r="AM80" s="28"/>
      <c r="AN80" s="28"/>
      <c r="AO80" s="28"/>
      <c r="AP80" s="18"/>
      <c r="AQ80" s="18"/>
      <c r="AR80" s="18"/>
      <c r="AS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0"/>
      <c r="AG81" s="1"/>
      <c r="AH81" s="1"/>
      <c r="AI81" s="1"/>
      <c r="AJ81" s="1"/>
      <c r="AK81" s="1"/>
      <c r="AL81" s="1"/>
      <c r="AM81" s="1"/>
      <c r="AN81" s="1"/>
      <c r="AO81" s="1"/>
      <c r="AP81" s="18"/>
      <c r="AQ81" s="18"/>
      <c r="AR81" s="18"/>
      <c r="AS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Q82" s="18"/>
      <c r="AR82" s="18"/>
      <c r="AS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N83" s="18"/>
      <c r="AO83" s="18"/>
      <c r="AP83" s="18"/>
      <c r="AQ83" s="18"/>
      <c r="AR83" s="18"/>
      <c r="AS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28"/>
      <c r="AI85" s="28"/>
      <c r="AJ85" s="28"/>
      <c r="AK85" s="28"/>
      <c r="AL85" s="28"/>
      <c r="AM85" s="28"/>
      <c r="AN85" s="28"/>
      <c r="AO85" s="28"/>
      <c r="AP85" s="18"/>
      <c r="AQ85" s="18"/>
      <c r="AR85" s="18"/>
      <c r="AS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0"/>
      <c r="AG86" s="1"/>
      <c r="AH86" s="1"/>
      <c r="AI86" s="1"/>
      <c r="AJ86" s="1"/>
      <c r="AK86" s="1"/>
      <c r="AL86" s="1"/>
      <c r="AM86" s="1"/>
      <c r="AN86" s="1"/>
      <c r="AO86" s="1"/>
      <c r="AP86" s="18"/>
      <c r="AQ86" s="18"/>
      <c r="AR86" s="18"/>
      <c r="AS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P87" s="18"/>
      <c r="AQ87" s="18"/>
      <c r="AR87" s="18"/>
      <c r="AS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O88" s="18"/>
      <c r="AP88" s="18"/>
      <c r="AQ88" s="18"/>
      <c r="AR88" s="18"/>
      <c r="AS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O90" s="18"/>
      <c r="AP90" s="18"/>
      <c r="AQ90" s="18"/>
      <c r="AR90" s="18"/>
      <c r="AS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P92" s="18"/>
      <c r="AQ92" s="18"/>
      <c r="AR92" s="18"/>
      <c r="AS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Q93" s="18"/>
      <c r="AR93" s="18"/>
      <c r="AS93" s="18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B2:D2"/>
    <mergeCell ref="F9:M9"/>
    <mergeCell ref="AC9:AD9"/>
    <mergeCell ref="N10:P10"/>
    <mergeCell ref="Q10:S10"/>
    <mergeCell ref="T10:V10"/>
    <mergeCell ref="Y10:AA10"/>
    <mergeCell ref="N42:P42"/>
    <mergeCell ref="Q42:S42"/>
    <mergeCell ref="T42:V42"/>
    <mergeCell ref="Y42:AA42"/>
    <mergeCell ref="AF42:AI42"/>
    <mergeCell ref="AF44:AO44"/>
    <mergeCell ref="AF46:AO46"/>
    <mergeCell ref="AE48:AH48"/>
    <mergeCell ref="AD36:AL36"/>
    <mergeCell ref="AD37:AI37"/>
    <mergeCell ref="AC39:AF39"/>
    <mergeCell ref="F41:M41"/>
    <mergeCell ref="N41:P41"/>
    <mergeCell ref="Q41:S41"/>
    <mergeCell ref="AF41:AN41"/>
    <mergeCell ref="AD11:AJ11"/>
    <mergeCell ref="AD13:AM13"/>
    <mergeCell ref="AD15:AL15"/>
    <mergeCell ref="AD16:AM16"/>
    <mergeCell ref="AD17:AG17"/>
    <mergeCell ref="AD33:AM33"/>
    <mergeCell ref="AD34:AG34"/>
    <mergeCell ref="AF64:AO64"/>
    <mergeCell ref="AF65:AL65"/>
    <mergeCell ref="AF67:AN67"/>
    <mergeCell ref="AE69:AI69"/>
    <mergeCell ref="AF71:AN71"/>
    <mergeCell ref="AG72:AP72"/>
    <mergeCell ref="AG73:AK73"/>
    <mergeCell ref="AG87:AO87"/>
    <mergeCell ref="AG88:AN88"/>
    <mergeCell ref="AG90:AN90"/>
    <mergeCell ref="AG92:AO92"/>
    <mergeCell ref="AG93:AP93"/>
    <mergeCell ref="AG75:AO75"/>
    <mergeCell ref="AG76:AM76"/>
    <mergeCell ref="AG78:AO78"/>
    <mergeCell ref="AF80:AJ80"/>
    <mergeCell ref="AG82:AP82"/>
    <mergeCell ref="AG83:AM83"/>
    <mergeCell ref="AF85:AH8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/>
    <row r="2" ht="15.75" customHeight="1"/>
    <row r="3" ht="15.75" customHeight="1">
      <c r="K3" s="48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>
      <c r="K18" s="49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>
      <c r="B28" s="48" t="s">
        <v>51</v>
      </c>
    </row>
    <row r="29" ht="15.75" customHeight="1">
      <c r="B29" s="41" t="s">
        <v>65</v>
      </c>
      <c r="D29" s="41"/>
    </row>
    <row r="30" ht="15.75" customHeight="1">
      <c r="B30" s="41" t="s">
        <v>66</v>
      </c>
    </row>
    <row r="31" ht="15.75" customHeight="1">
      <c r="B31" s="41" t="s">
        <v>67</v>
      </c>
    </row>
    <row r="32" ht="15.75" customHeight="1">
      <c r="B32" s="50" t="s">
        <v>68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ht="15.75" customHeigh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ht="15.75" customHeight="1">
      <c r="A3" s="32"/>
      <c r="B3" s="38" t="s">
        <v>40</v>
      </c>
      <c r="C3" s="32"/>
      <c r="D3" s="38" t="str">
        <f>'Public Comps'!D5</f>
        <v>XXXXXX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ht="15.75" customHeight="1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 ht="15.7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ht="15.75" customHeigh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ht="15.75" customHeight="1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ht="15.75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ht="15.7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ht="15.75" customHeight="1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ht="15.75" customHeight="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ht="15.7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ht="15.7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ht="15.7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 ht="15.7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 ht="15.7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 ht="15.7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 ht="15.7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 ht="15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ht="15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ht="15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 ht="15.75" customHeight="1">
      <c r="A27" s="32"/>
      <c r="B27" s="38" t="s">
        <v>51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 ht="15.75" customHeight="1">
      <c r="A28" s="32"/>
      <c r="B28" s="40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ht="15.75" customHeight="1">
      <c r="A30" s="32"/>
      <c r="B30" s="40" t="s">
        <v>52</v>
      </c>
      <c r="C30" s="41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34.14"/>
    <col customWidth="1" min="8" max="8" width="4.86"/>
    <col customWidth="1" min="10" max="10" width="5.0"/>
  </cols>
  <sheetData>
    <row r="1" ht="15.75" customHeight="1"/>
    <row r="2" ht="15.75" customHeight="1">
      <c r="K2" s="52" t="s">
        <v>75</v>
      </c>
      <c r="L2" s="23"/>
      <c r="M2" s="23"/>
      <c r="N2" s="23"/>
      <c r="O2" s="24"/>
    </row>
    <row r="3" ht="15.75" customHeight="1">
      <c r="B3" s="25"/>
      <c r="C3" s="26"/>
      <c r="D3" s="26" t="s">
        <v>76</v>
      </c>
      <c r="E3" s="26"/>
      <c r="F3" s="26" t="s">
        <v>77</v>
      </c>
      <c r="G3" s="27"/>
      <c r="H3" s="27"/>
      <c r="I3" s="26" t="s">
        <v>78</v>
      </c>
      <c r="J3" s="26"/>
      <c r="K3" s="26"/>
      <c r="L3" s="26" t="s">
        <v>77</v>
      </c>
      <c r="M3" s="26"/>
      <c r="N3" s="26" t="s">
        <v>76</v>
      </c>
      <c r="O3" s="26"/>
    </row>
    <row r="4" ht="15.75" customHeight="1">
      <c r="B4" s="25"/>
      <c r="C4" s="26" t="s">
        <v>79</v>
      </c>
      <c r="D4" s="26" t="s">
        <v>80</v>
      </c>
      <c r="E4" s="26" t="s">
        <v>81</v>
      </c>
      <c r="F4" s="26" t="s">
        <v>80</v>
      </c>
      <c r="G4" s="26" t="s">
        <v>82</v>
      </c>
      <c r="H4" s="26"/>
      <c r="I4" s="26" t="s">
        <v>83</v>
      </c>
      <c r="J4" s="26"/>
      <c r="K4" s="26" t="s">
        <v>82</v>
      </c>
      <c r="L4" s="26" t="s">
        <v>80</v>
      </c>
      <c r="M4" s="26" t="s">
        <v>81</v>
      </c>
      <c r="N4" s="26" t="s">
        <v>80</v>
      </c>
      <c r="O4" s="26" t="s">
        <v>79</v>
      </c>
    </row>
    <row r="5" ht="15.75" customHeight="1">
      <c r="B5" s="29" t="s">
        <v>84</v>
      </c>
      <c r="C5" s="30" t="s">
        <v>85</v>
      </c>
      <c r="D5" s="30" t="s">
        <v>85</v>
      </c>
      <c r="E5" s="30" t="s">
        <v>85</v>
      </c>
      <c r="F5" s="30" t="s">
        <v>85</v>
      </c>
      <c r="G5" s="30" t="s">
        <v>85</v>
      </c>
      <c r="H5" s="30"/>
      <c r="I5" s="30" t="s">
        <v>86</v>
      </c>
      <c r="J5" s="30"/>
      <c r="K5" s="30" t="s">
        <v>85</v>
      </c>
      <c r="L5" s="30" t="s">
        <v>85</v>
      </c>
      <c r="M5" s="30" t="s">
        <v>85</v>
      </c>
      <c r="N5" s="30" t="s">
        <v>85</v>
      </c>
      <c r="O5" s="30" t="s">
        <v>85</v>
      </c>
    </row>
    <row r="6" ht="15.75" customHeight="1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ht="15.75" customHeight="1">
      <c r="B7" s="28" t="s">
        <v>87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ht="15.75" customHeight="1">
      <c r="B8" s="53" t="s">
        <v>88</v>
      </c>
      <c r="C8" s="54">
        <f t="array" ref="C8:G8">TRANSPOSE('Public Comps'!N65:N69)</f>
        <v>52.59609369</v>
      </c>
      <c r="D8" s="54">
        <v>13.546943883429027</v>
      </c>
      <c r="E8" s="54">
        <v>4.534291837287488</v>
      </c>
      <c r="F8" s="54">
        <v>2.5886686611111673</v>
      </c>
      <c r="G8" s="54">
        <v>1.8258930685203574</v>
      </c>
      <c r="H8" s="55"/>
      <c r="I8" s="56">
        <f>'Public Comps'!N39</f>
        <v>0</v>
      </c>
      <c r="J8" s="55"/>
      <c r="K8" s="57" t="str">
        <f>(I8*G8)/'Public Comps'!$D$6</f>
        <v>#DIV/0!</v>
      </c>
      <c r="L8" s="57" t="str">
        <f>(I8*F8)/'Public Comps'!$D$6</f>
        <v>#DIV/0!</v>
      </c>
      <c r="M8" s="57" t="str">
        <f>(I8*E8)/'Public Comps'!$D$6</f>
        <v>#DIV/0!</v>
      </c>
      <c r="N8" s="57" t="str">
        <f>(I8*D8)/'Public Comps'!$D$6</f>
        <v>#DIV/0!</v>
      </c>
      <c r="O8" s="58" t="str">
        <f>(I8*C8)/'Public Comps'!$D$6</f>
        <v>#DIV/0!</v>
      </c>
    </row>
    <row r="9" ht="15.75" customHeight="1">
      <c r="B9" s="53" t="s">
        <v>89</v>
      </c>
      <c r="C9" s="54">
        <f t="array" ref="C9:G9">TRANSPOSE('Public Comps'!O65:O69)</f>
        <v>27.31960208</v>
      </c>
      <c r="D9" s="54">
        <v>9.938693572880332</v>
      </c>
      <c r="E9" s="54">
        <v>5.284623343655435</v>
      </c>
      <c r="F9" s="54">
        <v>2.577633785124547</v>
      </c>
      <c r="G9" s="54">
        <v>1.3992955251141552</v>
      </c>
      <c r="H9" s="55"/>
      <c r="I9" s="56">
        <f t="array" ref="I9:I16">TRANSPOSE('Public Comps'!O39:V39)</f>
        <v>0</v>
      </c>
      <c r="J9" s="55"/>
      <c r="K9" s="57" t="str">
        <f>(I9*G9)/'Public Comps'!$D$6</f>
        <v>#DIV/0!</v>
      </c>
      <c r="L9" s="57" t="str">
        <f>(I9*F9)/'Public Comps'!$D$6</f>
        <v>#DIV/0!</v>
      </c>
      <c r="M9" s="57" t="str">
        <f>(I9*E9)/'Public Comps'!$D$6</f>
        <v>#DIV/0!</v>
      </c>
      <c r="N9" s="57" t="str">
        <f>(I9*D9)/'Public Comps'!$D$6</f>
        <v>#DIV/0!</v>
      </c>
      <c r="O9" s="58" t="str">
        <f>(I9*C9)/'Public Comps'!$D$6</f>
        <v>#DIV/0!</v>
      </c>
    </row>
    <row r="10" ht="15.75" customHeight="1">
      <c r="B10" s="53" t="s">
        <v>90</v>
      </c>
      <c r="C10" s="54">
        <f t="array" ref="C10:G10">TRANSPOSE('Public Comps'!P65:P69)</f>
        <v>18.66075344</v>
      </c>
      <c r="D10" s="54">
        <v>8.643138434103545</v>
      </c>
      <c r="E10" s="54">
        <v>4.943426529652669</v>
      </c>
      <c r="F10" s="54">
        <v>2.652838752093803</v>
      </c>
      <c r="G10" s="54">
        <v>1.2233362075848302</v>
      </c>
      <c r="H10" s="55"/>
      <c r="I10" s="56">
        <v>0.0</v>
      </c>
      <c r="J10" s="55"/>
      <c r="K10" s="57" t="str">
        <f>(I10*G10)/'Public Comps'!$D$6</f>
        <v>#DIV/0!</v>
      </c>
      <c r="L10" s="57" t="str">
        <f>(I10*F10)/'Public Comps'!$D$6</f>
        <v>#DIV/0!</v>
      </c>
      <c r="M10" s="57" t="str">
        <f>(I10*E10)/'Public Comps'!$D$6</f>
        <v>#DIV/0!</v>
      </c>
      <c r="N10" s="57" t="str">
        <f>(I10*D10)/'Public Comps'!$D$6</f>
        <v>#DIV/0!</v>
      </c>
      <c r="O10" s="58" t="str">
        <f>(I10*C10)/'Public Comps'!$D$6</f>
        <v>#DIV/0!</v>
      </c>
    </row>
    <row r="11" ht="15.75" customHeight="1">
      <c r="B11" s="53" t="s">
        <v>92</v>
      </c>
      <c r="C11" s="54">
        <f t="array" ref="C11:G11">TRANSPOSE('Public Comps'!Q65:Q69)</f>
        <v>82.8887967</v>
      </c>
      <c r="D11" s="54">
        <v>28.547015008741262</v>
      </c>
      <c r="E11" s="54">
        <v>20.41808</v>
      </c>
      <c r="F11" s="54">
        <v>13.98273830581761</v>
      </c>
      <c r="G11" s="54">
        <v>8.2083675</v>
      </c>
      <c r="H11" s="55"/>
      <c r="I11" s="56">
        <v>0.0</v>
      </c>
      <c r="J11" s="55"/>
      <c r="K11" s="57" t="str">
        <f>(I11*G11)/'Public Comps'!$D$6</f>
        <v>#DIV/0!</v>
      </c>
      <c r="L11" s="57" t="str">
        <f>(I11*F11)/'Public Comps'!$D$6</f>
        <v>#DIV/0!</v>
      </c>
      <c r="M11" s="57" t="str">
        <f>(I11*E11)/'Public Comps'!$D$6</f>
        <v>#DIV/0!</v>
      </c>
      <c r="N11" s="57" t="str">
        <f>(I11*D11)/'Public Comps'!$D$6</f>
        <v>#DIV/0!</v>
      </c>
      <c r="O11" s="58" t="str">
        <f>(I11*C11)/'Public Comps'!$D$6</f>
        <v>#DIV/0!</v>
      </c>
    </row>
    <row r="12" ht="15.75" customHeight="1">
      <c r="B12" s="53" t="s">
        <v>93</v>
      </c>
      <c r="C12" s="54">
        <f t="array" ref="C12:G12">TRANSPOSE('Public Comps'!R65:R69)</f>
        <v>65.36758764</v>
      </c>
      <c r="D12" s="54">
        <v>33.73943584955605</v>
      </c>
      <c r="E12" s="54">
        <v>23.055555415698194</v>
      </c>
      <c r="F12" s="54">
        <v>12.590228931665893</v>
      </c>
      <c r="G12" s="54">
        <v>6.566693999999999</v>
      </c>
      <c r="H12" s="55"/>
      <c r="I12" s="56">
        <v>0.0</v>
      </c>
      <c r="J12" s="55"/>
      <c r="K12" s="57" t="str">
        <f>(I12*G12)/'Public Comps'!$D$6</f>
        <v>#DIV/0!</v>
      </c>
      <c r="L12" s="57" t="str">
        <f>(I12*F12)/'Public Comps'!$D$6</f>
        <v>#DIV/0!</v>
      </c>
      <c r="M12" s="57" t="str">
        <f>(I12*E12)/'Public Comps'!$D$6</f>
        <v>#DIV/0!</v>
      </c>
      <c r="N12" s="57" t="str">
        <f>(I12*D12)/'Public Comps'!$D$6</f>
        <v>#DIV/0!</v>
      </c>
      <c r="O12" s="58" t="str">
        <f>(I12*C12)/'Public Comps'!$D$6</f>
        <v>#DIV/0!</v>
      </c>
    </row>
    <row r="13" ht="15.75" customHeight="1">
      <c r="B13" s="53" t="s">
        <v>94</v>
      </c>
      <c r="C13" s="54">
        <f t="array" ref="C13:G13">TRANSPOSE('Public Comps'!S65:S69)</f>
        <v>95.1093381</v>
      </c>
      <c r="D13" s="54">
        <v>27.400420973349675</v>
      </c>
      <c r="E13" s="54">
        <v>20.56738146230441</v>
      </c>
      <c r="F13" s="54">
        <v>10.559984891720598</v>
      </c>
      <c r="G13" s="54">
        <v>5.692490154798762</v>
      </c>
      <c r="H13" s="55"/>
      <c r="I13" s="56">
        <v>0.0</v>
      </c>
      <c r="J13" s="55"/>
      <c r="K13" s="57" t="str">
        <f>(I13*G13)/'Public Comps'!$D$6</f>
        <v>#DIV/0!</v>
      </c>
      <c r="L13" s="57" t="str">
        <f>(I13*F13)/'Public Comps'!$D$6</f>
        <v>#DIV/0!</v>
      </c>
      <c r="M13" s="57" t="str">
        <f>(I13*E13)/'Public Comps'!$D$6</f>
        <v>#DIV/0!</v>
      </c>
      <c r="N13" s="57" t="str">
        <f>(I13*D13)/'Public Comps'!$D$6</f>
        <v>#DIV/0!</v>
      </c>
      <c r="O13" s="58" t="str">
        <f>(I13*C13)/'Public Comps'!$D$6</f>
        <v>#DIV/0!</v>
      </c>
    </row>
    <row r="14" ht="15.75" customHeight="1">
      <c r="B14" s="53" t="s">
        <v>95</v>
      </c>
      <c r="C14" s="54">
        <f t="array" ref="C14:G14">TRANSPOSE('Public Comps'!T65:T69)</f>
        <v>97.79796692</v>
      </c>
      <c r="D14" s="54">
        <v>32.23934837207758</v>
      </c>
      <c r="E14" s="54">
        <v>27.20932090407249</v>
      </c>
      <c r="F14" s="54">
        <v>23.467560167482947</v>
      </c>
      <c r="G14" s="54">
        <v>14.462455539568344</v>
      </c>
      <c r="H14" s="55"/>
      <c r="I14" s="56">
        <v>0.0</v>
      </c>
      <c r="J14" s="55"/>
      <c r="K14" s="57" t="str">
        <f>(I14*G14)/'Public Comps'!$D$6</f>
        <v>#DIV/0!</v>
      </c>
      <c r="L14" s="57" t="str">
        <f>(I14*F14)/'Public Comps'!$D$6</f>
        <v>#DIV/0!</v>
      </c>
      <c r="M14" s="57" t="str">
        <f>(I14*E14)/'Public Comps'!$D$6</f>
        <v>#DIV/0!</v>
      </c>
      <c r="N14" s="57" t="str">
        <f>(I14*D14)/'Public Comps'!$D$6</f>
        <v>#DIV/0!</v>
      </c>
      <c r="O14" s="58" t="str">
        <f>(I14*C14)/'Public Comps'!$D$6</f>
        <v>#DIV/0!</v>
      </c>
    </row>
    <row r="15" ht="15.75" customHeight="1">
      <c r="B15" s="53" t="s">
        <v>97</v>
      </c>
      <c r="C15" s="54">
        <f t="array" ref="C15:G15">TRANSPOSE('Public Comps'!U65:U69)</f>
        <v>98.6872</v>
      </c>
      <c r="D15" s="54">
        <v>39.788391643309936</v>
      </c>
      <c r="E15" s="54">
        <v>21.75602731041456</v>
      </c>
      <c r="F15" s="54">
        <v>13.393168585643789</v>
      </c>
      <c r="G15" s="54">
        <v>9.437940469483568</v>
      </c>
      <c r="H15" s="55"/>
      <c r="I15" s="56">
        <v>0.0</v>
      </c>
      <c r="J15" s="55"/>
      <c r="K15" s="57" t="str">
        <f>(I15*G15)/'Public Comps'!$D$6</f>
        <v>#DIV/0!</v>
      </c>
      <c r="L15" s="57" t="str">
        <f>(I15*F15)/'Public Comps'!$D$6</f>
        <v>#DIV/0!</v>
      </c>
      <c r="M15" s="57" t="str">
        <f>(I15*E15)/'Public Comps'!$D$6</f>
        <v>#DIV/0!</v>
      </c>
      <c r="N15" s="57" t="str">
        <f>(I15*D15)/'Public Comps'!$D$6</f>
        <v>#DIV/0!</v>
      </c>
      <c r="O15" s="58" t="str">
        <f>(I15*C15)/'Public Comps'!$D$6</f>
        <v>#DIV/0!</v>
      </c>
    </row>
    <row r="16" ht="15.75" customHeight="1">
      <c r="B16" s="53" t="s">
        <v>98</v>
      </c>
      <c r="C16" s="54">
        <f t="array" ref="C16:G16">TRANSPOSE('Public Comps'!V65:V69)</f>
        <v>26.65433987</v>
      </c>
      <c r="D16" s="54">
        <v>24.564855320442852</v>
      </c>
      <c r="E16" s="54">
        <v>21.887716338028167</v>
      </c>
      <c r="F16" s="54">
        <v>14.51902863215107</v>
      </c>
      <c r="G16" s="54">
        <v>3.2319635369774917</v>
      </c>
      <c r="H16" s="55"/>
      <c r="I16" s="56">
        <v>0.0</v>
      </c>
      <c r="J16" s="55"/>
      <c r="K16" s="57" t="str">
        <f>(I16*G16)/'Public Comps'!$D$6</f>
        <v>#DIV/0!</v>
      </c>
      <c r="L16" s="57" t="str">
        <f>(I16*F16)/'Public Comps'!$D$6</f>
        <v>#DIV/0!</v>
      </c>
      <c r="M16" s="57" t="str">
        <f>(I16*E16)/'Public Comps'!$D$6</f>
        <v>#DIV/0!</v>
      </c>
      <c r="N16" s="57" t="str">
        <f>(I16*D16)/'Public Comps'!$D$6</f>
        <v>#DIV/0!</v>
      </c>
      <c r="O16" s="58" t="str">
        <f>(I16*C16)/'Public Comps'!$D$6</f>
        <v>#DIV/0!</v>
      </c>
    </row>
    <row r="17" ht="15.75" customHeight="1">
      <c r="B17" s="49" t="s">
        <v>99</v>
      </c>
      <c r="C17" s="82">
        <f t="array" ref="C17:G17">TRANSPOSE('Public Comps'!W65:W69)</f>
        <v>5.033536585</v>
      </c>
      <c r="D17" s="82">
        <v>1.2830548199535166</v>
      </c>
      <c r="E17" s="82">
        <v>0.7011457052255312</v>
      </c>
      <c r="F17" s="82">
        <v>0.3469109835788771</v>
      </c>
      <c r="G17" s="82">
        <v>0.20590417926116308</v>
      </c>
    </row>
    <row r="18" ht="15.75" customHeight="1">
      <c r="B18" s="49" t="s">
        <v>100</v>
      </c>
      <c r="C18" s="82">
        <f t="array" ref="C18:G18">TRANSPOSE('Public Comps'!X65:X69)</f>
        <v>16.30769231</v>
      </c>
      <c r="D18" s="82">
        <v>14.304347826086955</v>
      </c>
      <c r="E18" s="82">
        <v>10.421052631578947</v>
      </c>
      <c r="F18" s="82">
        <v>5.666666666666667</v>
      </c>
      <c r="G18" s="82">
        <v>2.1586384071933202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>
      <c r="B30" s="49" t="s">
        <v>101</v>
      </c>
      <c r="C30" s="49" t="s">
        <v>102</v>
      </c>
      <c r="D30" s="49" t="s">
        <v>103</v>
      </c>
      <c r="E30" s="49" t="s">
        <v>104</v>
      </c>
      <c r="F30" s="49" t="s">
        <v>105</v>
      </c>
      <c r="G30" s="49" t="s">
        <v>106</v>
      </c>
    </row>
    <row r="31" ht="15.75" customHeight="1">
      <c r="B31" s="53" t="s">
        <v>88</v>
      </c>
      <c r="C31" s="84">
        <f t="shared" ref="C31:C41" si="1">G8</f>
        <v>1.825893069</v>
      </c>
      <c r="D31" s="84">
        <f t="shared" ref="D31:D41" si="2">F8-G8</f>
        <v>0.7627755926</v>
      </c>
      <c r="E31" s="84">
        <f t="shared" ref="E31:E41" si="3">E8-F8</f>
        <v>1.945623176</v>
      </c>
      <c r="F31" s="84">
        <f t="shared" ref="F31:F41" si="4">D8-E8</f>
        <v>9.012652046</v>
      </c>
      <c r="G31" s="84">
        <f t="shared" ref="G31:G41" si="5">C8-D8</f>
        <v>39.04914981</v>
      </c>
    </row>
    <row r="32" ht="15.75" customHeight="1">
      <c r="B32" s="53" t="s">
        <v>89</v>
      </c>
      <c r="C32" s="84">
        <f t="shared" si="1"/>
        <v>1.399295525</v>
      </c>
      <c r="D32" s="84">
        <f t="shared" si="2"/>
        <v>1.17833826</v>
      </c>
      <c r="E32" s="84">
        <f t="shared" si="3"/>
        <v>2.706989559</v>
      </c>
      <c r="F32" s="84">
        <f t="shared" si="4"/>
        <v>4.654070229</v>
      </c>
      <c r="G32" s="84">
        <f t="shared" si="5"/>
        <v>17.38090851</v>
      </c>
    </row>
    <row r="33" ht="15.75" customHeight="1">
      <c r="B33" s="53" t="s">
        <v>90</v>
      </c>
      <c r="C33" s="84">
        <f t="shared" si="1"/>
        <v>1.223336208</v>
      </c>
      <c r="D33" s="84">
        <f t="shared" si="2"/>
        <v>1.429502545</v>
      </c>
      <c r="E33" s="84">
        <f t="shared" si="3"/>
        <v>2.290587778</v>
      </c>
      <c r="F33" s="84">
        <f t="shared" si="4"/>
        <v>3.699711904</v>
      </c>
      <c r="G33" s="84">
        <f t="shared" si="5"/>
        <v>10.01761501</v>
      </c>
    </row>
    <row r="34" ht="15.75" customHeight="1">
      <c r="B34" s="53" t="s">
        <v>92</v>
      </c>
      <c r="C34" s="84">
        <f t="shared" si="1"/>
        <v>8.2083675</v>
      </c>
      <c r="D34" s="84">
        <f t="shared" si="2"/>
        <v>5.774370806</v>
      </c>
      <c r="E34" s="84">
        <f t="shared" si="3"/>
        <v>6.435341694</v>
      </c>
      <c r="F34" s="84">
        <f t="shared" si="4"/>
        <v>8.128935009</v>
      </c>
      <c r="G34" s="84">
        <f t="shared" si="5"/>
        <v>54.34178169</v>
      </c>
    </row>
    <row r="35" ht="15.75" customHeight="1">
      <c r="B35" s="53" t="s">
        <v>93</v>
      </c>
      <c r="C35" s="84">
        <f t="shared" si="1"/>
        <v>6.566694</v>
      </c>
      <c r="D35" s="84">
        <f t="shared" si="2"/>
        <v>6.023534932</v>
      </c>
      <c r="E35" s="84">
        <f t="shared" si="3"/>
        <v>10.46532648</v>
      </c>
      <c r="F35" s="84">
        <f t="shared" si="4"/>
        <v>10.68388043</v>
      </c>
      <c r="G35" s="84">
        <f t="shared" si="5"/>
        <v>31.62815179</v>
      </c>
    </row>
    <row r="36" ht="15.75" customHeight="1">
      <c r="B36" s="53" t="s">
        <v>94</v>
      </c>
      <c r="C36" s="84">
        <f t="shared" si="1"/>
        <v>5.692490155</v>
      </c>
      <c r="D36" s="84">
        <f t="shared" si="2"/>
        <v>4.867494737</v>
      </c>
      <c r="E36" s="84">
        <f t="shared" si="3"/>
        <v>10.00739657</v>
      </c>
      <c r="F36" s="84">
        <f t="shared" si="4"/>
        <v>6.833039511</v>
      </c>
      <c r="G36" s="84">
        <f t="shared" si="5"/>
        <v>67.70891713</v>
      </c>
    </row>
    <row r="37" ht="15.75" customHeight="1">
      <c r="B37" s="53" t="s">
        <v>95</v>
      </c>
      <c r="C37" s="84">
        <f t="shared" si="1"/>
        <v>14.46245554</v>
      </c>
      <c r="D37" s="84">
        <f t="shared" si="2"/>
        <v>9.005104628</v>
      </c>
      <c r="E37" s="84">
        <f t="shared" si="3"/>
        <v>3.741760737</v>
      </c>
      <c r="F37" s="84">
        <f t="shared" si="4"/>
        <v>5.030027468</v>
      </c>
      <c r="G37" s="84">
        <f t="shared" si="5"/>
        <v>65.55861854</v>
      </c>
    </row>
    <row r="38" ht="15.75" customHeight="1">
      <c r="B38" s="53" t="s">
        <v>97</v>
      </c>
      <c r="C38" s="84">
        <f t="shared" si="1"/>
        <v>9.437940469</v>
      </c>
      <c r="D38" s="84">
        <f t="shared" si="2"/>
        <v>3.955228116</v>
      </c>
      <c r="E38" s="84">
        <f t="shared" si="3"/>
        <v>8.362858725</v>
      </c>
      <c r="F38" s="84">
        <f t="shared" si="4"/>
        <v>18.03236433</v>
      </c>
      <c r="G38" s="84">
        <f t="shared" si="5"/>
        <v>58.89880836</v>
      </c>
    </row>
    <row r="39" ht="15.75" customHeight="1">
      <c r="B39" s="53" t="s">
        <v>98</v>
      </c>
      <c r="C39" s="84">
        <f t="shared" si="1"/>
        <v>3.231963537</v>
      </c>
      <c r="D39" s="84">
        <f t="shared" si="2"/>
        <v>11.2870651</v>
      </c>
      <c r="E39" s="84">
        <f t="shared" si="3"/>
        <v>7.368687706</v>
      </c>
      <c r="F39" s="84">
        <f t="shared" si="4"/>
        <v>2.677138982</v>
      </c>
      <c r="G39" s="84">
        <f t="shared" si="5"/>
        <v>2.089484554</v>
      </c>
    </row>
    <row r="40" ht="15.75" customHeight="1">
      <c r="B40" s="49" t="s">
        <v>99</v>
      </c>
      <c r="C40" s="84">
        <f t="shared" si="1"/>
        <v>0.2059041793</v>
      </c>
      <c r="D40" s="84">
        <f t="shared" si="2"/>
        <v>0.1410068043</v>
      </c>
      <c r="E40" s="84">
        <f t="shared" si="3"/>
        <v>0.3542347216</v>
      </c>
      <c r="F40" s="84">
        <f t="shared" si="4"/>
        <v>0.5819091147</v>
      </c>
      <c r="G40" s="84">
        <f t="shared" si="5"/>
        <v>3.750481765</v>
      </c>
    </row>
    <row r="41" ht="15.75" customHeight="1">
      <c r="B41" s="49" t="s">
        <v>100</v>
      </c>
      <c r="C41" s="84">
        <f t="shared" si="1"/>
        <v>2.158638407</v>
      </c>
      <c r="D41" s="84">
        <f t="shared" si="2"/>
        <v>3.508028259</v>
      </c>
      <c r="E41" s="84">
        <f t="shared" si="3"/>
        <v>4.754385965</v>
      </c>
      <c r="F41" s="84">
        <f t="shared" si="4"/>
        <v>3.883295195</v>
      </c>
      <c r="G41" s="84">
        <f t="shared" si="5"/>
        <v>2.003344482</v>
      </c>
    </row>
    <row r="42" ht="15.75" customHeight="1"/>
    <row r="43" ht="15.75" customHeight="1"/>
    <row r="44" ht="15.75" customHeight="1"/>
    <row r="45" ht="15.75" customHeight="1">
      <c r="B45" s="49" t="s">
        <v>114</v>
      </c>
      <c r="C45" s="49" t="s">
        <v>115</v>
      </c>
      <c r="D45" s="49" t="s">
        <v>77</v>
      </c>
      <c r="E45" s="49" t="s">
        <v>81</v>
      </c>
      <c r="F45" s="49" t="s">
        <v>116</v>
      </c>
      <c r="G45" s="49" t="s">
        <v>117</v>
      </c>
    </row>
    <row r="46" ht="15.75" customHeight="1">
      <c r="B46" s="89" t="str">
        <f>B16</f>
        <v>FY 18 P / E:</v>
      </c>
      <c r="C46" s="90" t="str">
        <f t="shared" ref="C46:G46" si="6">K16</f>
        <v>#DIV/0!</v>
      </c>
      <c r="D46" s="90" t="str">
        <f t="shared" si="6"/>
        <v>#DIV/0!</v>
      </c>
      <c r="E46" s="90" t="str">
        <f t="shared" si="6"/>
        <v>#DIV/0!</v>
      </c>
      <c r="F46" s="90" t="str">
        <f t="shared" si="6"/>
        <v>#DIV/0!</v>
      </c>
      <c r="G46" s="90" t="str">
        <f t="shared" si="6"/>
        <v>#DIV/0!</v>
      </c>
      <c r="H46" s="91"/>
      <c r="I46" s="91"/>
      <c r="J46" s="91"/>
      <c r="K46" s="91"/>
      <c r="L46" s="91"/>
      <c r="M46" s="91"/>
      <c r="N46" s="91"/>
      <c r="O46" s="91"/>
    </row>
    <row r="47" ht="15.75" customHeight="1">
      <c r="B47" s="89" t="str">
        <f>B15</f>
        <v>2017 P / E:</v>
      </c>
      <c r="C47" s="90" t="str">
        <f t="shared" ref="C47:G47" si="7">K15</f>
        <v>#DIV/0!</v>
      </c>
      <c r="D47" s="90" t="str">
        <f t="shared" si="7"/>
        <v>#DIV/0!</v>
      </c>
      <c r="E47" s="90" t="str">
        <f t="shared" si="7"/>
        <v>#DIV/0!</v>
      </c>
      <c r="F47" s="90" t="str">
        <f t="shared" si="7"/>
        <v>#DIV/0!</v>
      </c>
      <c r="G47" s="90" t="str">
        <f t="shared" si="7"/>
        <v>#DIV/0!</v>
      </c>
      <c r="H47" s="91"/>
      <c r="I47" s="91"/>
      <c r="J47" s="91"/>
      <c r="K47" s="91"/>
      <c r="L47" s="91"/>
      <c r="M47" s="91"/>
      <c r="N47" s="91"/>
      <c r="O47" s="91"/>
    </row>
    <row r="48" ht="15.75" customHeight="1">
      <c r="B48" s="89" t="str">
        <f>B14</f>
        <v>2016 P / E:</v>
      </c>
      <c r="C48" s="90" t="str">
        <f t="shared" ref="C48:G48" si="8">K14</f>
        <v>#DIV/0!</v>
      </c>
      <c r="D48" s="90" t="str">
        <f t="shared" si="8"/>
        <v>#DIV/0!</v>
      </c>
      <c r="E48" s="90" t="str">
        <f t="shared" si="8"/>
        <v>#DIV/0!</v>
      </c>
      <c r="F48" s="90" t="str">
        <f t="shared" si="8"/>
        <v>#DIV/0!</v>
      </c>
      <c r="G48" s="90" t="str">
        <f t="shared" si="8"/>
        <v>#DIV/0!</v>
      </c>
      <c r="H48" s="91"/>
      <c r="I48" s="91"/>
      <c r="J48" s="91"/>
      <c r="K48" s="91"/>
      <c r="L48" s="91"/>
      <c r="M48" s="91"/>
      <c r="N48" s="91"/>
      <c r="O48" s="91"/>
    </row>
    <row r="49" ht="15.75" customHeight="1">
      <c r="B49" s="89" t="str">
        <f>B13</f>
        <v>FY 18 EV / EBITDA:</v>
      </c>
      <c r="C49" s="90" t="str">
        <f t="shared" ref="C49:G49" si="9">K13</f>
        <v>#DIV/0!</v>
      </c>
      <c r="D49" s="90" t="str">
        <f t="shared" si="9"/>
        <v>#DIV/0!</v>
      </c>
      <c r="E49" s="90" t="str">
        <f t="shared" si="9"/>
        <v>#DIV/0!</v>
      </c>
      <c r="F49" s="90" t="str">
        <f t="shared" si="9"/>
        <v>#DIV/0!</v>
      </c>
      <c r="G49" s="90" t="str">
        <f t="shared" si="9"/>
        <v>#DIV/0!</v>
      </c>
      <c r="H49" s="91"/>
      <c r="I49" s="91"/>
      <c r="J49" s="91"/>
      <c r="K49" s="91"/>
      <c r="L49" s="91"/>
      <c r="M49" s="91"/>
      <c r="N49" s="91"/>
      <c r="O49" s="91"/>
    </row>
    <row r="50" ht="15.75" customHeight="1">
      <c r="B50" s="89" t="str">
        <f>B12</f>
        <v>2017 EV / EBITDA:</v>
      </c>
      <c r="C50" s="90" t="str">
        <f t="shared" ref="C50:G50" si="10">K12</f>
        <v>#DIV/0!</v>
      </c>
      <c r="D50" s="90" t="str">
        <f t="shared" si="10"/>
        <v>#DIV/0!</v>
      </c>
      <c r="E50" s="90" t="str">
        <f t="shared" si="10"/>
        <v>#DIV/0!</v>
      </c>
      <c r="F50" s="90" t="str">
        <f t="shared" si="10"/>
        <v>#DIV/0!</v>
      </c>
      <c r="G50" s="90" t="str">
        <f t="shared" si="10"/>
        <v>#DIV/0!</v>
      </c>
      <c r="H50" s="91"/>
      <c r="I50" s="91"/>
      <c r="J50" s="91"/>
      <c r="K50" s="91"/>
      <c r="L50" s="91"/>
      <c r="M50" s="91"/>
      <c r="N50" s="91"/>
      <c r="O50" s="91"/>
    </row>
    <row r="51" ht="15.75" customHeight="1">
      <c r="B51" s="89" t="str">
        <f>B11</f>
        <v>2016 EV / EBITDA:</v>
      </c>
      <c r="C51" s="90" t="str">
        <f t="shared" ref="C51:G51" si="11">K11</f>
        <v>#DIV/0!</v>
      </c>
      <c r="D51" s="90" t="str">
        <f t="shared" si="11"/>
        <v>#DIV/0!</v>
      </c>
      <c r="E51" s="90" t="str">
        <f t="shared" si="11"/>
        <v>#DIV/0!</v>
      </c>
      <c r="F51" s="90" t="str">
        <f t="shared" si="11"/>
        <v>#DIV/0!</v>
      </c>
      <c r="G51" s="90" t="str">
        <f t="shared" si="11"/>
        <v>#DIV/0!</v>
      </c>
      <c r="H51" s="91"/>
      <c r="I51" s="91"/>
      <c r="J51" s="91"/>
      <c r="K51" s="91"/>
      <c r="L51" s="91"/>
      <c r="M51" s="91"/>
      <c r="N51" s="91"/>
      <c r="O51" s="91"/>
    </row>
    <row r="52" ht="15.75" customHeight="1">
      <c r="B52" s="89" t="str">
        <f>B10</f>
        <v>FY 18 EV / Revenue:</v>
      </c>
      <c r="C52" s="90" t="str">
        <f t="shared" ref="C52:G52" si="12">K10</f>
        <v>#DIV/0!</v>
      </c>
      <c r="D52" s="90" t="str">
        <f t="shared" si="12"/>
        <v>#DIV/0!</v>
      </c>
      <c r="E52" s="90" t="str">
        <f t="shared" si="12"/>
        <v>#DIV/0!</v>
      </c>
      <c r="F52" s="90" t="str">
        <f t="shared" si="12"/>
        <v>#DIV/0!</v>
      </c>
      <c r="G52" s="90" t="str">
        <f t="shared" si="12"/>
        <v>#DIV/0!</v>
      </c>
      <c r="H52" s="91"/>
      <c r="I52" s="91"/>
      <c r="J52" s="91"/>
      <c r="K52" s="91"/>
      <c r="L52" s="91"/>
      <c r="M52" s="91"/>
      <c r="N52" s="91"/>
      <c r="O52" s="91"/>
    </row>
    <row r="53" ht="15.75" customHeight="1">
      <c r="B53" s="89" t="str">
        <f>B9</f>
        <v>2017 EV / Revenue:</v>
      </c>
      <c r="C53" s="90" t="str">
        <f t="shared" ref="C53:G53" si="13">K9</f>
        <v>#DIV/0!</v>
      </c>
      <c r="D53" s="90" t="str">
        <f t="shared" si="13"/>
        <v>#DIV/0!</v>
      </c>
      <c r="E53" s="90" t="str">
        <f t="shared" si="13"/>
        <v>#DIV/0!</v>
      </c>
      <c r="F53" s="90" t="str">
        <f t="shared" si="13"/>
        <v>#DIV/0!</v>
      </c>
      <c r="G53" s="90" t="str">
        <f t="shared" si="13"/>
        <v>#DIV/0!</v>
      </c>
      <c r="H53" s="91"/>
      <c r="I53" s="91"/>
      <c r="J53" s="91"/>
      <c r="K53" s="91"/>
      <c r="L53" s="91"/>
      <c r="M53" s="91"/>
      <c r="N53" s="91"/>
      <c r="O53" s="91"/>
    </row>
    <row r="54" ht="15.75" customHeight="1">
      <c r="B54" s="89" t="str">
        <f>B8</f>
        <v>2016 EV / Revenue:</v>
      </c>
      <c r="C54" s="90" t="str">
        <f t="shared" ref="C54:G54" si="14">K8</f>
        <v>#DIV/0!</v>
      </c>
      <c r="D54" s="90" t="str">
        <f t="shared" si="14"/>
        <v>#DIV/0!</v>
      </c>
      <c r="E54" s="90" t="str">
        <f t="shared" si="14"/>
        <v>#DIV/0!</v>
      </c>
      <c r="F54" s="90" t="str">
        <f t="shared" si="14"/>
        <v>#DIV/0!</v>
      </c>
      <c r="G54" s="90" t="str">
        <f t="shared" si="14"/>
        <v>#DIV/0!</v>
      </c>
      <c r="H54" s="91"/>
      <c r="I54" s="91"/>
      <c r="J54" s="91"/>
      <c r="K54" s="91"/>
      <c r="L54" s="91"/>
      <c r="M54" s="91"/>
      <c r="N54" s="91"/>
      <c r="O54" s="91"/>
    </row>
    <row r="55" ht="15.75" customHeight="1"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</row>
    <row r="56" ht="15.75" customHeight="1">
      <c r="B56" s="49" t="s">
        <v>114</v>
      </c>
      <c r="C56" s="49" t="s">
        <v>102</v>
      </c>
      <c r="D56" s="49" t="s">
        <v>103</v>
      </c>
      <c r="E56" s="49" t="s">
        <v>104</v>
      </c>
      <c r="F56" s="49" t="s">
        <v>105</v>
      </c>
      <c r="G56" s="49" t="s">
        <v>106</v>
      </c>
      <c r="H56" s="97"/>
      <c r="I56" s="97"/>
      <c r="J56" s="97"/>
      <c r="K56" s="97"/>
      <c r="L56" s="97"/>
      <c r="M56" s="97"/>
      <c r="N56" s="97"/>
      <c r="O56" s="97"/>
    </row>
    <row r="57" ht="15.75" customHeight="1">
      <c r="B57" s="89" t="str">
        <f t="shared" ref="B57:C57" si="15">B46</f>
        <v>FY 18 P / E:</v>
      </c>
      <c r="C57" s="90" t="str">
        <f t="shared" si="15"/>
        <v>#DIV/0!</v>
      </c>
      <c r="D57" s="91" t="str">
        <f t="shared" ref="D57:G57" si="16">D46-C46</f>
        <v>#DIV/0!</v>
      </c>
      <c r="E57" s="91" t="str">
        <f t="shared" si="16"/>
        <v>#DIV/0!</v>
      </c>
      <c r="F57" s="91" t="str">
        <f t="shared" si="16"/>
        <v>#DIV/0!</v>
      </c>
      <c r="G57" s="91" t="str">
        <f t="shared" si="16"/>
        <v>#DIV/0!</v>
      </c>
    </row>
    <row r="58" ht="15.75" customHeight="1">
      <c r="B58" s="89" t="str">
        <f t="shared" ref="B58:C58" si="17">B47</f>
        <v>2017 P / E:</v>
      </c>
      <c r="C58" s="90" t="str">
        <f t="shared" si="17"/>
        <v>#DIV/0!</v>
      </c>
      <c r="D58" s="91" t="str">
        <f t="shared" ref="D58:G58" si="18">D47-C47</f>
        <v>#DIV/0!</v>
      </c>
      <c r="E58" s="91" t="str">
        <f t="shared" si="18"/>
        <v>#DIV/0!</v>
      </c>
      <c r="F58" s="91" t="str">
        <f t="shared" si="18"/>
        <v>#DIV/0!</v>
      </c>
      <c r="G58" s="91" t="str">
        <f t="shared" si="18"/>
        <v>#DIV/0!</v>
      </c>
    </row>
    <row r="59" ht="15.75" customHeight="1">
      <c r="B59" s="89" t="str">
        <f t="shared" ref="B59:C59" si="19">B48</f>
        <v>2016 P / E:</v>
      </c>
      <c r="C59" s="90" t="str">
        <f t="shared" si="19"/>
        <v>#DIV/0!</v>
      </c>
      <c r="D59" s="91" t="str">
        <f t="shared" ref="D59:G59" si="20">D48-C48</f>
        <v>#DIV/0!</v>
      </c>
      <c r="E59" s="91" t="str">
        <f t="shared" si="20"/>
        <v>#DIV/0!</v>
      </c>
      <c r="F59" s="91" t="str">
        <f t="shared" si="20"/>
        <v>#DIV/0!</v>
      </c>
      <c r="G59" s="91" t="str">
        <f t="shared" si="20"/>
        <v>#DIV/0!</v>
      </c>
    </row>
    <row r="60" ht="15.75" customHeight="1">
      <c r="B60" s="89" t="str">
        <f t="shared" ref="B60:C60" si="21">B49</f>
        <v>FY 18 EV / EBITDA:</v>
      </c>
      <c r="C60" s="90" t="str">
        <f t="shared" si="21"/>
        <v>#DIV/0!</v>
      </c>
      <c r="D60" s="91" t="str">
        <f t="shared" ref="D60:G60" si="22">D49-C49</f>
        <v>#DIV/0!</v>
      </c>
      <c r="E60" s="91" t="str">
        <f t="shared" si="22"/>
        <v>#DIV/0!</v>
      </c>
      <c r="F60" s="91" t="str">
        <f t="shared" si="22"/>
        <v>#DIV/0!</v>
      </c>
      <c r="G60" s="91" t="str">
        <f t="shared" si="22"/>
        <v>#DIV/0!</v>
      </c>
    </row>
    <row r="61" ht="15.75" customHeight="1">
      <c r="B61" s="89" t="str">
        <f t="shared" ref="B61:C61" si="23">B50</f>
        <v>2017 EV / EBITDA:</v>
      </c>
      <c r="C61" s="90" t="str">
        <f t="shared" si="23"/>
        <v>#DIV/0!</v>
      </c>
      <c r="D61" s="91" t="str">
        <f t="shared" ref="D61:G61" si="24">D50-C50</f>
        <v>#DIV/0!</v>
      </c>
      <c r="E61" s="91" t="str">
        <f t="shared" si="24"/>
        <v>#DIV/0!</v>
      </c>
      <c r="F61" s="91" t="str">
        <f t="shared" si="24"/>
        <v>#DIV/0!</v>
      </c>
      <c r="G61" s="91" t="str">
        <f t="shared" si="24"/>
        <v>#DIV/0!</v>
      </c>
    </row>
    <row r="62" ht="15.75" customHeight="1">
      <c r="B62" s="89" t="str">
        <f t="shared" ref="B62:C62" si="25">B51</f>
        <v>2016 EV / EBITDA:</v>
      </c>
      <c r="C62" s="90" t="str">
        <f t="shared" si="25"/>
        <v>#DIV/0!</v>
      </c>
      <c r="D62" s="91" t="str">
        <f t="shared" ref="D62:G62" si="26">D51-C51</f>
        <v>#DIV/0!</v>
      </c>
      <c r="E62" s="91" t="str">
        <f t="shared" si="26"/>
        <v>#DIV/0!</v>
      </c>
      <c r="F62" s="91" t="str">
        <f t="shared" si="26"/>
        <v>#DIV/0!</v>
      </c>
      <c r="G62" s="91" t="str">
        <f t="shared" si="26"/>
        <v>#DIV/0!</v>
      </c>
    </row>
    <row r="63" ht="15.75" customHeight="1">
      <c r="B63" s="89" t="str">
        <f t="shared" ref="B63:C63" si="27">B52</f>
        <v>FY 18 EV / Revenue:</v>
      </c>
      <c r="C63" s="90" t="str">
        <f t="shared" si="27"/>
        <v>#DIV/0!</v>
      </c>
      <c r="D63" s="91" t="str">
        <f t="shared" ref="D63:G63" si="28">D52-C52</f>
        <v>#DIV/0!</v>
      </c>
      <c r="E63" s="91" t="str">
        <f t="shared" si="28"/>
        <v>#DIV/0!</v>
      </c>
      <c r="F63" s="91" t="str">
        <f t="shared" si="28"/>
        <v>#DIV/0!</v>
      </c>
      <c r="G63" s="91" t="str">
        <f t="shared" si="28"/>
        <v>#DIV/0!</v>
      </c>
    </row>
    <row r="64" ht="15.75" customHeight="1">
      <c r="B64" s="89" t="str">
        <f t="shared" ref="B64:C64" si="29">B53</f>
        <v>2017 EV / Revenue:</v>
      </c>
      <c r="C64" s="90" t="str">
        <f t="shared" si="29"/>
        <v>#DIV/0!</v>
      </c>
      <c r="D64" s="91" t="str">
        <f t="shared" ref="D64:G64" si="30">D53-C53</f>
        <v>#DIV/0!</v>
      </c>
      <c r="E64" s="91" t="str">
        <f t="shared" si="30"/>
        <v>#DIV/0!</v>
      </c>
      <c r="F64" s="91" t="str">
        <f t="shared" si="30"/>
        <v>#DIV/0!</v>
      </c>
      <c r="G64" s="91" t="str">
        <f t="shared" si="30"/>
        <v>#DIV/0!</v>
      </c>
    </row>
    <row r="65" ht="15.75" customHeight="1">
      <c r="B65" s="89" t="str">
        <f t="shared" ref="B65:C65" si="31">B54</f>
        <v>2016 EV / Revenue:</v>
      </c>
      <c r="C65" s="90" t="str">
        <f t="shared" si="31"/>
        <v>#DIV/0!</v>
      </c>
      <c r="D65" s="91" t="str">
        <f t="shared" ref="D65:G65" si="32">D54-C54</f>
        <v>#DIV/0!</v>
      </c>
      <c r="E65" s="91" t="str">
        <f t="shared" si="32"/>
        <v>#DIV/0!</v>
      </c>
      <c r="F65" s="91" t="str">
        <f t="shared" si="32"/>
        <v>#DIV/0!</v>
      </c>
      <c r="G65" s="91" t="str">
        <f t="shared" si="32"/>
        <v>#DIV/0!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2:O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2020-01-03T13:28:54Z</dcterms:created>
  <dc:creator>Lenovo</dc:creator>
</cp:coreProperties>
</file>