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CF" sheetId="1" r:id="rId3"/>
    <sheet state="visible" name="WACC" sheetId="2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71">
      <text>
        <t xml:space="preserve">Usuario:
It depends on which multiple you use, my recommendation is that you use EV/EBITDA
</t>
      </text>
    </comment>
    <comment authorId="0" ref="G71">
      <text>
        <t xml:space="preserve">Usuario:
This value should be something around Long-Term GDP Growth 
of the country
</t>
      </text>
    </comment>
    <comment authorId="0" ref="B74">
      <text>
        <t xml:space="preserve">Usuario:
Take into account which is the Period you need to discount it for! </t>
      </text>
    </comment>
  </commentList>
</comments>
</file>

<file path=xl/sharedStrings.xml><?xml version="1.0" encoding="utf-8"?>
<sst xmlns="http://schemas.openxmlformats.org/spreadsheetml/2006/main" count="167" uniqueCount="110">
  <si>
    <t>Historical Data</t>
  </si>
  <si>
    <t>Projected Data</t>
  </si>
  <si>
    <t>Revenue and Expense Projections</t>
  </si>
  <si>
    <t>Units</t>
  </si>
  <si>
    <t>FY 12</t>
  </si>
  <si>
    <t>FY 14</t>
  </si>
  <si>
    <t>FY 15</t>
  </si>
  <si>
    <t>FY 16</t>
  </si>
  <si>
    <t>FY 17</t>
  </si>
  <si>
    <t>FY 18</t>
  </si>
  <si>
    <t>FY 19</t>
  </si>
  <si>
    <t>FY 20</t>
  </si>
  <si>
    <t>FY 21</t>
  </si>
  <si>
    <t>FY 22</t>
  </si>
  <si>
    <t>FY 23</t>
  </si>
  <si>
    <t>FY 24</t>
  </si>
  <si>
    <t>FY 25</t>
  </si>
  <si>
    <t>FY 26</t>
  </si>
  <si>
    <t>FY 27</t>
  </si>
  <si>
    <t>FY 28</t>
  </si>
  <si>
    <t>FY 29</t>
  </si>
  <si>
    <t>Revenue</t>
  </si>
  <si>
    <t>$ M</t>
  </si>
  <si>
    <t>Annual Growth Rate</t>
  </si>
  <si>
    <t>%</t>
  </si>
  <si>
    <t>Cost of Goods Sold % Revenue</t>
  </si>
  <si>
    <t>SG&amp;A Expenses</t>
  </si>
  <si>
    <t>R&amp;D Expenses % Revenue</t>
  </si>
  <si>
    <t>Depreciation and Amortization</t>
  </si>
  <si>
    <t xml:space="preserve">$ M </t>
  </si>
  <si>
    <t>Change in WC % Revenue</t>
  </si>
  <si>
    <t>Capex % Revenue</t>
  </si>
  <si>
    <t>(160.00)</t>
  </si>
  <si>
    <t>(87.00)</t>
  </si>
  <si>
    <t>(118.00)</t>
  </si>
  <si>
    <t>(120.00)</t>
  </si>
  <si>
    <t>(129.00)</t>
  </si>
  <si>
    <t>Unlevered Free Cash Flow Projections</t>
  </si>
  <si>
    <t>Cost of Goods Sold</t>
  </si>
  <si>
    <t>Gross Profit</t>
  </si>
  <si>
    <t>Gross Margin</t>
  </si>
  <si>
    <t xml:space="preserve">Operating Expenses </t>
  </si>
  <si>
    <t>(+) SG&amp;A Expenses</t>
  </si>
  <si>
    <t>(+) R&amp;D Expenses</t>
  </si>
  <si>
    <t>Total Operating Expenses</t>
  </si>
  <si>
    <t>Operating Income (EBIT)</t>
  </si>
  <si>
    <t>Operating Margin</t>
  </si>
  <si>
    <t>(-) Taxes, Excluding Interest Effect</t>
  </si>
  <si>
    <t>Assumed 33% taxes</t>
  </si>
  <si>
    <t>Net Operating Profit After Tax (NOPAT)</t>
  </si>
  <si>
    <t>Adjustment for Non-Cash Charges (For simplicity, we'll assume just D&amp;A):</t>
  </si>
  <si>
    <t>(+) Depreciation and Amortization</t>
  </si>
  <si>
    <t>(+/-) Change in WC (Op. Assets - Op. Liabilities)</t>
  </si>
  <si>
    <t>(-) Capital Expenditures (CAPEX)</t>
  </si>
  <si>
    <t>Annual Unlevered Free Cash Flow</t>
  </si>
  <si>
    <t>Growth</t>
  </si>
  <si>
    <t>Discount Period (Year)</t>
  </si>
  <si>
    <t>Discount Rate (WACC)</t>
  </si>
  <si>
    <t>PV of Unlevered Free Cash Flow</t>
  </si>
  <si>
    <t xml:space="preserve"> </t>
  </si>
  <si>
    <t>Terminal Value - Multiples Method</t>
  </si>
  <si>
    <t>Terminal Value - Gordon (Perpetuity) Growth Method</t>
  </si>
  <si>
    <t>Terminal Multiple:</t>
  </si>
  <si>
    <t>Baseline Terminal FCF Growth Rate:</t>
  </si>
  <si>
    <t>Terminal Value:</t>
  </si>
  <si>
    <t>PV of Terminal Value:</t>
  </si>
  <si>
    <t>Sum of PV of FCF:</t>
  </si>
  <si>
    <t>Implied EV:</t>
  </si>
  <si>
    <t>% of Implied EV from Terminal Value:</t>
  </si>
  <si>
    <t>(+) Cash &amp; Equivalents</t>
  </si>
  <si>
    <t>(+) Equity Investments</t>
  </si>
  <si>
    <t>(+) Other Non-Core Assets, Net</t>
  </si>
  <si>
    <t>(-) Total Debt</t>
  </si>
  <si>
    <t>(-) Preferred Stock</t>
  </si>
  <si>
    <t>(-) Non-controlling Interests</t>
  </si>
  <si>
    <t>Implied Equity Value:</t>
  </si>
  <si>
    <t>Diluted Shares Outstanding:</t>
  </si>
  <si>
    <t>Implied Share Price:</t>
  </si>
  <si>
    <t>Current Share Price:</t>
  </si>
  <si>
    <t>24.23</t>
  </si>
  <si>
    <t>Premium/(Discount) to Current:</t>
  </si>
  <si>
    <t>Discount Rate Calculations Assumptions</t>
  </si>
  <si>
    <t>Risk-Free Rate:</t>
  </si>
  <si>
    <t>Equity Risk Premium:</t>
  </si>
  <si>
    <t>Pre-Tax Cost of Debt:</t>
  </si>
  <si>
    <t>Cost of Preferred Stock:</t>
  </si>
  <si>
    <t>Comparable Companies Calculation - Unlevered Beta</t>
  </si>
  <si>
    <t>Name</t>
  </si>
  <si>
    <t>Levered Beta</t>
  </si>
  <si>
    <t>Debt</t>
  </si>
  <si>
    <t>% Debt</t>
  </si>
  <si>
    <t>Preferred Stock</t>
  </si>
  <si>
    <t>% Pr. Stock</t>
  </si>
  <si>
    <t>Equity</t>
  </si>
  <si>
    <t>%Equity</t>
  </si>
  <si>
    <t>Tax Rate</t>
  </si>
  <si>
    <t>Unlevered Beta</t>
  </si>
  <si>
    <t>Median</t>
  </si>
  <si>
    <t>(Your Company)</t>
  </si>
  <si>
    <t>(Your Company) WACC and Levered Beta Calculation</t>
  </si>
  <si>
    <t>Unleverd Beta</t>
  </si>
  <si>
    <t>Current Capital Structure</t>
  </si>
  <si>
    <t>Optimal Capital Structure</t>
  </si>
  <si>
    <t>Cost of Equity, Current Capital Structure:</t>
  </si>
  <si>
    <t>Cost of Equity, Optimal Capital Structure:</t>
  </si>
  <si>
    <t>Cost of Equity, based on Historical Beta:</t>
  </si>
  <si>
    <t>WACC Current Capital Structure:</t>
  </si>
  <si>
    <t>WACC Optimal Capital Structure:</t>
  </si>
  <si>
    <t>WACC, Current Capital Structure and Historical Beta:</t>
  </si>
  <si>
    <t>Average WACC produced by all methods: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</si>
</sst>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"/>
    <numFmt numFmtId="165" formatCode="0.000"/>
  </numFmts>
  <fonts count="10">
    <font>
      <sz val="11.0"/>
      <color rgb="FF000000"/>
      <name val="Calibri"/>
    </font>
    <font>
      <b/>
      <sz val="11.0"/>
      <color rgb="FFFFFFFF"/>
      <name val="Calibri"/>
    </font>
    <font>
      <b/>
      <sz val="11.0"/>
      <color rgb="FF000000"/>
      <name val="Calibri"/>
    </font>
    <font>
      <i/>
      <sz val="11.0"/>
      <color rgb="FF000000"/>
      <name val="Calibri"/>
    </font>
    <font>
      <sz val="11.0"/>
      <color rgb="FF313132"/>
      <name val="Knowledge-medium"/>
    </font>
    <font>
      <sz val="11.0"/>
      <color rgb="FF000000"/>
      <name val="Knowledge-medium"/>
    </font>
    <font>
      <sz val="12.0"/>
      <color rgb="FF000000"/>
      <name val="Times"/>
    </font>
    <font/>
    <font>
      <sz val="11.0"/>
      <color rgb="FFFFFFFF"/>
      <name val="Calibri"/>
    </font>
    <font>
      <sz val="12.0"/>
      <color rgb="FF000000"/>
      <name val="Times New Roman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44546A"/>
        <bgColor rgb="FF44546A"/>
      </patternFill>
    </fill>
    <fill>
      <patternFill patternType="solid">
        <fgColor rgb="FF4472C4"/>
        <bgColor rgb="FF4472C4"/>
      </patternFill>
    </fill>
  </fills>
  <borders count="10">
    <border/>
    <border>
      <left/>
      <right/>
      <top/>
      <bottom/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/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2" fontId="0" numFmtId="0" xfId="0" applyBorder="1" applyFill="1" applyFont="1"/>
    <xf borderId="1" fillId="3" fontId="0" numFmtId="0" xfId="0" applyBorder="1" applyFill="1" applyFont="1"/>
    <xf borderId="2" fillId="3" fontId="0" numFmtId="0" xfId="0" applyBorder="1" applyFont="1"/>
    <xf borderId="2" fillId="3" fontId="1" numFmtId="0" xfId="0" applyBorder="1" applyFont="1"/>
    <xf borderId="3" fillId="3" fontId="0" numFmtId="0" xfId="0" applyBorder="1" applyFont="1"/>
    <xf borderId="1" fillId="3" fontId="1" numFmtId="0" xfId="0" applyBorder="1" applyFont="1"/>
    <xf borderId="1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/>
    </xf>
    <xf borderId="1" fillId="0" fontId="0" numFmtId="0" xfId="0" applyBorder="1" applyFont="1"/>
    <xf borderId="1" fillId="0" fontId="2" numFmtId="0" xfId="0" applyAlignment="1" applyBorder="1" applyFont="1">
      <alignment horizontal="left"/>
    </xf>
    <xf borderId="1" fillId="0" fontId="0" numFmtId="0" xfId="0" applyAlignment="1" applyBorder="1" applyFont="1">
      <alignment horizontal="center"/>
    </xf>
    <xf borderId="1" fillId="0" fontId="0" numFmtId="2" xfId="0" applyAlignment="1" applyBorder="1" applyFont="1" applyNumberFormat="1">
      <alignment readingOrder="0"/>
    </xf>
    <xf borderId="1" fillId="0" fontId="0" numFmtId="2" xfId="0" applyBorder="1" applyFont="1" applyNumberFormat="1"/>
    <xf borderId="1" fillId="0" fontId="3" numFmtId="0" xfId="0" applyAlignment="1" applyBorder="1" applyFont="1">
      <alignment horizontal="left"/>
    </xf>
    <xf borderId="1" fillId="0" fontId="0" numFmtId="10" xfId="0" applyBorder="1" applyFont="1" applyNumberFormat="1"/>
    <xf borderId="1" fillId="0" fontId="0" numFmtId="10" xfId="0" applyAlignment="1" applyBorder="1" applyFont="1" applyNumberFormat="1">
      <alignment readingOrder="0"/>
    </xf>
    <xf borderId="1" fillId="2" fontId="3" numFmtId="0" xfId="0" applyAlignment="1" applyBorder="1" applyFont="1">
      <alignment horizontal="left"/>
    </xf>
    <xf borderId="1" fillId="2" fontId="0" numFmtId="0" xfId="0" applyAlignment="1" applyBorder="1" applyFont="1">
      <alignment horizontal="center"/>
    </xf>
    <xf borderId="1" fillId="0" fontId="0" numFmtId="2" xfId="0" applyAlignment="1" applyBorder="1" applyFont="1" applyNumberFormat="1">
      <alignment textRotation="0"/>
    </xf>
    <xf borderId="1" fillId="2" fontId="0" numFmtId="2" xfId="0" applyBorder="1" applyFont="1" applyNumberFormat="1"/>
    <xf borderId="1" fillId="0" fontId="2" numFmtId="0" xfId="0" applyBorder="1" applyFont="1"/>
    <xf borderId="1" fillId="2" fontId="0" numFmtId="0" xfId="0" applyAlignment="1" applyBorder="1" applyFont="1">
      <alignment readingOrder="0"/>
    </xf>
    <xf borderId="1" fillId="0" fontId="0" numFmtId="9" xfId="0" applyAlignment="1" applyBorder="1" applyFont="1" applyNumberFormat="1">
      <alignment readingOrder="0"/>
    </xf>
    <xf borderId="0" fillId="0" fontId="4" numFmtId="0" xfId="0" applyAlignment="1" applyFont="1">
      <alignment horizontal="right" readingOrder="0"/>
    </xf>
    <xf borderId="0" fillId="0" fontId="5" numFmtId="0" xfId="0" applyAlignment="1" applyFont="1">
      <alignment horizontal="right"/>
    </xf>
    <xf borderId="1" fillId="2" fontId="2" numFmtId="0" xfId="0" applyBorder="1" applyFont="1"/>
    <xf borderId="0" fillId="0" fontId="6" numFmtId="0" xfId="0" applyFont="1"/>
    <xf borderId="1" fillId="0" fontId="1" numFmtId="0" xfId="0" applyAlignment="1" applyBorder="1" applyFont="1">
      <alignment horizontal="center"/>
    </xf>
    <xf borderId="1" fillId="2" fontId="2" numFmtId="0" xfId="0" applyAlignment="1" applyBorder="1" applyFont="1">
      <alignment horizontal="left"/>
    </xf>
    <xf borderId="1" fillId="2" fontId="0" numFmtId="10" xfId="0" applyBorder="1" applyFont="1" applyNumberFormat="1"/>
    <xf borderId="5" fillId="2" fontId="2" numFmtId="0" xfId="0" applyBorder="1" applyFont="1"/>
    <xf borderId="5" fillId="2" fontId="0" numFmtId="0" xfId="0" applyBorder="1" applyFont="1"/>
    <xf borderId="5" fillId="2" fontId="0" numFmtId="0" xfId="0" applyAlignment="1" applyBorder="1" applyFont="1">
      <alignment horizontal="center"/>
    </xf>
    <xf borderId="5" fillId="2" fontId="0" numFmtId="2" xfId="0" applyBorder="1" applyFont="1" applyNumberFormat="1"/>
    <xf borderId="0" fillId="0" fontId="7" numFmtId="0" xfId="0" applyAlignment="1" applyFont="1">
      <alignment readingOrder="0"/>
    </xf>
    <xf borderId="1" fillId="2" fontId="0" numFmtId="164" xfId="0" applyBorder="1" applyFont="1" applyNumberFormat="1"/>
    <xf borderId="1" fillId="2" fontId="0" numFmtId="0" xfId="0" applyAlignment="1" applyBorder="1" applyFont="1">
      <alignment horizontal="center" readingOrder="0"/>
    </xf>
    <xf borderId="1" fillId="4" fontId="2" numFmtId="0" xfId="0" applyBorder="1" applyFill="1" applyFont="1"/>
    <xf borderId="1" fillId="4" fontId="0" numFmtId="0" xfId="0" applyBorder="1" applyFont="1"/>
    <xf borderId="1" fillId="4" fontId="0" numFmtId="0" xfId="0" applyAlignment="1" applyBorder="1" applyFont="1">
      <alignment horizontal="center"/>
    </xf>
    <xf borderId="1" fillId="4" fontId="8" numFmtId="2" xfId="0" applyBorder="1" applyFont="1" applyNumberFormat="1"/>
    <xf borderId="1" fillId="4" fontId="8" numFmtId="0" xfId="0" applyBorder="1" applyFont="1"/>
    <xf borderId="0" fillId="0" fontId="9" numFmtId="10" xfId="0" applyAlignment="1" applyFont="1" applyNumberFormat="1">
      <alignment readingOrder="0"/>
    </xf>
    <xf borderId="1" fillId="2" fontId="0" numFmtId="165" xfId="0" applyBorder="1" applyFont="1" applyNumberFormat="1"/>
    <xf borderId="6" fillId="2" fontId="2" numFmtId="0" xfId="0" applyBorder="1" applyFont="1"/>
    <xf borderId="7" fillId="2" fontId="0" numFmtId="0" xfId="0" applyBorder="1" applyFont="1"/>
    <xf borderId="8" fillId="2" fontId="0" numFmtId="0" xfId="0" applyBorder="1" applyFont="1"/>
    <xf borderId="9" fillId="2" fontId="0" numFmtId="0" xfId="0" applyBorder="1" applyFont="1"/>
    <xf borderId="1" fillId="4" fontId="1" numFmtId="0" xfId="0" applyBorder="1" applyFont="1"/>
    <xf borderId="1" fillId="4" fontId="8" numFmtId="0" xfId="0" applyAlignment="1" applyBorder="1" applyFont="1">
      <alignment horizontal="center"/>
    </xf>
    <xf borderId="1" fillId="4" fontId="8" numFmtId="0" xfId="0" applyAlignment="1" applyBorder="1" applyFont="1">
      <alignment horizontal="center" readingOrder="0"/>
    </xf>
    <xf borderId="1" fillId="4" fontId="1" numFmtId="0" xfId="0" applyAlignment="1" applyBorder="1" applyFont="1">
      <alignment horizontal="center"/>
    </xf>
    <xf borderId="1" fillId="4" fontId="1" numFmtId="0" xfId="0" applyAlignment="1" applyBorder="1" applyFont="1">
      <alignment horizontal="left"/>
    </xf>
    <xf borderId="6" fillId="4" fontId="1" numFmtId="0" xfId="0" applyAlignment="1" applyBorder="1" applyFont="1">
      <alignment horizontal="center"/>
    </xf>
    <xf borderId="7" fillId="4" fontId="0" numFmtId="0" xfId="0" applyBorder="1" applyFont="1"/>
    <xf borderId="8" fillId="4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2.14"/>
    <col customWidth="1" min="5" max="18" width="11.43"/>
    <col customWidth="1" min="19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/>
      <c r="C3" s="2"/>
      <c r="D3" s="2"/>
      <c r="E3" s="2"/>
      <c r="F3" s="3"/>
      <c r="G3" s="3"/>
      <c r="H3" s="4" t="s">
        <v>0</v>
      </c>
      <c r="I3" s="3"/>
      <c r="J3" s="5"/>
      <c r="K3" s="3"/>
      <c r="L3" s="3"/>
      <c r="M3" s="4" t="s">
        <v>1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1"/>
      <c r="Z3" s="1"/>
    </row>
    <row r="4">
      <c r="A4" s="1"/>
      <c r="B4" s="6" t="s">
        <v>2</v>
      </c>
      <c r="C4" s="2"/>
      <c r="D4" s="2"/>
      <c r="E4" s="7" t="s">
        <v>3</v>
      </c>
      <c r="F4" s="7" t="s">
        <v>4</v>
      </c>
      <c r="G4" s="7" t="s">
        <v>5</v>
      </c>
      <c r="H4" s="7" t="s">
        <v>6</v>
      </c>
      <c r="I4" s="7" t="s">
        <v>7</v>
      </c>
      <c r="J4" s="8" t="s">
        <v>8</v>
      </c>
      <c r="K4" s="7" t="s">
        <v>9</v>
      </c>
      <c r="L4" s="7" t="s">
        <v>10</v>
      </c>
      <c r="M4" s="7" t="s">
        <v>11</v>
      </c>
      <c r="N4" s="7" t="s">
        <v>12</v>
      </c>
      <c r="O4" s="7" t="s">
        <v>13</v>
      </c>
      <c r="P4" s="7" t="s">
        <v>14</v>
      </c>
      <c r="Q4" s="7" t="s">
        <v>15</v>
      </c>
      <c r="R4" s="7" t="s">
        <v>16</v>
      </c>
      <c r="S4" s="7" t="s">
        <v>17</v>
      </c>
      <c r="T4" s="7" t="s">
        <v>18</v>
      </c>
      <c r="U4" s="7" t="s">
        <v>19</v>
      </c>
      <c r="V4" s="7" t="s">
        <v>20</v>
      </c>
      <c r="W4" s="7"/>
      <c r="X4" s="7"/>
      <c r="Y4" s="1"/>
      <c r="Z4" s="1"/>
    </row>
    <row r="5">
      <c r="A5" s="1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0" t="s">
        <v>21</v>
      </c>
      <c r="C6" s="11"/>
      <c r="D6" s="11"/>
      <c r="E6" s="11" t="s">
        <v>22</v>
      </c>
      <c r="F6" s="9"/>
      <c r="G6" s="12">
        <v>2732.0</v>
      </c>
      <c r="H6" s="12">
        <v>2530.0</v>
      </c>
      <c r="I6" s="12">
        <v>2322.0</v>
      </c>
      <c r="J6" s="12">
        <v>2156.0</v>
      </c>
      <c r="K6" s="12">
        <v>2164.0</v>
      </c>
      <c r="L6" s="12">
        <v>2000.0</v>
      </c>
      <c r="M6" s="13">
        <f t="shared" ref="M6:V6" si="1">L6*(1+M7)</f>
        <v>2120</v>
      </c>
      <c r="N6" s="13">
        <f t="shared" si="1"/>
        <v>2236.6</v>
      </c>
      <c r="O6" s="13">
        <f t="shared" si="1"/>
        <v>2303.698</v>
      </c>
      <c r="P6" s="13">
        <f t="shared" si="1"/>
        <v>2372.80894</v>
      </c>
      <c r="Q6" s="13">
        <f t="shared" si="1"/>
        <v>2443.993208</v>
      </c>
      <c r="R6" s="13">
        <f t="shared" si="1"/>
        <v>2517.313004</v>
      </c>
      <c r="S6" s="13">
        <f t="shared" si="1"/>
        <v>2592.832395</v>
      </c>
      <c r="T6" s="13">
        <f t="shared" si="1"/>
        <v>2670.617366</v>
      </c>
      <c r="U6" s="13">
        <f t="shared" si="1"/>
        <v>2750.735887</v>
      </c>
      <c r="V6" s="13">
        <f t="shared" si="1"/>
        <v>2833.257964</v>
      </c>
      <c r="W6" s="13"/>
      <c r="X6" s="13"/>
      <c r="Y6" s="1"/>
      <c r="Z6" s="1"/>
    </row>
    <row r="7">
      <c r="A7" s="1"/>
      <c r="B7" s="14" t="s">
        <v>23</v>
      </c>
      <c r="C7" s="11"/>
      <c r="D7" s="11"/>
      <c r="E7" s="11" t="s">
        <v>24</v>
      </c>
      <c r="F7" s="9"/>
      <c r="G7" s="15"/>
      <c r="H7" s="15">
        <f t="shared" ref="H7:K7" si="2">(H6-G6)/H6</f>
        <v>-0.07984189723</v>
      </c>
      <c r="I7" s="15">
        <f t="shared" si="2"/>
        <v>-0.08957795004</v>
      </c>
      <c r="J7" s="15">
        <f t="shared" si="2"/>
        <v>-0.07699443414</v>
      </c>
      <c r="K7" s="15">
        <f t="shared" si="2"/>
        <v>0.003696857671</v>
      </c>
      <c r="L7" s="16">
        <v>0.03</v>
      </c>
      <c r="M7" s="16">
        <v>0.06</v>
      </c>
      <c r="N7" s="16">
        <v>0.055</v>
      </c>
      <c r="O7" s="16">
        <v>0.03</v>
      </c>
      <c r="P7" s="16">
        <v>0.03</v>
      </c>
      <c r="Q7" s="16">
        <v>0.03</v>
      </c>
      <c r="R7" s="16">
        <v>0.03</v>
      </c>
      <c r="S7" s="16">
        <v>0.03</v>
      </c>
      <c r="T7" s="16">
        <v>0.03</v>
      </c>
      <c r="U7" s="16">
        <v>0.03</v>
      </c>
      <c r="V7" s="16">
        <v>0.03</v>
      </c>
      <c r="W7" s="16"/>
      <c r="X7" s="16"/>
      <c r="Y7" s="1"/>
      <c r="Z7" s="1"/>
    </row>
    <row r="8">
      <c r="A8" s="1"/>
      <c r="B8" s="11"/>
      <c r="C8" s="11"/>
      <c r="D8" s="11"/>
      <c r="E8" s="11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0" t="s">
        <v>25</v>
      </c>
      <c r="C9" s="11"/>
      <c r="D9" s="11"/>
      <c r="E9" s="11" t="s">
        <v>22</v>
      </c>
      <c r="F9" s="9"/>
      <c r="G9" s="12">
        <v>1253.0</v>
      </c>
      <c r="H9" s="12">
        <v>1254.0</v>
      </c>
      <c r="I9" s="12">
        <v>1133.0</v>
      </c>
      <c r="J9" s="12">
        <v>1132.0</v>
      </c>
      <c r="K9" s="12">
        <v>1138.0</v>
      </c>
      <c r="L9" s="13">
        <f t="shared" ref="L9:V9" si="3">K9*(1+L10)</f>
        <v>1160.76</v>
      </c>
      <c r="M9" s="13">
        <f t="shared" si="3"/>
        <v>1183.9752</v>
      </c>
      <c r="N9" s="13">
        <f t="shared" si="3"/>
        <v>1207.654704</v>
      </c>
      <c r="O9" s="13">
        <f t="shared" si="3"/>
        <v>1231.807798</v>
      </c>
      <c r="P9" s="13">
        <f t="shared" si="3"/>
        <v>1256.443954</v>
      </c>
      <c r="Q9" s="13">
        <f t="shared" si="3"/>
        <v>1281.572833</v>
      </c>
      <c r="R9" s="13">
        <f t="shared" si="3"/>
        <v>1307.20429</v>
      </c>
      <c r="S9" s="13">
        <f t="shared" si="3"/>
        <v>1333.348376</v>
      </c>
      <c r="T9" s="13">
        <f t="shared" si="3"/>
        <v>1360.015343</v>
      </c>
      <c r="U9" s="13">
        <f t="shared" si="3"/>
        <v>1387.21565</v>
      </c>
      <c r="V9" s="13">
        <f t="shared" si="3"/>
        <v>1414.959963</v>
      </c>
      <c r="W9" s="13"/>
      <c r="X9" s="13"/>
      <c r="Y9" s="1"/>
      <c r="Z9" s="1"/>
    </row>
    <row r="10">
      <c r="A10" s="1"/>
      <c r="B10" s="17" t="s">
        <v>23</v>
      </c>
      <c r="C10" s="1"/>
      <c r="D10" s="1"/>
      <c r="E10" s="18" t="s">
        <v>24</v>
      </c>
      <c r="F10" s="9"/>
      <c r="G10" s="9"/>
      <c r="H10" s="15">
        <f t="shared" ref="H10:K10" si="4">(H9-G9)/H9</f>
        <v>0.0007974481659</v>
      </c>
      <c r="I10" s="15">
        <f t="shared" si="4"/>
        <v>-0.1067961165</v>
      </c>
      <c r="J10" s="15">
        <f t="shared" si="4"/>
        <v>-0.0008833922261</v>
      </c>
      <c r="K10" s="15">
        <f t="shared" si="4"/>
        <v>0.005272407733</v>
      </c>
      <c r="L10" s="16">
        <v>0.02</v>
      </c>
      <c r="M10" s="16">
        <v>0.02</v>
      </c>
      <c r="N10" s="16">
        <v>0.02</v>
      </c>
      <c r="O10" s="16">
        <v>0.02</v>
      </c>
      <c r="P10" s="16">
        <v>0.02</v>
      </c>
      <c r="Q10" s="16">
        <v>0.02</v>
      </c>
      <c r="R10" s="16">
        <v>0.02</v>
      </c>
      <c r="S10" s="16">
        <v>0.02</v>
      </c>
      <c r="T10" s="16">
        <v>0.02</v>
      </c>
      <c r="U10" s="16">
        <v>0.02</v>
      </c>
      <c r="V10" s="16">
        <v>0.02</v>
      </c>
      <c r="W10" s="16"/>
      <c r="X10" s="16"/>
      <c r="Y10" s="1"/>
      <c r="Z10" s="1"/>
    </row>
    <row r="11">
      <c r="A11" s="1"/>
      <c r="B11" s="1"/>
      <c r="C11" s="1"/>
      <c r="D11" s="1"/>
      <c r="E11" s="1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1"/>
      <c r="C12" s="11"/>
      <c r="D12" s="11"/>
      <c r="E12" s="11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0" t="s">
        <v>26</v>
      </c>
      <c r="C13" s="11"/>
      <c r="D13" s="11"/>
      <c r="E13" s="11" t="s">
        <v>22</v>
      </c>
      <c r="F13" s="9"/>
      <c r="G13" s="12">
        <v>770.0</v>
      </c>
      <c r="H13" s="12">
        <v>765.0</v>
      </c>
      <c r="I13" s="12">
        <v>662.0</v>
      </c>
      <c r="J13" s="12">
        <v>651.0</v>
      </c>
      <c r="K13" s="12">
        <v>666.0</v>
      </c>
      <c r="L13" s="19">
        <f t="shared" ref="L13:V13" si="5">K13*(1+L14)</f>
        <v>666</v>
      </c>
      <c r="M13" s="19">
        <f t="shared" si="5"/>
        <v>666</v>
      </c>
      <c r="N13" s="19">
        <f t="shared" si="5"/>
        <v>666</v>
      </c>
      <c r="O13" s="19">
        <f t="shared" si="5"/>
        <v>666</v>
      </c>
      <c r="P13" s="19">
        <f t="shared" si="5"/>
        <v>666</v>
      </c>
      <c r="Q13" s="19">
        <f t="shared" si="5"/>
        <v>666</v>
      </c>
      <c r="R13" s="19">
        <f t="shared" si="5"/>
        <v>666</v>
      </c>
      <c r="S13" s="19">
        <f t="shared" si="5"/>
        <v>666</v>
      </c>
      <c r="T13" s="19">
        <f t="shared" si="5"/>
        <v>666</v>
      </c>
      <c r="U13" s="19">
        <f t="shared" si="5"/>
        <v>666</v>
      </c>
      <c r="V13" s="19">
        <f t="shared" si="5"/>
        <v>666</v>
      </c>
      <c r="W13" s="19"/>
      <c r="X13" s="19"/>
      <c r="Y13" s="1"/>
      <c r="Z13" s="1"/>
    </row>
    <row r="14">
      <c r="A14" s="1"/>
      <c r="B14" s="14" t="s">
        <v>23</v>
      </c>
      <c r="C14" s="11"/>
      <c r="D14" s="11"/>
      <c r="E14" s="11" t="s">
        <v>24</v>
      </c>
      <c r="F14" s="9"/>
      <c r="G14" s="9"/>
      <c r="H14" s="15">
        <f t="shared" ref="H14:K14" si="6">(H13-G13)/H13</f>
        <v>-0.006535947712</v>
      </c>
      <c r="I14" s="15">
        <f t="shared" si="6"/>
        <v>-0.1555891239</v>
      </c>
      <c r="J14" s="15">
        <f t="shared" si="6"/>
        <v>-0.01689708141</v>
      </c>
      <c r="K14" s="15">
        <f t="shared" si="6"/>
        <v>0.02252252252</v>
      </c>
      <c r="L14" s="16">
        <v>0.0</v>
      </c>
      <c r="M14" s="16">
        <v>0.0</v>
      </c>
      <c r="N14" s="16">
        <v>0.0</v>
      </c>
      <c r="O14" s="16">
        <v>0.0</v>
      </c>
      <c r="P14" s="16">
        <v>0.0</v>
      </c>
      <c r="Q14" s="16">
        <v>0.0</v>
      </c>
      <c r="R14" s="16">
        <v>0.0</v>
      </c>
      <c r="S14" s="16">
        <v>0.0</v>
      </c>
      <c r="T14" s="16">
        <v>0.0</v>
      </c>
      <c r="U14" s="16">
        <v>0.0</v>
      </c>
      <c r="V14" s="16">
        <v>0.0</v>
      </c>
      <c r="W14" s="16"/>
      <c r="X14" s="16"/>
      <c r="Y14" s="1"/>
      <c r="Z14" s="1"/>
    </row>
    <row r="15">
      <c r="A15" s="1"/>
      <c r="B15" s="11"/>
      <c r="C15" s="11"/>
      <c r="D15" s="11"/>
      <c r="E15" s="1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0" t="s">
        <v>27</v>
      </c>
      <c r="C16" s="11"/>
      <c r="D16" s="11"/>
      <c r="E16" s="11" t="s">
        <v>22</v>
      </c>
      <c r="F16" s="9"/>
      <c r="G16" s="12">
        <v>206.0</v>
      </c>
      <c r="H16" s="12">
        <v>228.0</v>
      </c>
      <c r="I16" s="12">
        <v>212.0</v>
      </c>
      <c r="J16" s="12">
        <v>305.0</v>
      </c>
      <c r="K16" s="12">
        <v>317.0</v>
      </c>
      <c r="L16" s="13">
        <f t="shared" ref="L16:V16" si="7">K16*(1+L17)</f>
        <v>313.83</v>
      </c>
      <c r="M16" s="13">
        <f t="shared" si="7"/>
        <v>310.6917</v>
      </c>
      <c r="N16" s="13">
        <f t="shared" si="7"/>
        <v>307.584783</v>
      </c>
      <c r="O16" s="13">
        <f t="shared" si="7"/>
        <v>304.5089352</v>
      </c>
      <c r="P16" s="13">
        <f t="shared" si="7"/>
        <v>301.4638458</v>
      </c>
      <c r="Q16" s="13">
        <f t="shared" si="7"/>
        <v>298.4492074</v>
      </c>
      <c r="R16" s="13">
        <f t="shared" si="7"/>
        <v>295.4647153</v>
      </c>
      <c r="S16" s="13">
        <f t="shared" si="7"/>
        <v>292.5100681</v>
      </c>
      <c r="T16" s="13">
        <f t="shared" si="7"/>
        <v>289.5849675</v>
      </c>
      <c r="U16" s="13">
        <f t="shared" si="7"/>
        <v>289.5849675</v>
      </c>
      <c r="V16" s="13">
        <f t="shared" si="7"/>
        <v>289.5849675</v>
      </c>
      <c r="W16" s="13"/>
      <c r="X16" s="13"/>
      <c r="Y16" s="1"/>
      <c r="Z16" s="1"/>
    </row>
    <row r="17">
      <c r="A17" s="1"/>
      <c r="B17" s="14" t="s">
        <v>23</v>
      </c>
      <c r="C17" s="11"/>
      <c r="D17" s="11"/>
      <c r="E17" s="11" t="s">
        <v>24</v>
      </c>
      <c r="F17" s="9"/>
      <c r="G17" s="9"/>
      <c r="H17" s="15">
        <f t="shared" ref="H17:K17" si="8">(H16-G16)/H16</f>
        <v>0.09649122807</v>
      </c>
      <c r="I17" s="15">
        <f t="shared" si="8"/>
        <v>-0.07547169811</v>
      </c>
      <c r="J17" s="15">
        <f t="shared" si="8"/>
        <v>0.3049180328</v>
      </c>
      <c r="K17" s="15">
        <f t="shared" si="8"/>
        <v>0.03785488959</v>
      </c>
      <c r="L17" s="16">
        <v>-0.01</v>
      </c>
      <c r="M17" s="16">
        <v>-0.01</v>
      </c>
      <c r="N17" s="16">
        <v>-0.01</v>
      </c>
      <c r="O17" s="16">
        <v>-0.01</v>
      </c>
      <c r="P17" s="16">
        <v>-0.01</v>
      </c>
      <c r="Q17" s="16">
        <v>-0.01</v>
      </c>
      <c r="R17" s="16">
        <v>-0.01</v>
      </c>
      <c r="S17" s="16">
        <v>-0.01</v>
      </c>
      <c r="T17" s="16">
        <v>-0.01</v>
      </c>
      <c r="U17" s="16">
        <v>0.0</v>
      </c>
      <c r="V17" s="16">
        <v>0.0</v>
      </c>
      <c r="W17" s="16"/>
      <c r="X17" s="16"/>
      <c r="Y17" s="1"/>
      <c r="Z17" s="1"/>
    </row>
    <row r="18">
      <c r="A18" s="1"/>
      <c r="B18" s="11"/>
      <c r="C18" s="11"/>
      <c r="D18" s="11"/>
      <c r="E18" s="11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0" t="s">
        <v>28</v>
      </c>
      <c r="C19" s="11"/>
      <c r="D19" s="11"/>
      <c r="E19" s="11" t="s">
        <v>29</v>
      </c>
      <c r="F19" s="9"/>
      <c r="G19" s="13"/>
      <c r="H19" s="12">
        <v>13.0</v>
      </c>
      <c r="I19" s="12">
        <v>22.0</v>
      </c>
      <c r="J19" s="12">
        <v>31.0</v>
      </c>
      <c r="K19" s="12">
        <v>12.0</v>
      </c>
      <c r="L19" s="13">
        <f t="shared" ref="L19:V19" si="9">K19*(1+L20)</f>
        <v>12.24</v>
      </c>
      <c r="M19" s="13">
        <f t="shared" si="9"/>
        <v>12.4848</v>
      </c>
      <c r="N19" s="13">
        <f t="shared" si="9"/>
        <v>12.734496</v>
      </c>
      <c r="O19" s="13">
        <f t="shared" si="9"/>
        <v>12.98918592</v>
      </c>
      <c r="P19" s="13">
        <f t="shared" si="9"/>
        <v>13.24896964</v>
      </c>
      <c r="Q19" s="13">
        <f t="shared" si="9"/>
        <v>13.51394903</v>
      </c>
      <c r="R19" s="13">
        <f t="shared" si="9"/>
        <v>13.78422801</v>
      </c>
      <c r="S19" s="13">
        <f t="shared" si="9"/>
        <v>14.05991257</v>
      </c>
      <c r="T19" s="13">
        <f t="shared" si="9"/>
        <v>14.34111082</v>
      </c>
      <c r="U19" s="13">
        <f t="shared" si="9"/>
        <v>14.62793304</v>
      </c>
      <c r="V19" s="13">
        <f t="shared" si="9"/>
        <v>14.9204917</v>
      </c>
      <c r="W19" s="13"/>
      <c r="X19" s="13"/>
      <c r="Y19" s="20"/>
      <c r="Z19" s="1"/>
    </row>
    <row r="20">
      <c r="A20" s="1"/>
      <c r="B20" s="14" t="s">
        <v>23</v>
      </c>
      <c r="C20" s="11"/>
      <c r="D20" s="11"/>
      <c r="E20" s="11" t="s">
        <v>24</v>
      </c>
      <c r="F20" s="9"/>
      <c r="G20" s="9"/>
      <c r="H20" s="15"/>
      <c r="I20" s="15">
        <f t="shared" ref="I20:K20" si="10">(I19-H19)/I19</f>
        <v>0.4090909091</v>
      </c>
      <c r="J20" s="15">
        <f t="shared" si="10"/>
        <v>0.2903225806</v>
      </c>
      <c r="K20" s="15">
        <f t="shared" si="10"/>
        <v>-1.583333333</v>
      </c>
      <c r="L20" s="16">
        <v>0.02</v>
      </c>
      <c r="M20" s="16">
        <v>0.02</v>
      </c>
      <c r="N20" s="16">
        <v>0.02</v>
      </c>
      <c r="O20" s="16">
        <v>0.02</v>
      </c>
      <c r="P20" s="16">
        <v>0.02</v>
      </c>
      <c r="Q20" s="16">
        <v>0.02</v>
      </c>
      <c r="R20" s="16">
        <v>0.02</v>
      </c>
      <c r="S20" s="16">
        <v>0.02</v>
      </c>
      <c r="T20" s="16">
        <v>0.02</v>
      </c>
      <c r="U20" s="16">
        <v>0.02</v>
      </c>
      <c r="V20" s="16">
        <v>0.02</v>
      </c>
      <c r="W20" s="16"/>
      <c r="X20" s="16"/>
      <c r="Y20" s="20"/>
      <c r="Z20" s="1"/>
    </row>
    <row r="21" ht="15.75" customHeight="1">
      <c r="A21" s="1"/>
      <c r="B21" s="11"/>
      <c r="C21" s="11"/>
      <c r="D21" s="11"/>
      <c r="E21" s="11"/>
      <c r="F21" s="9"/>
      <c r="G21" s="9"/>
      <c r="H21" s="9"/>
      <c r="I21" s="9"/>
      <c r="J21" s="9"/>
      <c r="K21" s="9"/>
      <c r="L21" s="13"/>
      <c r="M21" s="13"/>
      <c r="N21" s="13"/>
      <c r="O21" s="13"/>
      <c r="P21" s="13"/>
      <c r="Q21" s="20"/>
      <c r="R21" s="20"/>
      <c r="S21" s="20"/>
      <c r="T21" s="20"/>
      <c r="U21" s="20"/>
      <c r="V21" s="20"/>
      <c r="W21" s="20"/>
      <c r="X21" s="20"/>
      <c r="Y21" s="20"/>
      <c r="Z21" s="1"/>
    </row>
    <row r="22" ht="15.75" customHeight="1">
      <c r="A22" s="1"/>
      <c r="B22" s="21" t="s">
        <v>30</v>
      </c>
      <c r="C22" s="11"/>
      <c r="D22" s="11"/>
      <c r="E22" s="11" t="s">
        <v>24</v>
      </c>
      <c r="F22" s="9"/>
      <c r="G22" s="12">
        <v>89.0</v>
      </c>
      <c r="H22" s="12">
        <v>9.0</v>
      </c>
      <c r="I22" s="12">
        <v>56.0</v>
      </c>
      <c r="J22" s="12">
        <v>219.0</v>
      </c>
      <c r="K22" s="12">
        <v>57.0</v>
      </c>
      <c r="L22" s="13">
        <f t="shared" ref="L22:V22" si="11">K22*(1+L23)</f>
        <v>58.14</v>
      </c>
      <c r="M22" s="13">
        <f t="shared" si="11"/>
        <v>59.3028</v>
      </c>
      <c r="N22" s="13">
        <f t="shared" si="11"/>
        <v>60.488856</v>
      </c>
      <c r="O22" s="13">
        <f t="shared" si="11"/>
        <v>61.69863312</v>
      </c>
      <c r="P22" s="13">
        <f t="shared" si="11"/>
        <v>62.93260578</v>
      </c>
      <c r="Q22" s="13">
        <f t="shared" si="11"/>
        <v>64.1912579</v>
      </c>
      <c r="R22" s="13">
        <f t="shared" si="11"/>
        <v>65.47508306</v>
      </c>
      <c r="S22" s="13">
        <f t="shared" si="11"/>
        <v>66.78458472</v>
      </c>
      <c r="T22" s="13">
        <f t="shared" si="11"/>
        <v>68.12027641</v>
      </c>
      <c r="U22" s="13">
        <f t="shared" si="11"/>
        <v>69.48268194</v>
      </c>
      <c r="V22" s="13">
        <f t="shared" si="11"/>
        <v>70.87233558</v>
      </c>
      <c r="W22" s="13"/>
      <c r="X22" s="13"/>
      <c r="Y22" s="20"/>
      <c r="Z22" s="1"/>
    </row>
    <row r="23" ht="15.75" customHeight="1">
      <c r="A23" s="1"/>
      <c r="B23" s="14" t="s">
        <v>23</v>
      </c>
      <c r="C23" s="9"/>
      <c r="D23" s="9"/>
      <c r="E23" s="11" t="s">
        <v>24</v>
      </c>
      <c r="F23" s="9"/>
      <c r="G23" s="1"/>
      <c r="H23" s="15">
        <f t="shared" ref="H23:K23" si="12">(H22-G22)/H22</f>
        <v>-8.888888889</v>
      </c>
      <c r="I23" s="15">
        <f t="shared" si="12"/>
        <v>0.8392857143</v>
      </c>
      <c r="J23" s="15">
        <f t="shared" si="12"/>
        <v>0.7442922374</v>
      </c>
      <c r="K23" s="15">
        <f t="shared" si="12"/>
        <v>-2.842105263</v>
      </c>
      <c r="L23" s="16">
        <v>0.02</v>
      </c>
      <c r="M23" s="16">
        <v>0.02</v>
      </c>
      <c r="N23" s="16">
        <v>0.02</v>
      </c>
      <c r="O23" s="16">
        <v>0.02</v>
      </c>
      <c r="P23" s="16">
        <v>0.02</v>
      </c>
      <c r="Q23" s="16">
        <v>0.02</v>
      </c>
      <c r="R23" s="16">
        <v>0.02</v>
      </c>
      <c r="S23" s="16">
        <v>0.02</v>
      </c>
      <c r="T23" s="16">
        <v>0.02</v>
      </c>
      <c r="U23" s="16">
        <v>0.02</v>
      </c>
      <c r="V23" s="16">
        <v>0.02</v>
      </c>
      <c r="W23" s="16"/>
      <c r="X23" s="16"/>
      <c r="Y23" s="20"/>
      <c r="Z23" s="1"/>
    </row>
    <row r="24" ht="15.75" customHeight="1">
      <c r="A24" s="1"/>
      <c r="B24" s="9"/>
      <c r="C24" s="9"/>
      <c r="D24" s="9"/>
      <c r="E24" s="9"/>
      <c r="F24" s="9"/>
      <c r="G24" s="1"/>
      <c r="H24" s="1"/>
      <c r="I24" s="1"/>
      <c r="J24" s="1"/>
      <c r="K24" s="1"/>
      <c r="L24" s="20"/>
      <c r="M24" s="20"/>
      <c r="N24" s="13"/>
      <c r="O24" s="13"/>
      <c r="P24" s="13"/>
      <c r="Q24" s="20"/>
      <c r="R24" s="20"/>
      <c r="S24" s="20"/>
      <c r="T24" s="20"/>
      <c r="U24" s="20"/>
      <c r="V24" s="20"/>
      <c r="W24" s="20"/>
      <c r="X24" s="20"/>
      <c r="Y24" s="20"/>
      <c r="Z24" s="1"/>
    </row>
    <row r="25" ht="15.75" customHeight="1">
      <c r="A25" s="1"/>
      <c r="B25" s="21" t="s">
        <v>31</v>
      </c>
      <c r="C25" s="9"/>
      <c r="D25" s="9"/>
      <c r="E25" s="11" t="s">
        <v>24</v>
      </c>
      <c r="F25" s="9"/>
      <c r="G25" s="22">
        <v>129.0</v>
      </c>
      <c r="H25" s="22">
        <v>120.0</v>
      </c>
      <c r="I25" s="22">
        <v>118.0</v>
      </c>
      <c r="J25" s="22">
        <v>87.0</v>
      </c>
      <c r="K25" s="22">
        <v>160.0</v>
      </c>
      <c r="L25" s="12">
        <v>110.0</v>
      </c>
      <c r="M25" s="13">
        <f t="shared" ref="M25:V25" si="13">L25*(1+M26)</f>
        <v>108.9</v>
      </c>
      <c r="N25" s="13">
        <f t="shared" si="13"/>
        <v>108.9</v>
      </c>
      <c r="O25" s="13">
        <f t="shared" si="13"/>
        <v>108.9</v>
      </c>
      <c r="P25" s="13">
        <f t="shared" si="13"/>
        <v>108.9</v>
      </c>
      <c r="Q25" s="13">
        <f t="shared" si="13"/>
        <v>108.9</v>
      </c>
      <c r="R25" s="13">
        <f t="shared" si="13"/>
        <v>108.9</v>
      </c>
      <c r="S25" s="13">
        <f t="shared" si="13"/>
        <v>108.9</v>
      </c>
      <c r="T25" s="13">
        <f t="shared" si="13"/>
        <v>108.9</v>
      </c>
      <c r="U25" s="13">
        <f t="shared" si="13"/>
        <v>108.9</v>
      </c>
      <c r="V25" s="13">
        <f t="shared" si="13"/>
        <v>108.9</v>
      </c>
      <c r="W25" s="13"/>
      <c r="X25" s="13"/>
      <c r="Y25" s="20"/>
      <c r="Z25" s="1"/>
    </row>
    <row r="26" ht="15.75" customHeight="1">
      <c r="A26" s="1"/>
      <c r="B26" s="17" t="s">
        <v>23</v>
      </c>
      <c r="C26" s="1"/>
      <c r="D26" s="1"/>
      <c r="E26" s="18" t="s">
        <v>24</v>
      </c>
      <c r="F26" s="1"/>
      <c r="G26" s="1"/>
      <c r="H26" s="15">
        <f t="shared" ref="H26:K26" si="14">(H25-G25)/H25</f>
        <v>-0.075</v>
      </c>
      <c r="I26" s="15">
        <f t="shared" si="14"/>
        <v>-0.01694915254</v>
      </c>
      <c r="J26" s="15">
        <f t="shared" si="14"/>
        <v>-0.3563218391</v>
      </c>
      <c r="K26" s="15">
        <f t="shared" si="14"/>
        <v>0.45625</v>
      </c>
      <c r="L26" s="16">
        <v>0.0</v>
      </c>
      <c r="M26" s="23">
        <v>-0.01</v>
      </c>
      <c r="N26" s="16">
        <v>0.0</v>
      </c>
      <c r="O26" s="16">
        <v>0.0</v>
      </c>
      <c r="P26" s="16">
        <v>0.0</v>
      </c>
      <c r="Q26" s="16">
        <v>0.0</v>
      </c>
      <c r="R26" s="16">
        <v>0.0</v>
      </c>
      <c r="S26" s="16">
        <v>0.0</v>
      </c>
      <c r="T26" s="16">
        <v>0.0</v>
      </c>
      <c r="U26" s="16">
        <v>0.0</v>
      </c>
      <c r="V26" s="16">
        <v>0.0</v>
      </c>
      <c r="W26" s="15"/>
      <c r="X26" s="15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24" t="s">
        <v>32</v>
      </c>
      <c r="H27" s="24" t="s">
        <v>33</v>
      </c>
      <c r="I27" s="24" t="s">
        <v>34</v>
      </c>
      <c r="J27" s="24" t="s">
        <v>35</v>
      </c>
      <c r="K27" s="24" t="s">
        <v>36</v>
      </c>
      <c r="L27" s="25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26"/>
      <c r="C28" s="1"/>
      <c r="D28" s="1"/>
      <c r="E28" s="18"/>
      <c r="F28" s="1"/>
      <c r="G28" s="2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2"/>
      <c r="C31" s="2"/>
      <c r="D31" s="2"/>
      <c r="E31" s="2"/>
      <c r="F31" s="3"/>
      <c r="G31" s="3"/>
      <c r="H31" s="4" t="s">
        <v>0</v>
      </c>
      <c r="I31" s="3"/>
      <c r="J31" s="5"/>
      <c r="K31" s="3"/>
      <c r="L31" s="3"/>
      <c r="M31" s="4" t="s">
        <v>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1"/>
      <c r="Z31" s="1"/>
    </row>
    <row r="32" ht="15.75" customHeight="1">
      <c r="A32" s="1"/>
      <c r="B32" s="6" t="s">
        <v>37</v>
      </c>
      <c r="C32" s="2"/>
      <c r="D32" s="2"/>
      <c r="E32" s="7" t="s">
        <v>3</v>
      </c>
      <c r="F32" s="7" t="s">
        <v>4</v>
      </c>
      <c r="G32" s="7" t="s">
        <v>5</v>
      </c>
      <c r="H32" s="7" t="s">
        <v>6</v>
      </c>
      <c r="I32" s="7" t="s">
        <v>7</v>
      </c>
      <c r="J32" s="8" t="s">
        <v>8</v>
      </c>
      <c r="K32" s="7" t="s">
        <v>9</v>
      </c>
      <c r="L32" s="7" t="s">
        <v>10</v>
      </c>
      <c r="M32" s="7" t="s">
        <v>11</v>
      </c>
      <c r="N32" s="7" t="s">
        <v>12</v>
      </c>
      <c r="O32" s="7" t="s">
        <v>13</v>
      </c>
      <c r="P32" s="7" t="s">
        <v>14</v>
      </c>
      <c r="Q32" s="7" t="s">
        <v>15</v>
      </c>
      <c r="R32" s="7" t="s">
        <v>16</v>
      </c>
      <c r="S32" s="7" t="s">
        <v>17</v>
      </c>
      <c r="T32" s="7" t="s">
        <v>18</v>
      </c>
      <c r="U32" s="7" t="s">
        <v>19</v>
      </c>
      <c r="V32" s="7" t="s">
        <v>20</v>
      </c>
      <c r="W32" s="7"/>
      <c r="X32" s="7"/>
      <c r="Y32" s="28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26" t="s">
        <v>21</v>
      </c>
      <c r="C34" s="1"/>
      <c r="D34" s="1"/>
      <c r="E34" s="18" t="s">
        <v>22</v>
      </c>
      <c r="F34" s="1"/>
      <c r="G34" s="20">
        <f t="shared" ref="G34:V34" si="15">G6</f>
        <v>2732</v>
      </c>
      <c r="H34" s="20">
        <f t="shared" si="15"/>
        <v>2530</v>
      </c>
      <c r="I34" s="20">
        <f t="shared" si="15"/>
        <v>2322</v>
      </c>
      <c r="J34" s="20">
        <f t="shared" si="15"/>
        <v>2156</v>
      </c>
      <c r="K34" s="20">
        <f t="shared" si="15"/>
        <v>2164</v>
      </c>
      <c r="L34" s="20">
        <f t="shared" si="15"/>
        <v>2000</v>
      </c>
      <c r="M34" s="20">
        <f t="shared" si="15"/>
        <v>2120</v>
      </c>
      <c r="N34" s="20">
        <f t="shared" si="15"/>
        <v>2236.6</v>
      </c>
      <c r="O34" s="20">
        <f t="shared" si="15"/>
        <v>2303.698</v>
      </c>
      <c r="P34" s="20">
        <f t="shared" si="15"/>
        <v>2372.80894</v>
      </c>
      <c r="Q34" s="20">
        <f t="shared" si="15"/>
        <v>2443.993208</v>
      </c>
      <c r="R34" s="20">
        <f t="shared" si="15"/>
        <v>2517.313004</v>
      </c>
      <c r="S34" s="20">
        <f t="shared" si="15"/>
        <v>2592.832395</v>
      </c>
      <c r="T34" s="20">
        <f t="shared" si="15"/>
        <v>2670.617366</v>
      </c>
      <c r="U34" s="20">
        <f t="shared" si="15"/>
        <v>2750.735887</v>
      </c>
      <c r="V34" s="20">
        <f t="shared" si="15"/>
        <v>2833.257964</v>
      </c>
      <c r="W34" s="1"/>
      <c r="X34" s="1"/>
      <c r="Y34" s="1"/>
      <c r="Z34" s="1"/>
    </row>
    <row r="35" ht="15.75" customHeight="1">
      <c r="A35" s="1"/>
      <c r="B35" s="1"/>
      <c r="C35" s="1"/>
      <c r="D35" s="1"/>
      <c r="E35" s="18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29" t="s">
        <v>38</v>
      </c>
      <c r="C36" s="1"/>
      <c r="D36" s="1"/>
      <c r="E36" s="18" t="s">
        <v>22</v>
      </c>
      <c r="F36" s="1"/>
      <c r="G36" s="20">
        <f t="shared" ref="G36:V36" si="16">G9</f>
        <v>1253</v>
      </c>
      <c r="H36" s="20">
        <f t="shared" si="16"/>
        <v>1254</v>
      </c>
      <c r="I36" s="20">
        <f t="shared" si="16"/>
        <v>1133</v>
      </c>
      <c r="J36" s="20">
        <f t="shared" si="16"/>
        <v>1132</v>
      </c>
      <c r="K36" s="20">
        <f t="shared" si="16"/>
        <v>1138</v>
      </c>
      <c r="L36" s="20">
        <f t="shared" si="16"/>
        <v>1160.76</v>
      </c>
      <c r="M36" s="20">
        <f t="shared" si="16"/>
        <v>1183.9752</v>
      </c>
      <c r="N36" s="20">
        <f t="shared" si="16"/>
        <v>1207.654704</v>
      </c>
      <c r="O36" s="20">
        <f t="shared" si="16"/>
        <v>1231.807798</v>
      </c>
      <c r="P36" s="20">
        <f t="shared" si="16"/>
        <v>1256.443954</v>
      </c>
      <c r="Q36" s="20">
        <f t="shared" si="16"/>
        <v>1281.572833</v>
      </c>
      <c r="R36" s="20">
        <f t="shared" si="16"/>
        <v>1307.20429</v>
      </c>
      <c r="S36" s="20">
        <f t="shared" si="16"/>
        <v>1333.348376</v>
      </c>
      <c r="T36" s="20">
        <f t="shared" si="16"/>
        <v>1360.015343</v>
      </c>
      <c r="U36" s="20">
        <f t="shared" si="16"/>
        <v>1387.21565</v>
      </c>
      <c r="V36" s="20">
        <f t="shared" si="16"/>
        <v>1414.959963</v>
      </c>
      <c r="W36" s="1"/>
      <c r="X36" s="1"/>
      <c r="Y36" s="1"/>
      <c r="Z36" s="1"/>
    </row>
    <row r="37" ht="15.75" customHeight="1">
      <c r="A37" s="1"/>
      <c r="B37" s="1"/>
      <c r="C37" s="1"/>
      <c r="D37" s="1"/>
      <c r="E37" s="18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26" t="s">
        <v>39</v>
      </c>
      <c r="C38" s="1"/>
      <c r="D38" s="1"/>
      <c r="E38" s="18" t="s">
        <v>22</v>
      </c>
      <c r="F38" s="1"/>
      <c r="G38" s="20">
        <f t="shared" ref="G38:V38" si="17">G34-G36</f>
        <v>1479</v>
      </c>
      <c r="H38" s="20">
        <f t="shared" si="17"/>
        <v>1276</v>
      </c>
      <c r="I38" s="20">
        <f t="shared" si="17"/>
        <v>1189</v>
      </c>
      <c r="J38" s="20">
        <f t="shared" si="17"/>
        <v>1024</v>
      </c>
      <c r="K38" s="20">
        <f t="shared" si="17"/>
        <v>1026</v>
      </c>
      <c r="L38" s="20">
        <f t="shared" si="17"/>
        <v>839.24</v>
      </c>
      <c r="M38" s="20">
        <f t="shared" si="17"/>
        <v>936.0248</v>
      </c>
      <c r="N38" s="20">
        <f t="shared" si="17"/>
        <v>1028.945296</v>
      </c>
      <c r="O38" s="20">
        <f t="shared" si="17"/>
        <v>1071.890202</v>
      </c>
      <c r="P38" s="20">
        <f t="shared" si="17"/>
        <v>1116.364986</v>
      </c>
      <c r="Q38" s="20">
        <f t="shared" si="17"/>
        <v>1162.420375</v>
      </c>
      <c r="R38" s="20">
        <f t="shared" si="17"/>
        <v>1210.108715</v>
      </c>
      <c r="S38" s="20">
        <f t="shared" si="17"/>
        <v>1259.484019</v>
      </c>
      <c r="T38" s="20">
        <f t="shared" si="17"/>
        <v>1310.602023</v>
      </c>
      <c r="U38" s="20">
        <f t="shared" si="17"/>
        <v>1363.520237</v>
      </c>
      <c r="V38" s="20">
        <f t="shared" si="17"/>
        <v>1418.298001</v>
      </c>
      <c r="W38" s="1"/>
      <c r="X38" s="1"/>
      <c r="Y38" s="1"/>
      <c r="Z38" s="1"/>
    </row>
    <row r="39" ht="15.75" customHeight="1">
      <c r="A39" s="1"/>
      <c r="B39" s="17" t="s">
        <v>40</v>
      </c>
      <c r="C39" s="1"/>
      <c r="D39" s="1"/>
      <c r="E39" s="18" t="s">
        <v>24</v>
      </c>
      <c r="F39" s="1"/>
      <c r="G39" s="30">
        <f t="shared" ref="G39:V39" si="18">G38/G34</f>
        <v>0.5413616398</v>
      </c>
      <c r="H39" s="30">
        <f t="shared" si="18"/>
        <v>0.5043478261</v>
      </c>
      <c r="I39" s="30">
        <f t="shared" si="18"/>
        <v>0.5120585702</v>
      </c>
      <c r="J39" s="30">
        <f t="shared" si="18"/>
        <v>0.4749536178</v>
      </c>
      <c r="K39" s="30">
        <f t="shared" si="18"/>
        <v>0.4741219963</v>
      </c>
      <c r="L39" s="30">
        <f t="shared" si="18"/>
        <v>0.41962</v>
      </c>
      <c r="M39" s="30">
        <f t="shared" si="18"/>
        <v>0.4415211321</v>
      </c>
      <c r="N39" s="30">
        <f t="shared" si="18"/>
        <v>0.460048867</v>
      </c>
      <c r="O39" s="30">
        <f t="shared" si="18"/>
        <v>0.465291111</v>
      </c>
      <c r="P39" s="30">
        <f t="shared" si="18"/>
        <v>0.4704824595</v>
      </c>
      <c r="Q39" s="30">
        <f t="shared" si="18"/>
        <v>0.4756234065</v>
      </c>
      <c r="R39" s="30">
        <f t="shared" si="18"/>
        <v>0.4807144414</v>
      </c>
      <c r="S39" s="30">
        <f t="shared" si="18"/>
        <v>0.4857560487</v>
      </c>
      <c r="T39" s="30">
        <f t="shared" si="18"/>
        <v>0.4907487084</v>
      </c>
      <c r="U39" s="30">
        <f t="shared" si="18"/>
        <v>0.4956928957</v>
      </c>
      <c r="V39" s="30">
        <f t="shared" si="18"/>
        <v>0.5005890812</v>
      </c>
      <c r="W39" s="30"/>
      <c r="X39" s="30"/>
      <c r="Y39" s="1"/>
      <c r="Z39" s="1"/>
    </row>
    <row r="40" ht="15.75" customHeight="1">
      <c r="A40" s="1"/>
      <c r="B40" s="1"/>
      <c r="C40" s="1"/>
      <c r="D40" s="1"/>
      <c r="E40" s="1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26" t="s">
        <v>41</v>
      </c>
      <c r="C41" s="1"/>
      <c r="D41" s="1"/>
      <c r="E41" s="18" t="s">
        <v>22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 t="s">
        <v>42</v>
      </c>
      <c r="C42" s="1"/>
      <c r="D42" s="1"/>
      <c r="E42" s="18" t="s">
        <v>22</v>
      </c>
      <c r="F42" s="1"/>
      <c r="G42" s="20">
        <f t="shared" ref="G42:V42" si="19">G13</f>
        <v>770</v>
      </c>
      <c r="H42" s="20">
        <f t="shared" si="19"/>
        <v>765</v>
      </c>
      <c r="I42" s="20">
        <f t="shared" si="19"/>
        <v>662</v>
      </c>
      <c r="J42" s="20">
        <f t="shared" si="19"/>
        <v>651</v>
      </c>
      <c r="K42" s="20">
        <f t="shared" si="19"/>
        <v>666</v>
      </c>
      <c r="L42" s="20">
        <f t="shared" si="19"/>
        <v>666</v>
      </c>
      <c r="M42" s="20">
        <f t="shared" si="19"/>
        <v>666</v>
      </c>
      <c r="N42" s="20">
        <f t="shared" si="19"/>
        <v>666</v>
      </c>
      <c r="O42" s="20">
        <f t="shared" si="19"/>
        <v>666</v>
      </c>
      <c r="P42" s="20">
        <f t="shared" si="19"/>
        <v>666</v>
      </c>
      <c r="Q42" s="20">
        <f t="shared" si="19"/>
        <v>666</v>
      </c>
      <c r="R42" s="20">
        <f t="shared" si="19"/>
        <v>666</v>
      </c>
      <c r="S42" s="20">
        <f t="shared" si="19"/>
        <v>666</v>
      </c>
      <c r="T42" s="20">
        <f t="shared" si="19"/>
        <v>666</v>
      </c>
      <c r="U42" s="20">
        <f t="shared" si="19"/>
        <v>666</v>
      </c>
      <c r="V42" s="20">
        <f t="shared" si="19"/>
        <v>666</v>
      </c>
      <c r="W42" s="1"/>
      <c r="X42" s="1"/>
      <c r="Y42" s="1"/>
      <c r="Z42" s="1"/>
    </row>
    <row r="43" ht="15.75" customHeight="1">
      <c r="A43" s="1"/>
      <c r="B43" s="1" t="s">
        <v>43</v>
      </c>
      <c r="C43" s="1"/>
      <c r="D43" s="1"/>
      <c r="E43" s="18" t="s">
        <v>22</v>
      </c>
      <c r="F43" s="1"/>
      <c r="G43" s="20">
        <f t="shared" ref="G43:V43" si="20">G16</f>
        <v>206</v>
      </c>
      <c r="H43" s="20">
        <f t="shared" si="20"/>
        <v>228</v>
      </c>
      <c r="I43" s="20">
        <f t="shared" si="20"/>
        <v>212</v>
      </c>
      <c r="J43" s="20">
        <f t="shared" si="20"/>
        <v>305</v>
      </c>
      <c r="K43" s="20">
        <f t="shared" si="20"/>
        <v>317</v>
      </c>
      <c r="L43" s="20">
        <f t="shared" si="20"/>
        <v>313.83</v>
      </c>
      <c r="M43" s="20">
        <f t="shared" si="20"/>
        <v>310.6917</v>
      </c>
      <c r="N43" s="20">
        <f t="shared" si="20"/>
        <v>307.584783</v>
      </c>
      <c r="O43" s="20">
        <f t="shared" si="20"/>
        <v>304.5089352</v>
      </c>
      <c r="P43" s="20">
        <f t="shared" si="20"/>
        <v>301.4638458</v>
      </c>
      <c r="Q43" s="20">
        <f t="shared" si="20"/>
        <v>298.4492074</v>
      </c>
      <c r="R43" s="20">
        <f t="shared" si="20"/>
        <v>295.4647153</v>
      </c>
      <c r="S43" s="20">
        <f t="shared" si="20"/>
        <v>292.5100681</v>
      </c>
      <c r="T43" s="20">
        <f t="shared" si="20"/>
        <v>289.5849675</v>
      </c>
      <c r="U43" s="20">
        <f t="shared" si="20"/>
        <v>289.5849675</v>
      </c>
      <c r="V43" s="20">
        <f t="shared" si="20"/>
        <v>289.5849675</v>
      </c>
      <c r="W43" s="1"/>
      <c r="X43" s="1"/>
      <c r="Y43" s="1"/>
      <c r="Z43" s="1"/>
    </row>
    <row r="44" ht="15.75" customHeight="1">
      <c r="A44" s="1"/>
      <c r="B44" s="31" t="s">
        <v>44</v>
      </c>
      <c r="C44" s="32"/>
      <c r="D44" s="32"/>
      <c r="E44" s="33" t="s">
        <v>22</v>
      </c>
      <c r="F44" s="32"/>
      <c r="G44" s="34">
        <f t="shared" ref="G44:V44" si="21">SUM(G42:G43)</f>
        <v>976</v>
      </c>
      <c r="H44" s="34">
        <f t="shared" si="21"/>
        <v>993</v>
      </c>
      <c r="I44" s="34">
        <f t="shared" si="21"/>
        <v>874</v>
      </c>
      <c r="J44" s="34">
        <f t="shared" si="21"/>
        <v>956</v>
      </c>
      <c r="K44" s="34">
        <f t="shared" si="21"/>
        <v>983</v>
      </c>
      <c r="L44" s="34">
        <f t="shared" si="21"/>
        <v>979.83</v>
      </c>
      <c r="M44" s="34">
        <f t="shared" si="21"/>
        <v>976.6917</v>
      </c>
      <c r="N44" s="34">
        <f t="shared" si="21"/>
        <v>973.584783</v>
      </c>
      <c r="O44" s="34">
        <f t="shared" si="21"/>
        <v>970.5089352</v>
      </c>
      <c r="P44" s="34">
        <f t="shared" si="21"/>
        <v>967.4638458</v>
      </c>
      <c r="Q44" s="34">
        <f t="shared" si="21"/>
        <v>964.4492074</v>
      </c>
      <c r="R44" s="34">
        <f t="shared" si="21"/>
        <v>961.4647153</v>
      </c>
      <c r="S44" s="34">
        <f t="shared" si="21"/>
        <v>958.5100681</v>
      </c>
      <c r="T44" s="34">
        <f t="shared" si="21"/>
        <v>955.5849675</v>
      </c>
      <c r="U44" s="34">
        <f t="shared" si="21"/>
        <v>955.5849675</v>
      </c>
      <c r="V44" s="34">
        <f t="shared" si="21"/>
        <v>955.5849675</v>
      </c>
      <c r="W44" s="32"/>
      <c r="X44" s="32"/>
      <c r="Y44" s="1"/>
      <c r="Z44" s="1"/>
    </row>
    <row r="45" ht="15.75" customHeight="1">
      <c r="A45" s="1"/>
      <c r="B45" s="1"/>
      <c r="C45" s="1"/>
      <c r="D45" s="1"/>
      <c r="E45" s="18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26" t="s">
        <v>45</v>
      </c>
      <c r="C46" s="1"/>
      <c r="D46" s="1"/>
      <c r="E46" s="18" t="s">
        <v>22</v>
      </c>
      <c r="F46" s="1"/>
      <c r="G46" s="20">
        <f t="shared" ref="G46:V46" si="22">G38-G44</f>
        <v>503</v>
      </c>
      <c r="H46" s="20">
        <f t="shared" si="22"/>
        <v>283</v>
      </c>
      <c r="I46" s="20">
        <f t="shared" si="22"/>
        <v>315</v>
      </c>
      <c r="J46" s="20">
        <f t="shared" si="22"/>
        <v>68</v>
      </c>
      <c r="K46" s="20">
        <f t="shared" si="22"/>
        <v>43</v>
      </c>
      <c r="L46" s="20">
        <f t="shared" si="22"/>
        <v>-140.59</v>
      </c>
      <c r="M46" s="20">
        <f t="shared" si="22"/>
        <v>-40.6669</v>
      </c>
      <c r="N46" s="20">
        <f t="shared" si="22"/>
        <v>55.360513</v>
      </c>
      <c r="O46" s="20">
        <f t="shared" si="22"/>
        <v>101.3812668</v>
      </c>
      <c r="P46" s="20">
        <f t="shared" si="22"/>
        <v>148.9011401</v>
      </c>
      <c r="Q46" s="20">
        <f t="shared" si="22"/>
        <v>197.9711677</v>
      </c>
      <c r="R46" s="20">
        <f t="shared" si="22"/>
        <v>248.6439994</v>
      </c>
      <c r="S46" s="20">
        <f t="shared" si="22"/>
        <v>300.9739509</v>
      </c>
      <c r="T46" s="20">
        <f t="shared" si="22"/>
        <v>355.0170559</v>
      </c>
      <c r="U46" s="20">
        <f t="shared" si="22"/>
        <v>407.93527</v>
      </c>
      <c r="V46" s="20">
        <f t="shared" si="22"/>
        <v>462.7130336</v>
      </c>
      <c r="W46" s="1"/>
      <c r="X46" s="1"/>
      <c r="Y46" s="1"/>
      <c r="Z46" s="1"/>
    </row>
    <row r="47" ht="15.75" customHeight="1">
      <c r="A47" s="1"/>
      <c r="B47" s="17" t="s">
        <v>46</v>
      </c>
      <c r="C47" s="1"/>
      <c r="D47" s="1"/>
      <c r="E47" s="18" t="s">
        <v>24</v>
      </c>
      <c r="F47" s="1"/>
      <c r="G47" s="30">
        <f t="shared" ref="G47:V47" si="23">G46/G34</f>
        <v>0.184114202</v>
      </c>
      <c r="H47" s="30">
        <f t="shared" si="23"/>
        <v>0.1118577075</v>
      </c>
      <c r="I47" s="30">
        <f t="shared" si="23"/>
        <v>0.1356589147</v>
      </c>
      <c r="J47" s="30">
        <f t="shared" si="23"/>
        <v>0.03153988868</v>
      </c>
      <c r="K47" s="30">
        <f t="shared" si="23"/>
        <v>0.01987060998</v>
      </c>
      <c r="L47" s="30">
        <f t="shared" si="23"/>
        <v>-0.070295</v>
      </c>
      <c r="M47" s="30">
        <f t="shared" si="23"/>
        <v>-0.0191825</v>
      </c>
      <c r="N47" s="30">
        <f t="shared" si="23"/>
        <v>0.02475208486</v>
      </c>
      <c r="O47" s="30">
        <f t="shared" si="23"/>
        <v>0.04400805433</v>
      </c>
      <c r="P47" s="30">
        <f t="shared" si="23"/>
        <v>0.06275310988</v>
      </c>
      <c r="Q47" s="30">
        <f t="shared" si="23"/>
        <v>0.08100315789</v>
      </c>
      <c r="R47" s="30">
        <f t="shared" si="23"/>
        <v>0.09877357283</v>
      </c>
      <c r="S47" s="30">
        <f t="shared" si="23"/>
        <v>0.1160792157</v>
      </c>
      <c r="T47" s="30">
        <f t="shared" si="23"/>
        <v>0.1329344519</v>
      </c>
      <c r="U47" s="30">
        <f t="shared" si="23"/>
        <v>0.1483004137</v>
      </c>
      <c r="V47" s="30">
        <f t="shared" si="23"/>
        <v>0.1633148268</v>
      </c>
      <c r="W47" s="30"/>
      <c r="X47" s="30"/>
      <c r="Y47" s="1"/>
      <c r="Z47" s="1"/>
    </row>
    <row r="48" ht="15.75" customHeight="1">
      <c r="A48" s="1"/>
      <c r="B48" s="1"/>
      <c r="C48" s="1"/>
      <c r="D48" s="1"/>
      <c r="E48" s="18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 t="s">
        <v>47</v>
      </c>
      <c r="C49" s="1"/>
      <c r="D49" s="1"/>
      <c r="E49" s="18" t="s">
        <v>22</v>
      </c>
      <c r="F49" s="1"/>
      <c r="G49" s="35">
        <v>133.0</v>
      </c>
      <c r="H49" s="22">
        <v>98.0</v>
      </c>
      <c r="I49" s="22">
        <v>105.0</v>
      </c>
      <c r="J49" s="22">
        <v>25.0</v>
      </c>
      <c r="K49" s="22">
        <v>33.0</v>
      </c>
      <c r="L49" s="36">
        <f t="shared" ref="L49:V49" si="24">L46*0.33</f>
        <v>-46.3947</v>
      </c>
      <c r="M49" s="36">
        <f t="shared" si="24"/>
        <v>-13.420077</v>
      </c>
      <c r="N49" s="36">
        <f t="shared" si="24"/>
        <v>18.26896929</v>
      </c>
      <c r="O49" s="36">
        <f t="shared" si="24"/>
        <v>33.45581803</v>
      </c>
      <c r="P49" s="36">
        <f t="shared" si="24"/>
        <v>49.13737625</v>
      </c>
      <c r="Q49" s="36">
        <f t="shared" si="24"/>
        <v>65.33048535</v>
      </c>
      <c r="R49" s="36">
        <f t="shared" si="24"/>
        <v>82.05251979</v>
      </c>
      <c r="S49" s="36">
        <f t="shared" si="24"/>
        <v>99.32140379</v>
      </c>
      <c r="T49" s="36">
        <f t="shared" si="24"/>
        <v>117.1556284</v>
      </c>
      <c r="U49" s="36">
        <f t="shared" si="24"/>
        <v>134.6186391</v>
      </c>
      <c r="V49" s="36">
        <f t="shared" si="24"/>
        <v>152.6953011</v>
      </c>
      <c r="W49" s="36"/>
      <c r="X49" s="36"/>
      <c r="Y49" s="1"/>
      <c r="Z49" s="1"/>
    </row>
    <row r="50" ht="15.75" customHeight="1">
      <c r="A50" s="1"/>
      <c r="B50" s="1"/>
      <c r="C50" s="1"/>
      <c r="D50" s="1"/>
      <c r="E50" s="37" t="s">
        <v>48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29" t="s">
        <v>49</v>
      </c>
      <c r="C51" s="1"/>
      <c r="D51" s="1"/>
      <c r="E51" s="18" t="s">
        <v>22</v>
      </c>
      <c r="F51" s="1"/>
      <c r="G51" s="20">
        <f t="shared" ref="G51:V51" si="25">G46-G49</f>
        <v>370</v>
      </c>
      <c r="H51" s="20">
        <f t="shared" si="25"/>
        <v>185</v>
      </c>
      <c r="I51" s="20">
        <f t="shared" si="25"/>
        <v>210</v>
      </c>
      <c r="J51" s="20">
        <f t="shared" si="25"/>
        <v>43</v>
      </c>
      <c r="K51" s="20">
        <f t="shared" si="25"/>
        <v>10</v>
      </c>
      <c r="L51" s="20">
        <f t="shared" si="25"/>
        <v>-94.1953</v>
      </c>
      <c r="M51" s="20">
        <f t="shared" si="25"/>
        <v>-27.246823</v>
      </c>
      <c r="N51" s="20">
        <f t="shared" si="25"/>
        <v>37.09154371</v>
      </c>
      <c r="O51" s="20">
        <f t="shared" si="25"/>
        <v>67.92544872</v>
      </c>
      <c r="P51" s="20">
        <f t="shared" si="25"/>
        <v>99.76376389</v>
      </c>
      <c r="Q51" s="20">
        <f t="shared" si="25"/>
        <v>132.6406824</v>
      </c>
      <c r="R51" s="20">
        <f t="shared" si="25"/>
        <v>166.5914796</v>
      </c>
      <c r="S51" s="20">
        <f t="shared" si="25"/>
        <v>201.6525471</v>
      </c>
      <c r="T51" s="20">
        <f t="shared" si="25"/>
        <v>237.8614274</v>
      </c>
      <c r="U51" s="20">
        <f t="shared" si="25"/>
        <v>273.3166309</v>
      </c>
      <c r="V51" s="20">
        <f t="shared" si="25"/>
        <v>310.0177325</v>
      </c>
      <c r="W51" s="1"/>
      <c r="X51" s="1"/>
      <c r="Y51" s="1"/>
      <c r="Z51" s="1"/>
    </row>
    <row r="52" ht="15.75" customHeight="1">
      <c r="A52" s="1"/>
      <c r="B52" s="1"/>
      <c r="C52" s="1"/>
      <c r="D52" s="1"/>
      <c r="E52" s="18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29" t="s">
        <v>50</v>
      </c>
      <c r="C53" s="1"/>
      <c r="D53" s="1"/>
      <c r="E53" s="18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 t="s">
        <v>51</v>
      </c>
      <c r="C54" s="1"/>
      <c r="D54" s="1"/>
      <c r="E54" s="18" t="s">
        <v>22</v>
      </c>
      <c r="F54" s="1"/>
      <c r="G54" s="20" t="str">
        <f t="shared" ref="G54:V54" si="26">G19</f>
        <v/>
      </c>
      <c r="H54" s="20">
        <f t="shared" si="26"/>
        <v>13</v>
      </c>
      <c r="I54" s="20">
        <f t="shared" si="26"/>
        <v>22</v>
      </c>
      <c r="J54" s="20">
        <f t="shared" si="26"/>
        <v>31</v>
      </c>
      <c r="K54" s="20">
        <f t="shared" si="26"/>
        <v>12</v>
      </c>
      <c r="L54" s="20">
        <f t="shared" si="26"/>
        <v>12.24</v>
      </c>
      <c r="M54" s="20">
        <f t="shared" si="26"/>
        <v>12.4848</v>
      </c>
      <c r="N54" s="20">
        <f t="shared" si="26"/>
        <v>12.734496</v>
      </c>
      <c r="O54" s="20">
        <f t="shared" si="26"/>
        <v>12.98918592</v>
      </c>
      <c r="P54" s="20">
        <f t="shared" si="26"/>
        <v>13.24896964</v>
      </c>
      <c r="Q54" s="20">
        <f t="shared" si="26"/>
        <v>13.51394903</v>
      </c>
      <c r="R54" s="20">
        <f t="shared" si="26"/>
        <v>13.78422801</v>
      </c>
      <c r="S54" s="20">
        <f t="shared" si="26"/>
        <v>14.05991257</v>
      </c>
      <c r="T54" s="20">
        <f t="shared" si="26"/>
        <v>14.34111082</v>
      </c>
      <c r="U54" s="20">
        <f t="shared" si="26"/>
        <v>14.62793304</v>
      </c>
      <c r="V54" s="20">
        <f t="shared" si="26"/>
        <v>14.9204917</v>
      </c>
      <c r="W54" s="1"/>
      <c r="X54" s="1"/>
      <c r="Y54" s="1"/>
      <c r="Z54" s="1"/>
    </row>
    <row r="55" ht="15.75" customHeight="1">
      <c r="A55" s="1"/>
      <c r="B55" s="1"/>
      <c r="C55" s="1"/>
      <c r="D55" s="1"/>
      <c r="E55" s="18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 t="s">
        <v>52</v>
      </c>
      <c r="C56" s="1"/>
      <c r="D56" s="1"/>
      <c r="E56" s="18" t="s">
        <v>22</v>
      </c>
      <c r="F56" s="1"/>
      <c r="G56" s="20">
        <f t="shared" ref="G56:V56" si="27">G22</f>
        <v>89</v>
      </c>
      <c r="H56" s="20">
        <f t="shared" si="27"/>
        <v>9</v>
      </c>
      <c r="I56" s="20">
        <f t="shared" si="27"/>
        <v>56</v>
      </c>
      <c r="J56" s="20">
        <f t="shared" si="27"/>
        <v>219</v>
      </c>
      <c r="K56" s="20">
        <f t="shared" si="27"/>
        <v>57</v>
      </c>
      <c r="L56" s="20">
        <f t="shared" si="27"/>
        <v>58.14</v>
      </c>
      <c r="M56" s="20">
        <f t="shared" si="27"/>
        <v>59.3028</v>
      </c>
      <c r="N56" s="20">
        <f t="shared" si="27"/>
        <v>60.488856</v>
      </c>
      <c r="O56" s="20">
        <f t="shared" si="27"/>
        <v>61.69863312</v>
      </c>
      <c r="P56" s="20">
        <f t="shared" si="27"/>
        <v>62.93260578</v>
      </c>
      <c r="Q56" s="20">
        <f t="shared" si="27"/>
        <v>64.1912579</v>
      </c>
      <c r="R56" s="20">
        <f t="shared" si="27"/>
        <v>65.47508306</v>
      </c>
      <c r="S56" s="20">
        <f t="shared" si="27"/>
        <v>66.78458472</v>
      </c>
      <c r="T56" s="20">
        <f t="shared" si="27"/>
        <v>68.12027641</v>
      </c>
      <c r="U56" s="20">
        <f t="shared" si="27"/>
        <v>69.48268194</v>
      </c>
      <c r="V56" s="20">
        <f t="shared" si="27"/>
        <v>70.87233558</v>
      </c>
      <c r="W56" s="1"/>
      <c r="X56" s="1"/>
      <c r="Y56" s="1"/>
      <c r="Z56" s="1"/>
    </row>
    <row r="57" ht="15.75" customHeight="1">
      <c r="A57" s="1"/>
      <c r="B57" s="1"/>
      <c r="C57" s="1"/>
      <c r="D57" s="1"/>
      <c r="E57" s="18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 t="s">
        <v>53</v>
      </c>
      <c r="C58" s="1"/>
      <c r="D58" s="1"/>
      <c r="E58" s="18" t="s">
        <v>22</v>
      </c>
      <c r="F58" s="1"/>
      <c r="G58" s="1">
        <f t="shared" ref="G58:V58" si="28">G25</f>
        <v>129</v>
      </c>
      <c r="H58" s="1">
        <f t="shared" si="28"/>
        <v>120</v>
      </c>
      <c r="I58" s="1">
        <f t="shared" si="28"/>
        <v>118</v>
      </c>
      <c r="J58" s="1">
        <f t="shared" si="28"/>
        <v>87</v>
      </c>
      <c r="K58" s="1">
        <f t="shared" si="28"/>
        <v>160</v>
      </c>
      <c r="L58" s="20">
        <f t="shared" si="28"/>
        <v>110</v>
      </c>
      <c r="M58" s="20">
        <f t="shared" si="28"/>
        <v>108.9</v>
      </c>
      <c r="N58" s="20">
        <f t="shared" si="28"/>
        <v>108.9</v>
      </c>
      <c r="O58" s="20">
        <f t="shared" si="28"/>
        <v>108.9</v>
      </c>
      <c r="P58" s="20">
        <f t="shared" si="28"/>
        <v>108.9</v>
      </c>
      <c r="Q58" s="20">
        <f t="shared" si="28"/>
        <v>108.9</v>
      </c>
      <c r="R58" s="20">
        <f t="shared" si="28"/>
        <v>108.9</v>
      </c>
      <c r="S58" s="20">
        <f t="shared" si="28"/>
        <v>108.9</v>
      </c>
      <c r="T58" s="20">
        <f t="shared" si="28"/>
        <v>108.9</v>
      </c>
      <c r="U58" s="20">
        <f t="shared" si="28"/>
        <v>108.9</v>
      </c>
      <c r="V58" s="20">
        <f t="shared" si="28"/>
        <v>108.9</v>
      </c>
      <c r="W58" s="1"/>
      <c r="X58" s="1"/>
      <c r="Y58" s="1"/>
      <c r="Z58" s="1"/>
    </row>
    <row r="59" ht="15.75" customHeight="1">
      <c r="A59" s="1"/>
      <c r="B59" s="1"/>
      <c r="C59" s="1"/>
      <c r="D59" s="1"/>
      <c r="E59" s="18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38" t="s">
        <v>54</v>
      </c>
      <c r="C60" s="39"/>
      <c r="D60" s="39"/>
      <c r="E60" s="40" t="s">
        <v>22</v>
      </c>
      <c r="F60" s="39"/>
      <c r="G60" s="41">
        <f t="shared" ref="G60:V60" si="29">G51+G54+G56-G58</f>
        <v>330</v>
      </c>
      <c r="H60" s="41">
        <f t="shared" si="29"/>
        <v>87</v>
      </c>
      <c r="I60" s="41">
        <f t="shared" si="29"/>
        <v>170</v>
      </c>
      <c r="J60" s="41">
        <f t="shared" si="29"/>
        <v>206</v>
      </c>
      <c r="K60" s="41">
        <f t="shared" si="29"/>
        <v>-81</v>
      </c>
      <c r="L60" s="41">
        <f t="shared" si="29"/>
        <v>-133.8153</v>
      </c>
      <c r="M60" s="41">
        <f t="shared" si="29"/>
        <v>-64.359223</v>
      </c>
      <c r="N60" s="41">
        <f t="shared" si="29"/>
        <v>1.41489571</v>
      </c>
      <c r="O60" s="41">
        <f t="shared" si="29"/>
        <v>33.71326776</v>
      </c>
      <c r="P60" s="41">
        <f t="shared" si="29"/>
        <v>67.04533931</v>
      </c>
      <c r="Q60" s="41">
        <f t="shared" si="29"/>
        <v>101.4458893</v>
      </c>
      <c r="R60" s="41">
        <f t="shared" si="29"/>
        <v>136.9507906</v>
      </c>
      <c r="S60" s="41">
        <f t="shared" si="29"/>
        <v>173.5970444</v>
      </c>
      <c r="T60" s="41">
        <f t="shared" si="29"/>
        <v>211.4228147</v>
      </c>
      <c r="U60" s="41">
        <f t="shared" si="29"/>
        <v>248.5272459</v>
      </c>
      <c r="V60" s="41">
        <f t="shared" si="29"/>
        <v>286.9105598</v>
      </c>
      <c r="W60" s="42"/>
      <c r="X60" s="42"/>
      <c r="Y60" s="1"/>
      <c r="Z60" s="1"/>
    </row>
    <row r="61" ht="15.75" customHeight="1">
      <c r="A61" s="1"/>
      <c r="B61" s="17" t="s">
        <v>55</v>
      </c>
      <c r="C61" s="1"/>
      <c r="D61" s="1"/>
      <c r="E61" s="18" t="s">
        <v>24</v>
      </c>
      <c r="F61" s="1"/>
      <c r="G61" s="1"/>
      <c r="H61" s="15">
        <f t="shared" ref="H61:V61" si="30">(H60-G60)/H60</f>
        <v>-2.793103448</v>
      </c>
      <c r="I61" s="15">
        <f t="shared" si="30"/>
        <v>0.4882352941</v>
      </c>
      <c r="J61" s="15">
        <f t="shared" si="30"/>
        <v>0.1747572816</v>
      </c>
      <c r="K61" s="15">
        <f t="shared" si="30"/>
        <v>3.543209877</v>
      </c>
      <c r="L61" s="15">
        <f t="shared" si="30"/>
        <v>0.3946880514</v>
      </c>
      <c r="M61" s="15">
        <f t="shared" si="30"/>
        <v>-1.07919384</v>
      </c>
      <c r="N61" s="15">
        <f t="shared" si="30"/>
        <v>46.48690235</v>
      </c>
      <c r="O61" s="15">
        <f t="shared" si="30"/>
        <v>0.9580314872</v>
      </c>
      <c r="P61" s="15">
        <f t="shared" si="30"/>
        <v>0.4971571759</v>
      </c>
      <c r="Q61" s="15">
        <f t="shared" si="30"/>
        <v>0.3391024538</v>
      </c>
      <c r="R61" s="15">
        <f t="shared" si="30"/>
        <v>0.2592529855</v>
      </c>
      <c r="S61" s="15">
        <f t="shared" si="30"/>
        <v>0.2110995256</v>
      </c>
      <c r="T61" s="15">
        <f t="shared" si="30"/>
        <v>0.1789105417</v>
      </c>
      <c r="U61" s="15">
        <f t="shared" si="30"/>
        <v>0.1492972373</v>
      </c>
      <c r="V61" s="15">
        <f t="shared" si="30"/>
        <v>0.1337814612</v>
      </c>
      <c r="W61" s="15"/>
      <c r="X61" s="15"/>
      <c r="Y61" s="1"/>
      <c r="Z61" s="1"/>
    </row>
    <row r="62" ht="15.75" customHeight="1">
      <c r="A62" s="1"/>
      <c r="B62" s="1"/>
      <c r="C62" s="1"/>
      <c r="D62" s="1"/>
      <c r="E62" s="18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 t="s">
        <v>56</v>
      </c>
      <c r="C63" s="1"/>
      <c r="D63" s="1"/>
      <c r="E63" s="18"/>
      <c r="F63" s="1"/>
      <c r="G63" s="22">
        <v>14.0</v>
      </c>
      <c r="H63" s="22">
        <v>15.0</v>
      </c>
      <c r="I63" s="22">
        <v>16.0</v>
      </c>
      <c r="J63" s="22">
        <v>17.0</v>
      </c>
      <c r="K63" s="22">
        <v>18.0</v>
      </c>
      <c r="L63" s="22">
        <v>19.0</v>
      </c>
      <c r="M63" s="22">
        <v>20.0</v>
      </c>
      <c r="N63" s="22">
        <v>21.0</v>
      </c>
      <c r="O63" s="22">
        <v>22.0</v>
      </c>
      <c r="P63" s="22">
        <v>23.0</v>
      </c>
      <c r="Q63" s="22">
        <v>24.0</v>
      </c>
      <c r="R63" s="22">
        <v>25.0</v>
      </c>
      <c r="S63" s="22">
        <v>26.0</v>
      </c>
      <c r="T63" s="22">
        <v>27.0</v>
      </c>
      <c r="U63" s="22">
        <v>28.0</v>
      </c>
      <c r="V63" s="22">
        <v>29.0</v>
      </c>
      <c r="W63" s="22"/>
      <c r="X63" s="22"/>
      <c r="Y63" s="1"/>
      <c r="Z63" s="1"/>
    </row>
    <row r="64" ht="15.75" customHeight="1">
      <c r="A64" s="1"/>
      <c r="B64" s="1" t="s">
        <v>57</v>
      </c>
      <c r="C64" s="1"/>
      <c r="D64" s="1"/>
      <c r="E64" s="18"/>
      <c r="F64" s="43">
        <v>0.1</v>
      </c>
      <c r="G64" s="1"/>
      <c r="H64" s="1"/>
      <c r="I64" s="1"/>
      <c r="J64" s="1"/>
      <c r="K64" s="1"/>
      <c r="Y64" s="1"/>
      <c r="Z64" s="1"/>
    </row>
    <row r="65" ht="15.75" customHeight="1">
      <c r="A65" s="1"/>
      <c r="B65" s="1"/>
      <c r="C65" s="1"/>
      <c r="D65" s="1"/>
      <c r="E65" s="18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26" t="s">
        <v>58</v>
      </c>
      <c r="C66" s="1"/>
      <c r="D66" s="1"/>
      <c r="E66" s="18"/>
      <c r="F66" s="22" t="s">
        <v>59</v>
      </c>
      <c r="G66" s="1"/>
      <c r="H66" s="1"/>
      <c r="I66" s="1"/>
      <c r="J66" s="1"/>
      <c r="K66" s="1"/>
      <c r="L66" s="44"/>
      <c r="M66" s="44">
        <f>M60/(1+$F$64)^1</f>
        <v>-58.50838455</v>
      </c>
      <c r="N66" s="44">
        <f>N60/(1+$F$64)^2</f>
        <v>1.169335298</v>
      </c>
      <c r="O66" s="44">
        <f>O60/(1+$F$64)^3</f>
        <v>25.32927706</v>
      </c>
      <c r="P66" s="44">
        <f>P60/(1+$F$64)^4</f>
        <v>45.79286887</v>
      </c>
      <c r="Q66" s="44">
        <f>Q60/(1+$F$64)^5</f>
        <v>62.9899158</v>
      </c>
      <c r="R66" s="44">
        <f>R60/(1+$F$64)^6</f>
        <v>77.30515102</v>
      </c>
      <c r="S66" s="44">
        <f>S60/(1+$F$64)^7</f>
        <v>89.08273262</v>
      </c>
      <c r="T66" s="44">
        <f>T60/(1+$F$64)^8</f>
        <v>98.63030339</v>
      </c>
      <c r="U66" s="44">
        <f>U60/(1+$F$64)^9</f>
        <v>105.3998131</v>
      </c>
      <c r="V66" s="44">
        <f>V60/(1+$F$64)^10</f>
        <v>110.616441</v>
      </c>
      <c r="W66" s="44"/>
      <c r="X66" s="44"/>
      <c r="Y66" s="1"/>
      <c r="Z66" s="1"/>
    </row>
    <row r="67" ht="15.75" customHeight="1">
      <c r="A67" s="1"/>
      <c r="B67" s="1"/>
      <c r="C67" s="1"/>
      <c r="D67" s="1"/>
      <c r="E67" s="18"/>
      <c r="F67" s="1"/>
      <c r="G67" s="1"/>
      <c r="H67" s="1"/>
      <c r="I67" s="1"/>
      <c r="J67" s="1"/>
      <c r="K67" s="1"/>
      <c r="Y67" s="1"/>
      <c r="Z67" s="1"/>
    </row>
    <row r="68" ht="15.75" customHeight="1">
      <c r="A68" s="1"/>
      <c r="B68" s="1"/>
      <c r="C68" s="1"/>
      <c r="D68" s="1"/>
      <c r="E68" s="18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45" t="s">
        <v>60</v>
      </c>
      <c r="C69" s="46"/>
      <c r="D69" s="47"/>
      <c r="E69" s="18"/>
      <c r="F69" s="1"/>
      <c r="G69" s="45" t="s">
        <v>61</v>
      </c>
      <c r="H69" s="46"/>
      <c r="I69" s="46"/>
      <c r="J69" s="47"/>
      <c r="K69" s="48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8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 t="s">
        <v>62</v>
      </c>
      <c r="C71" s="1"/>
      <c r="D71" s="22">
        <v>7.0</v>
      </c>
      <c r="E71" s="18"/>
      <c r="F71" s="1"/>
      <c r="G71" s="1" t="s">
        <v>63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 t="s">
        <v>64</v>
      </c>
      <c r="C72" s="1"/>
      <c r="D72" s="20">
        <f>D71*V60</f>
        <v>2008.373919</v>
      </c>
      <c r="E72" s="18"/>
      <c r="F72" s="1"/>
      <c r="G72" s="1" t="s">
        <v>64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8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 t="s">
        <v>65</v>
      </c>
      <c r="C74" s="1"/>
      <c r="D74" s="20">
        <f>D72/(1+F64)^10</f>
        <v>774.315087</v>
      </c>
      <c r="E74" s="18"/>
      <c r="F74" s="1"/>
      <c r="G74" s="1" t="str">
        <f t="shared" ref="G74:G76" si="31">B74</f>
        <v>PV of Terminal Value: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 t="s">
        <v>66</v>
      </c>
      <c r="C75" s="1"/>
      <c r="D75" s="20">
        <f>SUM(M60:X60)</f>
        <v>1196.668624</v>
      </c>
      <c r="E75" s="18"/>
      <c r="F75" s="1"/>
      <c r="G75" s="1" t="str">
        <f t="shared" si="31"/>
        <v>Sum of PV of FCF: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31" t="s">
        <v>67</v>
      </c>
      <c r="C76" s="32"/>
      <c r="D76" s="34">
        <f>D74+D75</f>
        <v>1970.983711</v>
      </c>
      <c r="E76" s="18"/>
      <c r="F76" s="1"/>
      <c r="G76" s="31" t="str">
        <f t="shared" si="31"/>
        <v>Implied EV:</v>
      </c>
      <c r="H76" s="32"/>
      <c r="I76" s="3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8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 t="s">
        <v>68</v>
      </c>
      <c r="C78" s="1"/>
      <c r="D78" s="1"/>
      <c r="E78" s="18"/>
      <c r="F78" s="1"/>
      <c r="G78" s="1" t="str">
        <f>B78</f>
        <v>% of Implied EV from Terminal Value:</v>
      </c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8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 t="s">
        <v>69</v>
      </c>
      <c r="C80" s="1"/>
      <c r="D80" s="22">
        <v>528.0</v>
      </c>
      <c r="E80" s="18"/>
      <c r="F80" s="1"/>
      <c r="G80" s="1" t="str">
        <f t="shared" ref="G80:G86" si="32">B80</f>
        <v>(+) Cash &amp; Equivalents</v>
      </c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 t="s">
        <v>70</v>
      </c>
      <c r="C81" s="1"/>
      <c r="D81" s="1"/>
      <c r="E81" s="18"/>
      <c r="F81" s="1"/>
      <c r="G81" s="1" t="str">
        <f t="shared" si="32"/>
        <v>(+) Equity Investments</v>
      </c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 t="s">
        <v>71</v>
      </c>
      <c r="C82" s="1"/>
      <c r="D82" s="1"/>
      <c r="E82" s="18"/>
      <c r="F82" s="1"/>
      <c r="G82" s="1" t="str">
        <f t="shared" si="32"/>
        <v>(+) Other Non-Core Assets, Net</v>
      </c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 t="s">
        <v>72</v>
      </c>
      <c r="C83" s="1"/>
      <c r="D83" s="22">
        <v>-285.0</v>
      </c>
      <c r="E83" s="18"/>
      <c r="F83" s="1"/>
      <c r="G83" s="1" t="str">
        <f t="shared" si="32"/>
        <v>(-) Total Debt</v>
      </c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 t="s">
        <v>73</v>
      </c>
      <c r="C84" s="1"/>
      <c r="D84" s="22">
        <v>17.0</v>
      </c>
      <c r="E84" s="18"/>
      <c r="F84" s="1"/>
      <c r="G84" s="1" t="str">
        <f t="shared" si="32"/>
        <v>(-) Preferred Stock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 t="s">
        <v>74</v>
      </c>
      <c r="C85" s="1"/>
      <c r="D85" s="1"/>
      <c r="E85" s="18"/>
      <c r="F85" s="1"/>
      <c r="G85" s="1" t="str">
        <f t="shared" si="32"/>
        <v>(-) Non-controlling Interests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31" t="s">
        <v>75</v>
      </c>
      <c r="C86" s="32"/>
      <c r="D86" s="34">
        <f>D76+D80+D83</f>
        <v>2213.983711</v>
      </c>
      <c r="E86" s="18"/>
      <c r="F86" s="1"/>
      <c r="G86" s="31" t="str">
        <f t="shared" si="32"/>
        <v>Implied Equity Value:</v>
      </c>
      <c r="H86" s="32"/>
      <c r="I86" s="32"/>
      <c r="J86" s="32"/>
      <c r="K86" s="32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8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26" t="s">
        <v>76</v>
      </c>
      <c r="C88" s="1"/>
      <c r="D88" s="22">
        <v>114.1</v>
      </c>
      <c r="E88" s="18"/>
      <c r="F88" s="1"/>
      <c r="G88" s="26" t="str">
        <f>B88</f>
        <v>Diluted Shares Outstanding:</v>
      </c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8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49" t="s">
        <v>77</v>
      </c>
      <c r="C90" s="49"/>
      <c r="D90" s="42"/>
      <c r="E90" s="50">
        <f>D86/D88</f>
        <v>19.40388879</v>
      </c>
      <c r="F90" s="1"/>
      <c r="G90" s="49" t="str">
        <f t="shared" ref="G90:G92" si="33">B90</f>
        <v>Implied Share Price:</v>
      </c>
      <c r="H90" s="42"/>
      <c r="I90" s="42"/>
      <c r="J90" s="42"/>
      <c r="K90" s="42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49" t="s">
        <v>78</v>
      </c>
      <c r="C91" s="49"/>
      <c r="D91" s="42"/>
      <c r="E91" s="51" t="s">
        <v>79</v>
      </c>
      <c r="F91" s="1"/>
      <c r="G91" s="49" t="str">
        <f t="shared" si="33"/>
        <v>Current Share Price:</v>
      </c>
      <c r="H91" s="42"/>
      <c r="I91" s="42"/>
      <c r="J91" s="42"/>
      <c r="K91" s="42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49" t="s">
        <v>80</v>
      </c>
      <c r="C92" s="49"/>
      <c r="D92" s="42"/>
      <c r="E92" s="18"/>
      <c r="F92" s="1"/>
      <c r="G92" s="49" t="str">
        <f t="shared" si="33"/>
        <v>Premium/(Discount) to Current:</v>
      </c>
      <c r="H92" s="42"/>
      <c r="I92" s="42"/>
      <c r="J92" s="42"/>
      <c r="K92" s="42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8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8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8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8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8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8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8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8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8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8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8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8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8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8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8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8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8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8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8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8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8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8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8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8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8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8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8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8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8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8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8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8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8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8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8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8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8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8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8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8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8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8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8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8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8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8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8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8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8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8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8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8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8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8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8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8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8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8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8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8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8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8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8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8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8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8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8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8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8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8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8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8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8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8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8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8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8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8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8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8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8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8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8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8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8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8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8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8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8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8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8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8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8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8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8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8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8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8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8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8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8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8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8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8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8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8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8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8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8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8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8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8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8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8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8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8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8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8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8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8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8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8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8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8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8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8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8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8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8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8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8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8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8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8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8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8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8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8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8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8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8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8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8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8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8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8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8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8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8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8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8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8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8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8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8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8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8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8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8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8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8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8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8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8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8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8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8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8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8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8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8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8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8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8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8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8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8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8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8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8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8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8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8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8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8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8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8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8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8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8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8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8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8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8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8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8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8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8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8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8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8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8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8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8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8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8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8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8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8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8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8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8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8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8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8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8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8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8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8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8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8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8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8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8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8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8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8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8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8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8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8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8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8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8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8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8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8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8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8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8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8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8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8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8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8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8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8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8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8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8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8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8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8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8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8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8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8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8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8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8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8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8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8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8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8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8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8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8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8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8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8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8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8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8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8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8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8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8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8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8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8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8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8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8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8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8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8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8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8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8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8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8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8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8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8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8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8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8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8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8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8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8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8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8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8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8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8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8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8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8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8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8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8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8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8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8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8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8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8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8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8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8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8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8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8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8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8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8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8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8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8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8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8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8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8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8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8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8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8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8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8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8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8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8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8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8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8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8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8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8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8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8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8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8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8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8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8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8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8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8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8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8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8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8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8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8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8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8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8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8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8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8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8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8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8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8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8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8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8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8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8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8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8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8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8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8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8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8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8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8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8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8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8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8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8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8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8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8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8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8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8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8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8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8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8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8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8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8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8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8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8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8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8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8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8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8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8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8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8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8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8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8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8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8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8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8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8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8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8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8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8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8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8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8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8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8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8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8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8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8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8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8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8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8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8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8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8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8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8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8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8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8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8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8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8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8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8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8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8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8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8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8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8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8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8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8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8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8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8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8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8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8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8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8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8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8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8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8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8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8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8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8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8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8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8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8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8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8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8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8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8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8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8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8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8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8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8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8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8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8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8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8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8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8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8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8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8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8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8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8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8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8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8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8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8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8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8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8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8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8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8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8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8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8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8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8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8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8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8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8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8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8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8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8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8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8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8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8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8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8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8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8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8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8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8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8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8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8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8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8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8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8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8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8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8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8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8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8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8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8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8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8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8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8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8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8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8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8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8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8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8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8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8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8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8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8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8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8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8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8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8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8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8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8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8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8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8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8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8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8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8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8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8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8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8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8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8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8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8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8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8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8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8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8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8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8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8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8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8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8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8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8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8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8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8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8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8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8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8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8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8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8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8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8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8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8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8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8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8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8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8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8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8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8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8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8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8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8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8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8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8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8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8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8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8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8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8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8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8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8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8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8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8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8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8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8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8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8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8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8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8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8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8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8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8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8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8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8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8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8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8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8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8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8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8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8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8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8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8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8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8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8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8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8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8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8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8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8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8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8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8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8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8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8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8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8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8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8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8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8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8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8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8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8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8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8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8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8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8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8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8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8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8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8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8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8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8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8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8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8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8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8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8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8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8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8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8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8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8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8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8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8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8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8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8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8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8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8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8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8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8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8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8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8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8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8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8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8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8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8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8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8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8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8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8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8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8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8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8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8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8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8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8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8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8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8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8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8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8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8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8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8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8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8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8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8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8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8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8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8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8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8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8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8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8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8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8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8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8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8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8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8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8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8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8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8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8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8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8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8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8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8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8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8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8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8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8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8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8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8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8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8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8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8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8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8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8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8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8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8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8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8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8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8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8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8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8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8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8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8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8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8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8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8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8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8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8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8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8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8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8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8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8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8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8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8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8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8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8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8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8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8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8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8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8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8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8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8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8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8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8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8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8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8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8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8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8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8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8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8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8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8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8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8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8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8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8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8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8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8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8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8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8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8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8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8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8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8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8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8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8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8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8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8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8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8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8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8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8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8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8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8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8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8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8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paperSize="9" orientation="portrait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3" width="11.43"/>
    <col customWidth="1" min="4" max="4" width="13.71"/>
    <col customWidth="1" min="5" max="5" width="11.43"/>
    <col customWidth="1" min="6" max="6" width="13.57"/>
    <col customWidth="1" min="7" max="7" width="18.71"/>
    <col customWidth="1" min="8" max="8" width="14.0"/>
    <col customWidth="1" min="9" max="9" width="14.86"/>
    <col customWidth="1" min="10" max="10" width="17.0"/>
    <col customWidth="1" min="11" max="11" width="14.57"/>
    <col customWidth="1" min="12" max="14" width="11.43"/>
    <col customWidth="1" min="15" max="26" width="10.71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9" t="s">
        <v>81</v>
      </c>
      <c r="C3" s="38"/>
      <c r="D3" s="38"/>
      <c r="E3" s="3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 t="s">
        <v>82</v>
      </c>
      <c r="C4" s="1"/>
      <c r="D4" s="26"/>
      <c r="E4" s="2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 t="s">
        <v>83</v>
      </c>
      <c r="C5" s="1"/>
      <c r="D5" s="26"/>
      <c r="E5" s="2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 t="s">
        <v>84</v>
      </c>
      <c r="C6" s="1"/>
      <c r="D6" s="26"/>
      <c r="E6" s="2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 t="s">
        <v>85</v>
      </c>
      <c r="C7" s="1"/>
      <c r="D7" s="26"/>
      <c r="E7" s="2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49" t="s">
        <v>86</v>
      </c>
      <c r="C10" s="39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39"/>
      <c r="C11" s="39"/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52" t="s">
        <v>87</v>
      </c>
      <c r="C12" s="52"/>
      <c r="D12" s="52" t="s">
        <v>88</v>
      </c>
      <c r="E12" s="52" t="s">
        <v>89</v>
      </c>
      <c r="F12" s="52" t="s">
        <v>90</v>
      </c>
      <c r="G12" s="53" t="s">
        <v>91</v>
      </c>
      <c r="H12" s="52" t="s">
        <v>92</v>
      </c>
      <c r="I12" s="52" t="s">
        <v>93</v>
      </c>
      <c r="J12" s="52" t="s">
        <v>94</v>
      </c>
      <c r="K12" s="52" t="s">
        <v>95</v>
      </c>
      <c r="L12" s="53" t="s">
        <v>96</v>
      </c>
      <c r="M12" s="5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54" t="s">
        <v>97</v>
      </c>
      <c r="C18" s="55"/>
      <c r="D18" s="55"/>
      <c r="E18" s="55"/>
      <c r="F18" s="55"/>
      <c r="G18" s="55"/>
      <c r="H18" s="55"/>
      <c r="I18" s="55"/>
      <c r="J18" s="55"/>
      <c r="K18" s="55"/>
      <c r="L18" s="55"/>
      <c r="M18" s="56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49" t="s">
        <v>98</v>
      </c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49" t="s">
        <v>99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39"/>
      <c r="C24" s="39"/>
      <c r="D24" s="52" t="s">
        <v>100</v>
      </c>
      <c r="E24" s="52" t="str">
        <f t="shared" ref="E24:K24" si="1">E12</f>
        <v>Debt</v>
      </c>
      <c r="F24" s="52" t="str">
        <f t="shared" si="1"/>
        <v>% Debt</v>
      </c>
      <c r="G24" s="52" t="str">
        <f t="shared" si="1"/>
        <v>Preferred Stock</v>
      </c>
      <c r="H24" s="52" t="str">
        <f t="shared" si="1"/>
        <v>% Pr. Stock</v>
      </c>
      <c r="I24" s="52" t="str">
        <f t="shared" si="1"/>
        <v>Equity</v>
      </c>
      <c r="J24" s="52" t="str">
        <f t="shared" si="1"/>
        <v>%Equity</v>
      </c>
      <c r="K24" s="52" t="str">
        <f t="shared" si="1"/>
        <v>Tax Rate</v>
      </c>
      <c r="L24" s="52" t="s">
        <v>88</v>
      </c>
      <c r="M24" s="52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 t="s">
        <v>101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 t="s">
        <v>102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49" t="s">
        <v>103</v>
      </c>
      <c r="C28" s="49"/>
      <c r="D28" s="49"/>
      <c r="E28" s="49"/>
      <c r="F28" s="3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49" t="s">
        <v>104</v>
      </c>
      <c r="C29" s="49"/>
      <c r="D29" s="49"/>
      <c r="E29" s="49"/>
      <c r="F29" s="39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49" t="s">
        <v>105</v>
      </c>
      <c r="C30" s="49"/>
      <c r="D30" s="49"/>
      <c r="E30" s="49"/>
      <c r="F30" s="39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49" t="s">
        <v>106</v>
      </c>
      <c r="C32" s="49"/>
      <c r="D32" s="49"/>
      <c r="E32" s="49"/>
      <c r="F32" s="39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49" t="s">
        <v>107</v>
      </c>
      <c r="C33" s="49"/>
      <c r="D33" s="49"/>
      <c r="E33" s="49"/>
      <c r="F33" s="39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49" t="s">
        <v>108</v>
      </c>
      <c r="C34" s="39"/>
      <c r="D34" s="39"/>
      <c r="E34" s="39"/>
      <c r="F34" s="39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49" t="s">
        <v>109</v>
      </c>
      <c r="C36" s="39"/>
      <c r="D36" s="39"/>
      <c r="E36" s="39"/>
      <c r="F36" s="39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1"/>
</worksheet>
</file>