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San Martin de Porres\Documentos\"/>
    </mc:Choice>
  </mc:AlternateContent>
  <xr:revisionPtr revIDLastSave="0" documentId="8_{E11F6469-1C8D-4E59-95D1-D1B2ABBA25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lle de Costos" sheetId="1" r:id="rId1"/>
    <sheet name="Estructura de Costos" sheetId="4" r:id="rId2"/>
    <sheet name="ESTADOS" sheetId="5" r:id="rId3"/>
    <sheet name="PE Carteras" sheetId="3" r:id="rId4"/>
    <sheet name="PE Correa" sheetId="8" r:id="rId5"/>
    <sheet name="Punto Equilibrio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1" l="1"/>
  <c r="L42" i="1"/>
  <c r="L43" i="1"/>
  <c r="L44" i="1"/>
  <c r="L40" i="1"/>
  <c r="E16" i="4"/>
  <c r="E15" i="4"/>
  <c r="G27" i="4" l="1"/>
  <c r="K26" i="1" l="1"/>
  <c r="L45" i="1"/>
  <c r="Q41" i="1"/>
  <c r="Q42" i="1"/>
  <c r="C11" i="4" l="1"/>
  <c r="D11" i="4"/>
  <c r="L46" i="1"/>
  <c r="E23" i="1"/>
  <c r="E24" i="1"/>
  <c r="E26" i="1"/>
  <c r="C25" i="1"/>
  <c r="E25" i="1" s="1"/>
  <c r="E11" i="4" l="1"/>
  <c r="L7" i="1"/>
  <c r="E9" i="1" l="1"/>
  <c r="E8" i="1"/>
  <c r="E7" i="1"/>
  <c r="M7" i="1" l="1"/>
  <c r="M9" i="1" s="1"/>
  <c r="D10" i="4" s="1"/>
  <c r="M8" i="1"/>
  <c r="F7" i="1"/>
  <c r="D11" i="8" l="1"/>
  <c r="E11" i="8" s="1"/>
  <c r="N17" i="4" l="1"/>
  <c r="M11" i="4" l="1"/>
  <c r="M10" i="4" s="1"/>
  <c r="L11" i="4"/>
  <c r="L10" i="4"/>
  <c r="F11" i="8"/>
  <c r="E21" i="1"/>
  <c r="H11" i="8" l="1"/>
  <c r="G28" i="4"/>
  <c r="C28" i="4"/>
  <c r="C27" i="4"/>
  <c r="K36" i="1"/>
  <c r="B41" i="4" s="1"/>
  <c r="K29" i="1"/>
  <c r="B45" i="4" s="1"/>
  <c r="F33" i="5" s="1"/>
  <c r="F43" i="1"/>
  <c r="F48" i="1" s="1"/>
  <c r="F44" i="1"/>
  <c r="F45" i="1"/>
  <c r="F46" i="1"/>
  <c r="F47" i="1"/>
  <c r="Q40" i="1"/>
  <c r="Q43" i="1" s="1"/>
  <c r="E22" i="1"/>
  <c r="E27" i="1" s="1"/>
  <c r="E13" i="4" s="1"/>
  <c r="F8" i="1"/>
  <c r="F9" i="1"/>
  <c r="F10" i="1"/>
  <c r="F11" i="1"/>
  <c r="F12" i="1"/>
  <c r="D12" i="4" l="1"/>
  <c r="Q44" i="1"/>
  <c r="C12" i="4"/>
  <c r="F13" i="1"/>
  <c r="C10" i="4" s="1"/>
  <c r="D41" i="4"/>
  <c r="F34" i="5"/>
  <c r="E34" i="1"/>
  <c r="E37" i="1" s="1"/>
  <c r="E12" i="4" l="1"/>
  <c r="B38" i="4"/>
  <c r="I11" i="8"/>
  <c r="E10" i="4"/>
  <c r="D11" i="3"/>
  <c r="F47" i="4" l="1"/>
  <c r="F13" i="5" s="1"/>
  <c r="F32" i="5"/>
  <c r="C13" i="4"/>
  <c r="C16" i="4"/>
  <c r="D16" i="4"/>
  <c r="D13" i="4"/>
  <c r="D47" i="4"/>
  <c r="E14" i="4"/>
  <c r="D14" i="4" s="1"/>
  <c r="J11" i="8"/>
  <c r="C14" i="4" l="1"/>
  <c r="F48" i="4"/>
  <c r="F10" i="5" s="1"/>
  <c r="C15" i="4"/>
  <c r="D19" i="4"/>
  <c r="E72" i="4" s="1"/>
  <c r="G47" i="4"/>
  <c r="G48" i="4" s="1"/>
  <c r="K11" i="8"/>
  <c r="J8" i="5" l="1"/>
  <c r="D15" i="4"/>
  <c r="L11" i="8"/>
  <c r="L8" i="5" l="1"/>
  <c r="C19" i="4" l="1"/>
  <c r="C72" i="4" s="1"/>
  <c r="C18" i="4"/>
  <c r="C71" i="4" s="1"/>
  <c r="D18" i="4"/>
  <c r="C17" i="4"/>
  <c r="C20" i="4" s="1"/>
  <c r="D27" i="4" s="1"/>
  <c r="C30" i="4" s="1"/>
  <c r="E17" i="4"/>
  <c r="D31" i="4" l="1"/>
  <c r="D32" i="4" s="1"/>
  <c r="E71" i="4"/>
  <c r="D17" i="4"/>
  <c r="D20" i="4" s="1"/>
  <c r="H27" i="4" s="1"/>
  <c r="G30" i="4" s="1"/>
  <c r="C31" i="4" l="1"/>
  <c r="L30" i="4"/>
  <c r="J38" i="4"/>
  <c r="H31" i="4"/>
  <c r="H32" i="4" s="1"/>
  <c r="J7" i="5" l="1"/>
  <c r="J12" i="5" s="1"/>
  <c r="C32" i="4"/>
  <c r="K39" i="4"/>
  <c r="K40" i="4" s="1"/>
  <c r="D54" i="4"/>
  <c r="F30" i="5"/>
  <c r="G38" i="4"/>
  <c r="G31" i="4"/>
  <c r="D56" i="4" l="1"/>
  <c r="E56" i="4" s="1"/>
  <c r="L7" i="5"/>
  <c r="L12" i="5" s="1"/>
  <c r="L14" i="5" s="1"/>
  <c r="F12" i="5" s="1"/>
  <c r="K32" i="4"/>
  <c r="G32" i="4"/>
  <c r="M32" i="4" s="1"/>
  <c r="F9" i="5" s="1"/>
  <c r="E62" i="4"/>
  <c r="B54" i="4"/>
  <c r="H39" i="4"/>
  <c r="B56" i="4" s="1"/>
  <c r="H40" i="4" l="1"/>
  <c r="C56" i="4"/>
  <c r="C62" i="4"/>
  <c r="D7" i="8"/>
  <c r="E74" i="4"/>
  <c r="E63" i="4"/>
  <c r="D6" i="8" s="1"/>
  <c r="E64" i="4"/>
  <c r="E65" i="4" s="1"/>
  <c r="D8" i="3"/>
  <c r="C73" i="4"/>
  <c r="E73" i="4"/>
  <c r="D8" i="8"/>
  <c r="J15" i="8" l="1"/>
  <c r="K2" i="8"/>
  <c r="K6" i="8" s="1"/>
  <c r="Q2" i="8" s="1"/>
  <c r="L15" i="8"/>
  <c r="F15" i="8"/>
  <c r="D15" i="8"/>
  <c r="G15" i="8"/>
  <c r="E15" i="8"/>
  <c r="H15" i="8"/>
  <c r="K15" i="8"/>
  <c r="I15" i="8"/>
  <c r="M15" i="8"/>
  <c r="N15" i="8"/>
  <c r="L15" i="3"/>
  <c r="G15" i="3"/>
  <c r="J15" i="3"/>
  <c r="H15" i="3"/>
  <c r="K15" i="3"/>
  <c r="D15" i="3"/>
  <c r="M15" i="3"/>
  <c r="F15" i="3"/>
  <c r="N15" i="3"/>
  <c r="E15" i="3"/>
  <c r="I15" i="3"/>
  <c r="M12" i="8"/>
  <c r="E12" i="8"/>
  <c r="K12" i="8"/>
  <c r="D12" i="8"/>
  <c r="H12" i="8"/>
  <c r="F12" i="8"/>
  <c r="I12" i="8"/>
  <c r="Q12" i="8"/>
  <c r="J12" i="8"/>
  <c r="G12" i="8"/>
  <c r="N12" i="8"/>
  <c r="L12" i="8"/>
  <c r="P5" i="6"/>
  <c r="Q12" i="6" s="1"/>
  <c r="M26" i="6" s="1"/>
  <c r="G13" i="8"/>
  <c r="J13" i="8"/>
  <c r="M13" i="8"/>
  <c r="E13" i="8"/>
  <c r="H13" i="8"/>
  <c r="Q13" i="8"/>
  <c r="L13" i="8"/>
  <c r="F13" i="8"/>
  <c r="N13" i="8"/>
  <c r="I13" i="8"/>
  <c r="D13" i="8"/>
  <c r="K13" i="8"/>
  <c r="C64" i="4"/>
  <c r="C65" i="4" s="1"/>
  <c r="F29" i="5"/>
  <c r="F31" i="5" s="1"/>
  <c r="F35" i="5" s="1"/>
  <c r="C63" i="4"/>
  <c r="F8" i="5"/>
  <c r="F11" i="5" s="1"/>
  <c r="F14" i="5" s="1"/>
  <c r="C74" i="4"/>
  <c r="D7" i="3"/>
  <c r="H16" i="8" l="1"/>
  <c r="H14" i="8"/>
  <c r="F14" i="8"/>
  <c r="F17" i="8" s="1"/>
  <c r="K14" i="8"/>
  <c r="K17" i="8" s="1"/>
  <c r="Q14" i="8"/>
  <c r="E16" i="8"/>
  <c r="E14" i="8"/>
  <c r="E17" i="8" s="1"/>
  <c r="I14" i="8"/>
  <c r="I17" i="8" s="1"/>
  <c r="D6" i="3"/>
  <c r="J5" i="6"/>
  <c r="F5" i="6" s="1"/>
  <c r="G12" i="6" s="1"/>
  <c r="C26" i="6" s="1"/>
  <c r="L14" i="8"/>
  <c r="L17" i="8" s="1"/>
  <c r="D14" i="8"/>
  <c r="D17" i="8" s="1"/>
  <c r="N16" i="8"/>
  <c r="F16" i="8"/>
  <c r="H13" i="3"/>
  <c r="H16" i="3" s="1"/>
  <c r="M13" i="3"/>
  <c r="M16" i="3" s="1"/>
  <c r="E13" i="3"/>
  <c r="E16" i="3" s="1"/>
  <c r="L13" i="3"/>
  <c r="L16" i="3" s="1"/>
  <c r="J13" i="3"/>
  <c r="J16" i="3" s="1"/>
  <c r="K13" i="3"/>
  <c r="K16" i="3" s="1"/>
  <c r="G13" i="3"/>
  <c r="G16" i="3" s="1"/>
  <c r="I13" i="3"/>
  <c r="I16" i="3" s="1"/>
  <c r="N13" i="3"/>
  <c r="N16" i="3" s="1"/>
  <c r="Q13" i="3"/>
  <c r="F13" i="3"/>
  <c r="F16" i="3" s="1"/>
  <c r="D13" i="3"/>
  <c r="D16" i="3" s="1"/>
  <c r="F15" i="5"/>
  <c r="F16" i="5" s="1"/>
  <c r="F36" i="5"/>
  <c r="F37" i="5" s="1"/>
  <c r="N14" i="8"/>
  <c r="N17" i="8" s="1"/>
  <c r="M16" i="8"/>
  <c r="L16" i="8"/>
  <c r="G16" i="8"/>
  <c r="G14" i="8"/>
  <c r="G17" i="8" s="1"/>
  <c r="H17" i="8"/>
  <c r="D16" i="8"/>
  <c r="I16" i="8"/>
  <c r="J14" i="8"/>
  <c r="J17" i="8" s="1"/>
  <c r="M14" i="8"/>
  <c r="M17" i="8" s="1"/>
  <c r="K16" i="8"/>
  <c r="J16" i="8"/>
  <c r="F17" i="5" l="1"/>
  <c r="F18" i="5" s="1"/>
  <c r="E12" i="3"/>
  <c r="E14" i="3" s="1"/>
  <c r="E17" i="3" s="1"/>
  <c r="G12" i="3"/>
  <c r="G14" i="3" s="1"/>
  <c r="G17" i="3" s="1"/>
  <c r="H12" i="3"/>
  <c r="H14" i="3" s="1"/>
  <c r="H17" i="3" s="1"/>
  <c r="D12" i="3"/>
  <c r="D14" i="3" s="1"/>
  <c r="D17" i="3" s="1"/>
  <c r="F12" i="3"/>
  <c r="F14" i="3" s="1"/>
  <c r="F17" i="3" s="1"/>
  <c r="L12" i="3"/>
  <c r="L14" i="3" s="1"/>
  <c r="L17" i="3" s="1"/>
  <c r="I12" i="3"/>
  <c r="I14" i="3" s="1"/>
  <c r="I17" i="3" s="1"/>
  <c r="J12" i="3"/>
  <c r="J14" i="3" s="1"/>
  <c r="J17" i="3" s="1"/>
  <c r="M12" i="3"/>
  <c r="M14" i="3" s="1"/>
  <c r="M17" i="3" s="1"/>
  <c r="Q12" i="3"/>
  <c r="Q14" i="3" s="1"/>
  <c r="K12" i="3"/>
  <c r="K14" i="3" s="1"/>
  <c r="K17" i="3" s="1"/>
  <c r="N12" i="3"/>
  <c r="N14" i="3" s="1"/>
  <c r="N17" i="3" s="1"/>
  <c r="K2" i="3"/>
  <c r="K6" i="3" s="1"/>
  <c r="P2" i="3" s="1"/>
  <c r="F38" i="5"/>
  <c r="F39" i="5" s="1"/>
</calcChain>
</file>

<file path=xl/sharedStrings.xml><?xml version="1.0" encoding="utf-8"?>
<sst xmlns="http://schemas.openxmlformats.org/spreadsheetml/2006/main" count="349" uniqueCount="214">
  <si>
    <t>Las unidades empiezan en</t>
  </si>
  <si>
    <t>Incremento por unidad</t>
  </si>
  <si>
    <t>Parámetros</t>
  </si>
  <si>
    <t>Costos Fijos</t>
  </si>
  <si>
    <t>Costo Variable Unitario</t>
  </si>
  <si>
    <t>Unidades</t>
  </si>
  <si>
    <t>Ventas</t>
  </si>
  <si>
    <t>Margen de Contribución</t>
  </si>
  <si>
    <t>Utilidad ( MC - CF)</t>
  </si>
  <si>
    <t>Utilidad</t>
  </si>
  <si>
    <t>Total</t>
  </si>
  <si>
    <t>GGF</t>
  </si>
  <si>
    <t>Parte Fija</t>
  </si>
  <si>
    <t>Parte Variable</t>
  </si>
  <si>
    <t>MD (CV)</t>
  </si>
  <si>
    <t>MOD (CF)</t>
  </si>
  <si>
    <t>MI (CV)</t>
  </si>
  <si>
    <t>Prodn</t>
  </si>
  <si>
    <t>IIPT</t>
  </si>
  <si>
    <t>CF</t>
  </si>
  <si>
    <t>CV</t>
  </si>
  <si>
    <t>Porcentajes</t>
  </si>
  <si>
    <t>TOTAL CTVAS</t>
  </si>
  <si>
    <t>Gastos Administrativos</t>
  </si>
  <si>
    <t>Gastos Ventas</t>
  </si>
  <si>
    <t>Gastos Financieros</t>
  </si>
  <si>
    <t>GASTOS DEL PERIODO</t>
  </si>
  <si>
    <t>PORCENTAJES</t>
  </si>
  <si>
    <t>DETERMINACIÓN DE COSTOS INDIRECTOS DE OFICINA</t>
  </si>
  <si>
    <t>DETERMINACIÓN DEL COSTO TOTAL DE LO VENDIDO</t>
  </si>
  <si>
    <t>IVN</t>
  </si>
  <si>
    <t>PVN</t>
  </si>
  <si>
    <t>IVB</t>
  </si>
  <si>
    <t>PVC</t>
  </si>
  <si>
    <t>DETERMINACIÓN DE COSTOS UNITARIOS</t>
  </si>
  <si>
    <t>CFABUF</t>
  </si>
  <si>
    <t>CFABUV</t>
  </si>
  <si>
    <t>CTVUF</t>
  </si>
  <si>
    <t>CTVUV</t>
  </si>
  <si>
    <t>COSTEO POR ABSORCIÓN</t>
  </si>
  <si>
    <t>COSTEO DIRECTO O VARIABLE</t>
  </si>
  <si>
    <t>(S/.)</t>
  </si>
  <si>
    <t>Ingreso por Ventas Netas</t>
  </si>
  <si>
    <t>Costo Ventas</t>
  </si>
  <si>
    <t>Utilidad Bruta</t>
  </si>
  <si>
    <t>Gasto Administrativos</t>
  </si>
  <si>
    <t>Gasto Financiero</t>
  </si>
  <si>
    <t>Gasto Ventas</t>
  </si>
  <si>
    <t>Utilidad de Operación</t>
  </si>
  <si>
    <t>PUNTO EQUILIBRIO EN UNIDADES FISICAS</t>
  </si>
  <si>
    <t>PIE PIÑA</t>
  </si>
  <si>
    <t>TORTA SELVA NEGRA</t>
  </si>
  <si>
    <t>PUNTO  EQUILIBRIO EN PORCENTAJE</t>
  </si>
  <si>
    <t>PUNTO TOTAL EQUILIBRIO EN UNIDADES MONETARIAS</t>
  </si>
  <si>
    <t>PE</t>
  </si>
  <si>
    <t>Precio por unidad PVN</t>
  </si>
  <si>
    <t>Unidad</t>
  </si>
  <si>
    <t>Costo/u</t>
  </si>
  <si>
    <t>Requerimiento</t>
  </si>
  <si>
    <t>Costo Mensual</t>
  </si>
  <si>
    <t>Agua</t>
  </si>
  <si>
    <t>TOTAL</t>
  </si>
  <si>
    <t>Totales</t>
  </si>
  <si>
    <t>Descripción</t>
  </si>
  <si>
    <t>Costo Unitario</t>
  </si>
  <si>
    <t>Trabajador</t>
  </si>
  <si>
    <t>Cantidad</t>
  </si>
  <si>
    <t>Sueldo</t>
  </si>
  <si>
    <t>Total bruto</t>
  </si>
  <si>
    <t>Total neto</t>
  </si>
  <si>
    <t>MANO OBRA DIRECTA</t>
  </si>
  <si>
    <t>DESCRIPCIÓN</t>
  </si>
  <si>
    <t>Costo</t>
  </si>
  <si>
    <t>Tipo</t>
  </si>
  <si>
    <t>Mantenimiento Preventivo</t>
  </si>
  <si>
    <t>Depreciación (Herramientas y Maquinarias)</t>
  </si>
  <si>
    <t>Energía eléctrica</t>
  </si>
  <si>
    <t>Herramienta o Máquina</t>
  </si>
  <si>
    <t>Vida Útil (años)</t>
  </si>
  <si>
    <t>Valor Monetario</t>
  </si>
  <si>
    <t>Depreciación Mensual</t>
  </si>
  <si>
    <t>GASTOS ADMINISTRATIVOS</t>
  </si>
  <si>
    <t>COSTOS</t>
  </si>
  <si>
    <t>TIPO</t>
  </si>
  <si>
    <t>GASTOS DEL PERÍODO</t>
  </si>
  <si>
    <t>GASTOS FINANCIEROS</t>
  </si>
  <si>
    <t>Arbitrios Prediales</t>
  </si>
  <si>
    <t>GASTOS DE VENTAS</t>
  </si>
  <si>
    <t>Publicidad No Presupuestada</t>
  </si>
  <si>
    <t>Estudio de Mercado</t>
  </si>
  <si>
    <t>Sueldo Vendedor</t>
  </si>
  <si>
    <t>Bono Metas Ventas</t>
  </si>
  <si>
    <t>CÁLCULO DE LA DEPRECIACIÓN DE HERRAMIENTAS O MÁQUINAS</t>
  </si>
  <si>
    <t>%</t>
  </si>
  <si>
    <t>TIEMPO EMPLEADO MOD</t>
  </si>
  <si>
    <t>Horas x Semana</t>
  </si>
  <si>
    <t>Horas x Mes</t>
  </si>
  <si>
    <t>PARÁMETROS</t>
  </si>
  <si>
    <t>Horas x mes</t>
  </si>
  <si>
    <t>REQUISITOS</t>
  </si>
  <si>
    <t>NO TIENE LIMITE DE VENTAS</t>
  </si>
  <si>
    <t>IR 29,5%</t>
  </si>
  <si>
    <t>RÉGIMEN GENERAL</t>
  </si>
  <si>
    <t>PUNTO EQUILIBRIO %</t>
  </si>
  <si>
    <t>CTV</t>
  </si>
  <si>
    <t>Costos Elaboración</t>
  </si>
  <si>
    <t>/p</t>
  </si>
  <si>
    <t>/P</t>
  </si>
  <si>
    <t>Producción</t>
  </si>
  <si>
    <t>u</t>
  </si>
  <si>
    <t>Horas al día</t>
  </si>
  <si>
    <t>Cantidad de días en la semana</t>
  </si>
  <si>
    <t>CVTAS</t>
  </si>
  <si>
    <t>Unidades Requeridas</t>
  </si>
  <si>
    <t>Costo de MD *unitario</t>
  </si>
  <si>
    <t>Porcentaje (100%)</t>
  </si>
  <si>
    <t>MONTO</t>
  </si>
  <si>
    <t>Costo de Elaboración Unitario</t>
  </si>
  <si>
    <t>ESTRUCTURA DE COSTOS</t>
  </si>
  <si>
    <t>DETERMINACIÓN DEL COSTO DE VENTAS</t>
  </si>
  <si>
    <t>DETERMINACIÓN DE IVN - PVN - IVB - PVC</t>
  </si>
  <si>
    <t xml:space="preserve">Publicidad  </t>
  </si>
  <si>
    <t>Plancha de cuero de 200 cm x 200 cm</t>
  </si>
  <si>
    <t>unidad</t>
  </si>
  <si>
    <t>m</t>
  </si>
  <si>
    <t xml:space="preserve">MANEJO DE COSTOS </t>
  </si>
  <si>
    <t>Tela de aceta 300 cm</t>
  </si>
  <si>
    <t xml:space="preserve">Accesorio </t>
  </si>
  <si>
    <t xml:space="preserve">Presillas </t>
  </si>
  <si>
    <t>Hilo poliester x 300  mm</t>
  </si>
  <si>
    <t xml:space="preserve">Hebillas </t>
  </si>
  <si>
    <t>Plancha de Cuero de 200 cm x 200 cm</t>
  </si>
  <si>
    <t>Hebilla</t>
  </si>
  <si>
    <t>Moldes</t>
  </si>
  <si>
    <t>Agujas n° 110</t>
  </si>
  <si>
    <t>Cuchillas</t>
  </si>
  <si>
    <t>Tizas</t>
  </si>
  <si>
    <t>Etiquetas de identificación</t>
  </si>
  <si>
    <t>Indeleble</t>
  </si>
  <si>
    <t>MATERIAL DIRECTO CORREAS DE CUERO</t>
  </si>
  <si>
    <t xml:space="preserve">Operario de forrado </t>
  </si>
  <si>
    <t>Maquinas de costura recta</t>
  </si>
  <si>
    <t>Maquinas de coser</t>
  </si>
  <si>
    <t>Maquina troquel</t>
  </si>
  <si>
    <t>Maquina remalladora SR747K</t>
  </si>
  <si>
    <t>Remachadoras en cuero</t>
  </si>
  <si>
    <t xml:space="preserve">Operario de marcado y Cortado </t>
  </si>
  <si>
    <t xml:space="preserve">Operario de armado y confección </t>
  </si>
  <si>
    <t>CARTERA</t>
  </si>
  <si>
    <t>CORREA DE CUERO</t>
  </si>
  <si>
    <t>CORREA  DE CUERO</t>
  </si>
  <si>
    <t>Carteras</t>
  </si>
  <si>
    <t>Correas</t>
  </si>
  <si>
    <t>UTILIDADES CARTERAS</t>
  </si>
  <si>
    <t>UTILIDADES CORREAS</t>
  </si>
  <si>
    <t>Empresa Productiva "CUEROS UNIPIEL E.I.R.L"</t>
  </si>
  <si>
    <t>Supervisor de control de Calidad</t>
  </si>
  <si>
    <t>Operario de Empaquetado</t>
  </si>
  <si>
    <t>MANO DE OBRA INDIRECTA</t>
  </si>
  <si>
    <t>Supervisor de Seguridad</t>
  </si>
  <si>
    <t>Supervisor de Planta</t>
  </si>
  <si>
    <t>Personal de Limpieza</t>
  </si>
  <si>
    <t>Útiles de escritorio</t>
  </si>
  <si>
    <t>Material de Limpieza</t>
  </si>
  <si>
    <t>Luz</t>
  </si>
  <si>
    <t>Administrador</t>
  </si>
  <si>
    <t>Asistente Administrativo</t>
  </si>
  <si>
    <t>Jefe de Sistemas</t>
  </si>
  <si>
    <t>Correa</t>
  </si>
  <si>
    <t>Alquiler de Local</t>
  </si>
  <si>
    <t>Internet</t>
  </si>
  <si>
    <t>Teléfono</t>
  </si>
  <si>
    <t>MOI (CF)</t>
  </si>
  <si>
    <t>Participación</t>
  </si>
  <si>
    <t>Utilidad Imponible</t>
  </si>
  <si>
    <t>Impuesto a la Renta</t>
  </si>
  <si>
    <t>Utilidad Neta D.I.</t>
  </si>
  <si>
    <t>Del costo de Ventas CV</t>
  </si>
  <si>
    <t>Del Gasto del Periodo CV</t>
  </si>
  <si>
    <t>Margen de contribución</t>
  </si>
  <si>
    <t>Del costo de Ventas CF</t>
  </si>
  <si>
    <t>Del Gasto del Periodo CF</t>
  </si>
  <si>
    <t>CF Costo De venta</t>
  </si>
  <si>
    <t>cartera</t>
  </si>
  <si>
    <t>correas</t>
  </si>
  <si>
    <t>CF iFab</t>
  </si>
  <si>
    <t>P</t>
  </si>
  <si>
    <t>V</t>
  </si>
  <si>
    <t>Ajuste</t>
  </si>
  <si>
    <t>Ajuste Total</t>
  </si>
  <si>
    <t>MATERIAL INDIRECTO</t>
  </si>
  <si>
    <t>Incremento por ciclo</t>
  </si>
  <si>
    <t>Unds.=</t>
  </si>
  <si>
    <t>PVN*Unds=</t>
  </si>
  <si>
    <t>MCUnds=</t>
  </si>
  <si>
    <t>CVU*Unds=</t>
  </si>
  <si>
    <t>PVN=S/.516.96</t>
  </si>
  <si>
    <t>EE.GG.PP.  De 01-01-20 al 31-01-20</t>
  </si>
  <si>
    <t>Materiales</t>
  </si>
  <si>
    <t>*Unidades de venta por ciclo</t>
  </si>
  <si>
    <t>*Las undidades de venta en ciclos empiezan en</t>
  </si>
  <si>
    <t>CVU=S/.56.21</t>
  </si>
  <si>
    <t>MCU=S/.460.75</t>
  </si>
  <si>
    <t>PVN=S/.160.15</t>
  </si>
  <si>
    <t>CVU=S/.18.20</t>
  </si>
  <si>
    <t>MCU=S/.141.95</t>
  </si>
  <si>
    <t>&lt;-----</t>
  </si>
  <si>
    <t>&lt;----</t>
  </si>
  <si>
    <t>Cuidado que esto si se mueve</t>
  </si>
  <si>
    <t>MATERIAL DIRECTO CARTERAS DE CUERO</t>
  </si>
  <si>
    <t>GASTOS GENERALES DE FABRICACIÓN</t>
  </si>
  <si>
    <t>DETERMINACIÓN DEL COSTO DE FABRICACIÓN</t>
  </si>
  <si>
    <t>Carteras (%)</t>
  </si>
  <si>
    <t>Correas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</si>
</sst>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* #,##0.00_-;\-* #,##0.00_-;_-* &quot;-&quot;??_-;_-@_-"/>
    <numFmt numFmtId="165" formatCode="&quot;S/&quot;#,##0;[Red]\-&quot;S/&quot;#,##0"/>
    <numFmt numFmtId="166" formatCode="&quot;S/&quot;#,##0.00;[Red]\-&quot;S/&quot;#,##0.00"/>
    <numFmt numFmtId="167" formatCode="_-&quot;S/&quot;* #,##0_-;\-&quot;S/&quot;* #,##0_-;_-&quot;S/&quot;* &quot;-&quot;_-;_-@_-"/>
    <numFmt numFmtId="168" formatCode="_ &quot;S/.&quot;\ * #,##0.00_ ;_ &quot;S/.&quot;\ * \-#,##0.00_ ;_ &quot;S/.&quot;\ * &quot;-&quot;??_ ;_ @_ "/>
    <numFmt numFmtId="169" formatCode="&quot;S/&quot;#,##0"/>
    <numFmt numFmtId="170" formatCode="&quot;S/&quot;#,##0.000;[Red]&quot;S/&quot;#,##0.000"/>
    <numFmt numFmtId="171" formatCode="&quot;S/&quot;#,##0.00"/>
    <numFmt numFmtId="172" formatCode="&quot;S/&quot;#,##0.0"/>
    <numFmt numFmtId="173" formatCode="#,##0;[Red]#,##0"/>
    <numFmt numFmtId="174" formatCode="0_ ;[Red]\-0\ "/>
    <numFmt numFmtId="175" formatCode="&quot;S/.&quot;\ #,##0.00"/>
    <numFmt numFmtId="176" formatCode="&quot;S/&quot;#,##0.00;[Red]&quot;S/&quot;#,##0.00"/>
    <numFmt numFmtId="177" formatCode="_-&quot;S/&quot;* #,##0.00_-;\-&quot;S/&quot;* #,##0.00_-;_-&quot;S/&quot;* &quot;-&quot;??????_-;_-@_-"/>
    <numFmt numFmtId="178" formatCode="0.000"/>
    <numFmt numFmtId="179" formatCode="_-[$S/-280A]* #,##0.00_-;\-[$S/-280A]* #,##0.00_-;_-[$S/-280A]* &quot;-&quot;??_-;_-@_-"/>
    <numFmt numFmtId="180" formatCode="0.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name val="Arial Black"/>
      <family val="2"/>
    </font>
    <font>
      <b/>
      <sz val="11"/>
      <name val="Calibri"/>
      <family val="2"/>
      <scheme val="minor"/>
    </font>
    <font>
      <b/>
      <sz val="9"/>
      <name val="Arial Black"/>
      <family val="2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84">
    <xf numFmtId="0" fontId="0" fillId="0" borderId="0" xfId="0"/>
    <xf numFmtId="0" fontId="3" fillId="0" borderId="0" xfId="0" applyFont="1"/>
    <xf numFmtId="166" fontId="12" fillId="0" borderId="1" xfId="0" applyNumberFormat="1" applyFont="1" applyBorder="1"/>
    <xf numFmtId="9" fontId="12" fillId="0" borderId="1" xfId="0" applyNumberFormat="1" applyFont="1" applyBorder="1"/>
    <xf numFmtId="38" fontId="12" fillId="0" borderId="1" xfId="0" applyNumberFormat="1" applyFont="1" applyBorder="1" applyAlignment="1">
      <alignment horizontal="center" vertical="center"/>
    </xf>
    <xf numFmtId="0" fontId="0" fillId="6" borderId="0" xfId="0" applyFill="1"/>
    <xf numFmtId="2" fontId="0" fillId="6" borderId="0" xfId="0" applyNumberFormat="1" applyFill="1"/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0" fontId="0" fillId="6" borderId="0" xfId="0" applyNumberFormat="1" applyFill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1" fontId="0" fillId="0" borderId="0" xfId="0" applyNumberFormat="1" applyAlignment="1">
      <alignment horizontal="righ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75" fontId="0" fillId="0" borderId="0" xfId="0" applyNumberFormat="1" applyAlignment="1">
      <alignment horizontal="right"/>
    </xf>
    <xf numFmtId="175" fontId="1" fillId="0" borderId="0" xfId="0" applyNumberFormat="1" applyFont="1" applyAlignment="1">
      <alignment horizontal="right" vertical="center"/>
    </xf>
    <xf numFmtId="0" fontId="16" fillId="6" borderId="0" xfId="0" applyFont="1" applyFill="1" applyAlignment="1">
      <alignment vertical="center"/>
    </xf>
    <xf numFmtId="0" fontId="16" fillId="0" borderId="0" xfId="0" applyFont="1"/>
    <xf numFmtId="0" fontId="16" fillId="6" borderId="0" xfId="0" applyFont="1" applyFill="1"/>
    <xf numFmtId="0" fontId="16" fillId="6" borderId="0" xfId="0" applyFont="1" applyFill="1" applyAlignment="1">
      <alignment horizontal="right"/>
    </xf>
    <xf numFmtId="1" fontId="16" fillId="6" borderId="0" xfId="0" applyNumberFormat="1" applyFont="1" applyFill="1" applyAlignment="1">
      <alignment horizontal="left"/>
    </xf>
    <xf numFmtId="0" fontId="16" fillId="7" borderId="0" xfId="0" applyFont="1" applyFill="1"/>
    <xf numFmtId="173" fontId="16" fillId="6" borderId="0" xfId="0" applyNumberFormat="1" applyFont="1" applyFill="1"/>
    <xf numFmtId="173" fontId="16" fillId="6" borderId="0" xfId="0" applyNumberFormat="1" applyFont="1" applyFill="1" applyAlignment="1">
      <alignment vertical="center"/>
    </xf>
    <xf numFmtId="0" fontId="16" fillId="6" borderId="0" xfId="0" applyFont="1" applyFill="1" applyAlignment="1">
      <alignment horizontal="center"/>
    </xf>
    <xf numFmtId="0" fontId="19" fillId="6" borderId="0" xfId="0" applyFont="1" applyFill="1"/>
    <xf numFmtId="0" fontId="19" fillId="0" borderId="0" xfId="0" applyFont="1"/>
    <xf numFmtId="166" fontId="19" fillId="0" borderId="1" xfId="0" applyNumberFormat="1" applyFont="1" applyBorder="1"/>
    <xf numFmtId="0" fontId="19" fillId="0" borderId="10" xfId="0" applyFont="1" applyBorder="1"/>
    <xf numFmtId="0" fontId="19" fillId="0" borderId="2" xfId="0" applyFont="1" applyBorder="1"/>
    <xf numFmtId="0" fontId="19" fillId="0" borderId="7" xfId="0" applyFont="1" applyBorder="1"/>
    <xf numFmtId="0" fontId="19" fillId="0" borderId="11" xfId="0" applyFont="1" applyBorder="1"/>
    <xf numFmtId="0" fontId="19" fillId="0" borderId="8" xfId="0" applyFont="1" applyBorder="1"/>
    <xf numFmtId="2" fontId="19" fillId="6" borderId="0" xfId="0" applyNumberFormat="1" applyFont="1" applyFill="1"/>
    <xf numFmtId="0" fontId="19" fillId="0" borderId="12" xfId="0" applyFont="1" applyBorder="1"/>
    <xf numFmtId="0" fontId="19" fillId="0" borderId="3" xfId="0" applyFont="1" applyBorder="1"/>
    <xf numFmtId="0" fontId="19" fillId="0" borderId="9" xfId="0" applyFont="1" applyBorder="1"/>
    <xf numFmtId="9" fontId="19" fillId="0" borderId="1" xfId="0" applyNumberFormat="1" applyFont="1" applyBorder="1"/>
    <xf numFmtId="0" fontId="19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center" vertical="center"/>
    </xf>
    <xf numFmtId="174" fontId="19" fillId="4" borderId="1" xfId="0" applyNumberFormat="1" applyFont="1" applyFill="1" applyBorder="1" applyAlignment="1">
      <alignment horizontal="center" vertical="center"/>
    </xf>
    <xf numFmtId="38" fontId="12" fillId="4" borderId="1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6" fontId="1" fillId="0" borderId="1" xfId="0" applyNumberFormat="1" applyFont="1" applyBorder="1"/>
    <xf numFmtId="0" fontId="1" fillId="4" borderId="1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" xfId="0" applyFont="1" applyFill="1" applyBorder="1"/>
    <xf numFmtId="175" fontId="1" fillId="0" borderId="1" xfId="0" applyNumberFormat="1" applyFont="1" applyBorder="1"/>
    <xf numFmtId="175" fontId="1" fillId="0" borderId="13" xfId="0" applyNumberFormat="1" applyFont="1" applyBorder="1"/>
    <xf numFmtId="169" fontId="1" fillId="0" borderId="1" xfId="0" applyNumberFormat="1" applyFont="1" applyBorder="1"/>
    <xf numFmtId="171" fontId="1" fillId="0" borderId="1" xfId="0" applyNumberFormat="1" applyFont="1" applyBorder="1"/>
    <xf numFmtId="171" fontId="1" fillId="0" borderId="0" xfId="0" applyNumberFormat="1" applyFont="1"/>
    <xf numFmtId="0" fontId="1" fillId="4" borderId="1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17" fillId="0" borderId="0" xfId="0" applyFont="1"/>
    <xf numFmtId="0" fontId="17" fillId="6" borderId="0" xfId="0" applyFont="1" applyFill="1"/>
    <xf numFmtId="0" fontId="17" fillId="4" borderId="1" xfId="0" applyFont="1" applyFill="1" applyBorder="1"/>
    <xf numFmtId="0" fontId="24" fillId="4" borderId="6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24" fillId="4" borderId="14" xfId="0" applyFont="1" applyFill="1" applyBorder="1"/>
    <xf numFmtId="0" fontId="24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24" fillId="4" borderId="1" xfId="0" applyFont="1" applyFill="1" applyBorder="1"/>
    <xf numFmtId="0" fontId="17" fillId="6" borderId="0" xfId="0" applyFont="1" applyFill="1" applyAlignment="1">
      <alignment horizontal="center" vertical="center" wrapText="1"/>
    </xf>
    <xf numFmtId="0" fontId="17" fillId="6" borderId="13" xfId="0" applyFont="1" applyFill="1" applyBorder="1" applyAlignment="1">
      <alignment horizontal="center"/>
    </xf>
    <xf numFmtId="175" fontId="17" fillId="6" borderId="13" xfId="0" applyNumberFormat="1" applyFont="1" applyFill="1" applyBorder="1"/>
    <xf numFmtId="0" fontId="17" fillId="6" borderId="14" xfId="0" applyFont="1" applyFill="1" applyBorder="1" applyAlignment="1">
      <alignment horizontal="center"/>
    </xf>
    <xf numFmtId="0" fontId="24" fillId="4" borderId="15" xfId="0" applyFont="1" applyFill="1" applyBorder="1"/>
    <xf numFmtId="175" fontId="17" fillId="6" borderId="15" xfId="0" applyNumberFormat="1" applyFont="1" applyFill="1" applyBorder="1"/>
    <xf numFmtId="0" fontId="17" fillId="6" borderId="15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 wrapText="1"/>
    </xf>
    <xf numFmtId="175" fontId="24" fillId="4" borderId="6" xfId="0" applyNumberFormat="1" applyFont="1" applyFill="1" applyBorder="1" applyAlignment="1">
      <alignment horizontal="center" vertical="center"/>
    </xf>
    <xf numFmtId="175" fontId="17" fillId="4" borderId="5" xfId="0" applyNumberFormat="1" applyFont="1" applyFill="1" applyBorder="1"/>
    <xf numFmtId="0" fontId="17" fillId="0" borderId="0" xfId="0" applyFont="1" applyAlignment="1">
      <alignment vertical="center"/>
    </xf>
    <xf numFmtId="0" fontId="17" fillId="6" borderId="1" xfId="0" applyFont="1" applyFill="1" applyBorder="1" applyAlignment="1">
      <alignment vertical="center"/>
    </xf>
    <xf numFmtId="171" fontId="17" fillId="6" borderId="1" xfId="0" applyNumberFormat="1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9" fontId="17" fillId="6" borderId="1" xfId="0" applyNumberFormat="1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vertical="center"/>
    </xf>
    <xf numFmtId="175" fontId="17" fillId="6" borderId="1" xfId="0" applyNumberFormat="1" applyFont="1" applyFill="1" applyBorder="1" applyAlignment="1">
      <alignment horizontal="right"/>
    </xf>
    <xf numFmtId="2" fontId="17" fillId="6" borderId="1" xfId="0" applyNumberFormat="1" applyFont="1" applyFill="1" applyBorder="1" applyAlignment="1">
      <alignment horizontal="right"/>
    </xf>
    <xf numFmtId="2" fontId="17" fillId="6" borderId="1" xfId="0" applyNumberFormat="1" applyFont="1" applyFill="1" applyBorder="1"/>
    <xf numFmtId="0" fontId="17" fillId="4" borderId="1" xfId="0" applyFont="1" applyFill="1" applyBorder="1" applyAlignment="1">
      <alignment horizontal="center"/>
    </xf>
    <xf numFmtId="175" fontId="17" fillId="6" borderId="1" xfId="0" applyNumberFormat="1" applyFont="1" applyFill="1" applyBorder="1"/>
    <xf numFmtId="0" fontId="17" fillId="6" borderId="0" xfId="0" applyFont="1" applyFill="1" applyAlignment="1">
      <alignment horizontal="left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/>
    </xf>
    <xf numFmtId="175" fontId="24" fillId="6" borderId="1" xfId="0" applyNumberFormat="1" applyFont="1" applyFill="1" applyBorder="1"/>
    <xf numFmtId="2" fontId="17" fillId="6" borderId="1" xfId="1" applyNumberFormat="1" applyFont="1" applyFill="1" applyBorder="1"/>
    <xf numFmtId="0" fontId="24" fillId="6" borderId="0" xfId="0" applyFont="1" applyFill="1" applyAlignment="1">
      <alignment horizontal="center" vertical="center"/>
    </xf>
    <xf numFmtId="172" fontId="1" fillId="0" borderId="1" xfId="0" applyNumberFormat="1" applyFont="1" applyBorder="1"/>
    <xf numFmtId="0" fontId="22" fillId="4" borderId="5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right"/>
    </xf>
    <xf numFmtId="2" fontId="17" fillId="6" borderId="0" xfId="0" applyNumberFormat="1" applyFont="1" applyFill="1" applyAlignment="1">
      <alignment horizontal="right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/>
    <xf numFmtId="0" fontId="17" fillId="5" borderId="1" xfId="0" applyFont="1" applyFill="1" applyBorder="1"/>
    <xf numFmtId="0" fontId="17" fillId="6" borderId="1" xfId="0" applyFont="1" applyFill="1" applyBorder="1"/>
    <xf numFmtId="0" fontId="2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4" fillId="0" borderId="0" xfId="0" applyFont="1" applyAlignment="1">
      <alignment horizontal="center" vertical="center"/>
    </xf>
    <xf numFmtId="2" fontId="17" fillId="0" borderId="0" xfId="0" applyNumberFormat="1" applyFont="1" applyAlignment="1">
      <alignment vertical="center"/>
    </xf>
    <xf numFmtId="0" fontId="15" fillId="6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175" fontId="17" fillId="0" borderId="0" xfId="0" applyNumberFormat="1" applyFont="1"/>
    <xf numFmtId="0" fontId="24" fillId="0" borderId="0" xfId="0" applyFont="1"/>
    <xf numFmtId="0" fontId="24" fillId="0" borderId="11" xfId="0" applyFont="1" applyBorder="1"/>
    <xf numFmtId="173" fontId="16" fillId="4" borderId="0" xfId="0" applyNumberFormat="1" applyFont="1" applyFill="1"/>
    <xf numFmtId="173" fontId="17" fillId="4" borderId="0" xfId="0" applyNumberFormat="1" applyFont="1" applyFill="1"/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0" borderId="0" xfId="0" applyFont="1"/>
    <xf numFmtId="175" fontId="0" fillId="0" borderId="0" xfId="0" applyNumberFormat="1"/>
    <xf numFmtId="0" fontId="17" fillId="0" borderId="0" xfId="0" applyFont="1" applyAlignment="1">
      <alignment horizontal="center"/>
    </xf>
    <xf numFmtId="0" fontId="17" fillId="0" borderId="0" xfId="1" applyNumberFormat="1" applyFont="1" applyFill="1" applyAlignment="1">
      <alignment horizontal="center"/>
    </xf>
    <xf numFmtId="0" fontId="6" fillId="6" borderId="0" xfId="0" applyFont="1" applyFill="1"/>
    <xf numFmtId="0" fontId="17" fillId="6" borderId="0" xfId="0" applyFont="1" applyFill="1" applyAlignment="1">
      <alignment horizontal="center"/>
    </xf>
    <xf numFmtId="175" fontId="17" fillId="6" borderId="1" xfId="0" applyNumberFormat="1" applyFont="1" applyFill="1" applyBorder="1" applyAlignment="1">
      <alignment horizontal="center"/>
    </xf>
    <xf numFmtId="175" fontId="24" fillId="6" borderId="1" xfId="0" applyNumberFormat="1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  <xf numFmtId="0" fontId="19" fillId="0" borderId="1" xfId="0" applyFont="1" applyBorder="1"/>
    <xf numFmtId="0" fontId="19" fillId="6" borderId="0" xfId="0" applyFont="1" applyFill="1" applyAlignment="1">
      <alignment vertical="center" wrapText="1"/>
    </xf>
    <xf numFmtId="166" fontId="19" fillId="6" borderId="0" xfId="0" applyNumberFormat="1" applyFont="1" applyFill="1" applyAlignment="1">
      <alignment horizontal="center" vertical="center" wrapText="1"/>
    </xf>
    <xf numFmtId="166" fontId="19" fillId="6" borderId="0" xfId="0" applyNumberFormat="1" applyFont="1" applyFill="1" applyAlignment="1">
      <alignment vertical="center" wrapText="1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6" borderId="1" xfId="0" applyFont="1" applyFill="1" applyBorder="1" applyAlignment="1">
      <alignment horizontal="right" vertical="center" wrapText="1"/>
    </xf>
    <xf numFmtId="166" fontId="19" fillId="6" borderId="1" xfId="0" applyNumberFormat="1" applyFont="1" applyFill="1" applyBorder="1" applyAlignment="1">
      <alignment horizontal="right" vertical="center" wrapText="1"/>
    </xf>
    <xf numFmtId="0" fontId="12" fillId="0" borderId="1" xfId="0" applyFont="1" applyBorder="1"/>
    <xf numFmtId="0" fontId="19" fillId="6" borderId="1" xfId="0" quotePrefix="1" applyFont="1" applyFill="1" applyBorder="1" applyAlignment="1">
      <alignment horizontal="right" vertical="center" wrapText="1"/>
    </xf>
    <xf numFmtId="0" fontId="19" fillId="0" borderId="0" xfId="0" applyFont="1" applyAlignment="1">
      <alignment horizontal="right"/>
    </xf>
    <xf numFmtId="0" fontId="0" fillId="7" borderId="13" xfId="0" applyFill="1" applyBorder="1" applyAlignment="1">
      <alignment horizontal="center"/>
    </xf>
    <xf numFmtId="175" fontId="0" fillId="7" borderId="13" xfId="0" applyNumberFormat="1" applyFill="1" applyBorder="1"/>
    <xf numFmtId="0" fontId="0" fillId="7" borderId="13" xfId="0" applyFill="1" applyBorder="1"/>
    <xf numFmtId="176" fontId="0" fillId="7" borderId="13" xfId="0" applyNumberFormat="1" applyFill="1" applyBorder="1"/>
    <xf numFmtId="0" fontId="0" fillId="7" borderId="14" xfId="0" applyFill="1" applyBorder="1" applyAlignment="1">
      <alignment horizontal="center"/>
    </xf>
    <xf numFmtId="175" fontId="0" fillId="7" borderId="14" xfId="0" applyNumberFormat="1" applyFill="1" applyBorder="1"/>
    <xf numFmtId="178" fontId="0" fillId="7" borderId="14" xfId="0" applyNumberFormat="1" applyFill="1" applyBorder="1"/>
    <xf numFmtId="176" fontId="0" fillId="7" borderId="14" xfId="0" applyNumberFormat="1" applyFill="1" applyBorder="1"/>
    <xf numFmtId="0" fontId="0" fillId="7" borderId="14" xfId="0" applyFill="1" applyBorder="1"/>
    <xf numFmtId="0" fontId="0" fillId="7" borderId="10" xfId="0" applyFill="1" applyBorder="1"/>
    <xf numFmtId="0" fontId="0" fillId="7" borderId="13" xfId="0" applyFill="1" applyBorder="1" applyAlignment="1">
      <alignment horizontal="center" vertical="center"/>
    </xf>
    <xf numFmtId="171" fontId="0" fillId="7" borderId="7" xfId="0" applyNumberFormat="1" applyFill="1" applyBorder="1"/>
    <xf numFmtId="0" fontId="0" fillId="7" borderId="11" xfId="0" applyFill="1" applyBorder="1"/>
    <xf numFmtId="0" fontId="0" fillId="7" borderId="14" xfId="0" applyFill="1" applyBorder="1" applyAlignment="1">
      <alignment horizontal="center" vertical="center"/>
    </xf>
    <xf numFmtId="171" fontId="0" fillId="7" borderId="8" xfId="0" applyNumberFormat="1" applyFill="1" applyBorder="1"/>
    <xf numFmtId="0" fontId="0" fillId="7" borderId="12" xfId="0" applyFill="1" applyBorder="1"/>
    <xf numFmtId="0" fontId="0" fillId="7" borderId="15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vertical="center"/>
    </xf>
    <xf numFmtId="171" fontId="0" fillId="7" borderId="14" xfId="0" applyNumberFormat="1" applyFill="1" applyBorder="1"/>
    <xf numFmtId="0" fontId="0" fillId="7" borderId="1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1" fontId="0" fillId="7" borderId="15" xfId="0" applyNumberFormat="1" applyFill="1" applyBorder="1"/>
    <xf numFmtId="171" fontId="0" fillId="7" borderId="13" xfId="0" applyNumberFormat="1" applyFill="1" applyBorder="1"/>
    <xf numFmtId="2" fontId="0" fillId="7" borderId="13" xfId="0" applyNumberFormat="1" applyFill="1" applyBorder="1"/>
    <xf numFmtId="177" fontId="1" fillId="7" borderId="13" xfId="0" applyNumberFormat="1" applyFont="1" applyFill="1" applyBorder="1" applyAlignment="1">
      <alignment horizontal="right"/>
    </xf>
    <xf numFmtId="2" fontId="0" fillId="7" borderId="14" xfId="0" applyNumberFormat="1" applyFill="1" applyBorder="1"/>
    <xf numFmtId="177" fontId="1" fillId="7" borderId="14" xfId="0" applyNumberFormat="1" applyFont="1" applyFill="1" applyBorder="1" applyAlignment="1">
      <alignment horizontal="right"/>
    </xf>
    <xf numFmtId="168" fontId="0" fillId="7" borderId="13" xfId="0" applyNumberFormat="1" applyFill="1" applyBorder="1"/>
    <xf numFmtId="168" fontId="0" fillId="7" borderId="14" xfId="0" applyNumberFormat="1" applyFill="1" applyBorder="1"/>
    <xf numFmtId="168" fontId="0" fillId="7" borderId="15" xfId="0" applyNumberFormat="1" applyFill="1" applyBorder="1"/>
    <xf numFmtId="0" fontId="0" fillId="7" borderId="15" xfId="0" applyFill="1" applyBorder="1" applyAlignment="1">
      <alignment horizontal="center"/>
    </xf>
    <xf numFmtId="175" fontId="0" fillId="7" borderId="1" xfId="0" applyNumberFormat="1" applyFill="1" applyBorder="1"/>
    <xf numFmtId="0" fontId="0" fillId="7" borderId="1" xfId="0" applyFill="1" applyBorder="1" applyAlignment="1">
      <alignment horizontal="center" vertical="center"/>
    </xf>
    <xf numFmtId="175" fontId="0" fillId="7" borderId="15" xfId="0" applyNumberFormat="1" applyFill="1" applyBorder="1"/>
    <xf numFmtId="172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15" xfId="0" applyFill="1" applyBorder="1"/>
    <xf numFmtId="0" fontId="0" fillId="7" borderId="1" xfId="0" applyFill="1" applyBorder="1" applyAlignment="1">
      <alignment horizontal="left" vertical="center"/>
    </xf>
    <xf numFmtId="1" fontId="0" fillId="7" borderId="9" xfId="2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172" fontId="1" fillId="0" borderId="1" xfId="0" applyNumberFormat="1" applyFont="1" applyBorder="1" applyAlignment="1">
      <alignment horizontal="right"/>
    </xf>
    <xf numFmtId="172" fontId="0" fillId="7" borderId="15" xfId="0" applyNumberFormat="1" applyFill="1" applyBorder="1" applyAlignment="1">
      <alignment horizontal="right"/>
    </xf>
    <xf numFmtId="172" fontId="0" fillId="7" borderId="1" xfId="0" applyNumberFormat="1" applyFill="1" applyBorder="1" applyAlignment="1">
      <alignment horizontal="right"/>
    </xf>
    <xf numFmtId="172" fontId="0" fillId="7" borderId="15" xfId="0" applyNumberFormat="1" applyFill="1" applyBorder="1" applyAlignment="1">
      <alignment horizontal="center"/>
    </xf>
    <xf numFmtId="1" fontId="17" fillId="6" borderId="4" xfId="0" applyNumberFormat="1" applyFont="1" applyFill="1" applyBorder="1"/>
    <xf numFmtId="1" fontId="17" fillId="6" borderId="1" xfId="0" applyNumberFormat="1" applyFont="1" applyFill="1" applyBorder="1"/>
    <xf numFmtId="0" fontId="24" fillId="0" borderId="0" xfId="0" applyFont="1" applyAlignment="1">
      <alignment vertical="center" wrapText="1"/>
    </xf>
    <xf numFmtId="175" fontId="24" fillId="8" borderId="0" xfId="0" applyNumberFormat="1" applyFont="1" applyFill="1"/>
    <xf numFmtId="175" fontId="24" fillId="8" borderId="2" xfId="0" applyNumberFormat="1" applyFont="1" applyFill="1" applyBorder="1"/>
    <xf numFmtId="175" fontId="17" fillId="8" borderId="10" xfId="0" applyNumberFormat="1" applyFont="1" applyFill="1" applyBorder="1"/>
    <xf numFmtId="175" fontId="17" fillId="8" borderId="12" xfId="0" applyNumberFormat="1" applyFont="1" applyFill="1" applyBorder="1"/>
    <xf numFmtId="175" fontId="24" fillId="3" borderId="0" xfId="0" applyNumberFormat="1" applyFont="1" applyFill="1"/>
    <xf numFmtId="175" fontId="24" fillId="3" borderId="2" xfId="0" applyNumberFormat="1" applyFont="1" applyFill="1" applyBorder="1"/>
    <xf numFmtId="175" fontId="17" fillId="3" borderId="2" xfId="0" applyNumberFormat="1" applyFont="1" applyFill="1" applyBorder="1"/>
    <xf numFmtId="175" fontId="17" fillId="3" borderId="3" xfId="0" applyNumberFormat="1" applyFont="1" applyFill="1" applyBorder="1"/>
    <xf numFmtId="175" fontId="24" fillId="10" borderId="14" xfId="0" applyNumberFormat="1" applyFont="1" applyFill="1" applyBorder="1"/>
    <xf numFmtId="175" fontId="24" fillId="10" borderId="13" xfId="0" applyNumberFormat="1" applyFont="1" applyFill="1" applyBorder="1"/>
    <xf numFmtId="0" fontId="17" fillId="3" borderId="1" xfId="0" applyFont="1" applyFill="1" applyBorder="1" applyAlignment="1">
      <alignment horizontal="right"/>
    </xf>
    <xf numFmtId="0" fontId="24" fillId="3" borderId="1" xfId="0" applyFont="1" applyFill="1" applyBorder="1" applyAlignment="1">
      <alignment horizontal="center"/>
    </xf>
    <xf numFmtId="175" fontId="24" fillId="6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right"/>
    </xf>
    <xf numFmtId="0" fontId="17" fillId="8" borderId="1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0" borderId="9" xfId="0" applyFont="1" applyBorder="1"/>
    <xf numFmtId="0" fontId="0" fillId="10" borderId="11" xfId="0" applyFill="1" applyBorder="1"/>
    <xf numFmtId="0" fontId="0" fillId="10" borderId="0" xfId="0" applyFill="1"/>
    <xf numFmtId="0" fontId="0" fillId="10" borderId="8" xfId="0" applyFill="1" applyBorder="1"/>
    <xf numFmtId="0" fontId="0" fillId="10" borderId="12" xfId="0" applyFill="1" applyBorder="1"/>
    <xf numFmtId="0" fontId="0" fillId="10" borderId="3" xfId="0" applyFill="1" applyBorder="1"/>
    <xf numFmtId="0" fontId="0" fillId="10" borderId="9" xfId="0" applyFill="1" applyBorder="1"/>
    <xf numFmtId="0" fontId="20" fillId="10" borderId="4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 wrapText="1"/>
    </xf>
    <xf numFmtId="0" fontId="1" fillId="4" borderId="15" xfId="0" applyFont="1" applyFill="1" applyBorder="1" applyAlignment="1">
      <alignment horizontal="center" vertical="center"/>
    </xf>
    <xf numFmtId="171" fontId="0" fillId="7" borderId="10" xfId="0" applyNumberFormat="1" applyFill="1" applyBorder="1" applyAlignment="1">
      <alignment horizontal="right"/>
    </xf>
    <xf numFmtId="171" fontId="0" fillId="7" borderId="7" xfId="0" applyNumberFormat="1" applyFill="1" applyBorder="1" applyAlignment="1">
      <alignment horizontal="right"/>
    </xf>
    <xf numFmtId="171" fontId="0" fillId="7" borderId="11" xfId="0" applyNumberFormat="1" applyFill="1" applyBorder="1" applyAlignment="1">
      <alignment horizontal="right"/>
    </xf>
    <xf numFmtId="171" fontId="0" fillId="7" borderId="8" xfId="0" applyNumberFormat="1" applyFill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175" fontId="0" fillId="0" borderId="0" xfId="0" applyNumberFormat="1" applyAlignment="1">
      <alignment horizontal="right"/>
    </xf>
    <xf numFmtId="0" fontId="20" fillId="0" borderId="0" xfId="0" applyFont="1" applyAlignment="1">
      <alignment horizontal="center" vertical="center"/>
    </xf>
    <xf numFmtId="175" fontId="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24" fillId="10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6" borderId="0" xfId="0" applyFont="1" applyFill="1" applyAlignment="1">
      <alignment horizontal="center"/>
    </xf>
    <xf numFmtId="175" fontId="17" fillId="0" borderId="0" xfId="0" applyNumberFormat="1" applyFont="1" applyAlignment="1">
      <alignment horizontal="center"/>
    </xf>
    <xf numFmtId="0" fontId="24" fillId="8" borderId="1" xfId="0" applyFont="1" applyFill="1" applyBorder="1" applyAlignment="1">
      <alignment horizontal="center"/>
    </xf>
    <xf numFmtId="175" fontId="17" fillId="6" borderId="4" xfId="0" applyNumberFormat="1" applyFont="1" applyFill="1" applyBorder="1" applyAlignment="1">
      <alignment horizontal="center"/>
    </xf>
    <xf numFmtId="175" fontId="17" fillId="6" borderId="5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175" fontId="17" fillId="6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175" fontId="24" fillId="6" borderId="1" xfId="0" applyNumberFormat="1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 vertical="center"/>
    </xf>
    <xf numFmtId="171" fontId="24" fillId="3" borderId="1" xfId="0" applyNumberFormat="1" applyFont="1" applyFill="1" applyBorder="1" applyAlignment="1">
      <alignment horizontal="center" vertical="center"/>
    </xf>
    <xf numFmtId="180" fontId="24" fillId="6" borderId="4" xfId="1" applyNumberFormat="1" applyFont="1" applyFill="1" applyBorder="1" applyAlignment="1">
      <alignment horizontal="center"/>
    </xf>
    <xf numFmtId="180" fontId="24" fillId="6" borderId="5" xfId="1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171" fontId="17" fillId="8" borderId="1" xfId="0" applyNumberFormat="1" applyFont="1" applyFill="1" applyBorder="1" applyAlignment="1">
      <alignment horizontal="center" vertical="center"/>
    </xf>
    <xf numFmtId="171" fontId="24" fillId="8" borderId="1" xfId="0" applyNumberFormat="1" applyFont="1" applyFill="1" applyBorder="1" applyAlignment="1">
      <alignment horizontal="center" vertical="center"/>
    </xf>
    <xf numFmtId="171" fontId="17" fillId="3" borderId="1" xfId="0" applyNumberFormat="1" applyFont="1" applyFill="1" applyBorder="1" applyAlignment="1">
      <alignment horizontal="center" vertical="center"/>
    </xf>
    <xf numFmtId="9" fontId="17" fillId="6" borderId="0" xfId="0" applyNumberFormat="1" applyFont="1" applyFill="1" applyAlignment="1">
      <alignment horizontal="center"/>
    </xf>
    <xf numFmtId="0" fontId="24" fillId="0" borderId="0" xfId="0" applyFont="1" applyAlignment="1">
      <alignment horizontal="center" vertical="center"/>
    </xf>
    <xf numFmtId="175" fontId="24" fillId="0" borderId="0" xfId="0" applyNumberFormat="1" applyFont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75" fontId="24" fillId="3" borderId="1" xfId="0" applyNumberFormat="1" applyFont="1" applyFill="1" applyBorder="1" applyAlignment="1">
      <alignment horizontal="center" vertical="center"/>
    </xf>
    <xf numFmtId="175" fontId="24" fillId="8" borderId="1" xfId="0" applyNumberFormat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/>
    </xf>
    <xf numFmtId="175" fontId="17" fillId="0" borderId="0" xfId="0" applyNumberFormat="1" applyFont="1" applyAlignment="1">
      <alignment horizontal="right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4" fillId="4" borderId="4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24" fillId="5" borderId="10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right" vertical="center"/>
    </xf>
    <xf numFmtId="0" fontId="16" fillId="6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right"/>
    </xf>
    <xf numFmtId="0" fontId="15" fillId="1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5" fillId="6" borderId="0" xfId="0" applyFont="1" applyFill="1" applyAlignment="1">
      <alignment horizontal="left" vertical="center"/>
    </xf>
    <xf numFmtId="0" fontId="16" fillId="6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9" fillId="6" borderId="0" xfId="0" applyFont="1" applyFill="1" applyAlignment="1">
      <alignment horizontal="left"/>
    </xf>
    <xf numFmtId="171" fontId="18" fillId="4" borderId="1" xfId="0" applyNumberFormat="1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165" fontId="18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10" fontId="18" fillId="2" borderId="5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0" fillId="6" borderId="0" xfId="0" applyFill="1" applyAlignment="1">
      <alignment horizontal="left"/>
    </xf>
    <xf numFmtId="0" fontId="10" fillId="10" borderId="1" xfId="0" applyFont="1" applyFill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PE"/>
              <a:t>Punto de Equilibrio carteras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640103866503321E-2"/>
          <c:y val="0.14198740347257988"/>
          <c:w val="0.89690428400178501"/>
          <c:h val="0.761240007390217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 Carteras'!$A$12</c:f>
              <c:strCache>
                <c:ptCount val="1"/>
                <c:pt idx="0">
                  <c:v>IVN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 Carteras'!$B$11:$M$11</c:f>
              <c:numCache>
                <c:formatCode>"S/"#,##0.00</c:formatCode>
                <c:ptCount val="12"/>
                <c:pt idx="2" formatCode="0">
                  <c:v>0</c:v>
                </c:pt>
                <c:pt idx="3" formatCode="0">
                  <c:v>10</c:v>
                </c:pt>
                <c:pt idx="4" formatCode="0">
                  <c:v>20</c:v>
                </c:pt>
                <c:pt idx="5" formatCode="0">
                  <c:v>30</c:v>
                </c:pt>
                <c:pt idx="6" formatCode="0">
                  <c:v>40</c:v>
                </c:pt>
                <c:pt idx="7" formatCode="0">
                  <c:v>50</c:v>
                </c:pt>
                <c:pt idx="8" formatCode="0">
                  <c:v>65</c:v>
                </c:pt>
                <c:pt idx="9" formatCode="0">
                  <c:v>70</c:v>
                </c:pt>
                <c:pt idx="10" formatCode="0">
                  <c:v>80</c:v>
                </c:pt>
                <c:pt idx="11" formatCode="0">
                  <c:v>90</c:v>
                </c:pt>
              </c:numCache>
            </c:numRef>
          </c:xVal>
          <c:yVal>
            <c:numRef>
              <c:f>'PE Carteras'!$B$12:$M$12</c:f>
              <c:numCache>
                <c:formatCode>"S/"#,##0.00</c:formatCode>
                <c:ptCount val="12"/>
                <c:pt idx="2" formatCode="0">
                  <c:v>0</c:v>
                </c:pt>
                <c:pt idx="3" formatCode="0">
                  <c:v>5169.6000000000004</c:v>
                </c:pt>
                <c:pt idx="4" formatCode="0">
                  <c:v>10339.200000000001</c:v>
                </c:pt>
                <c:pt idx="5" formatCode="0">
                  <c:v>15508.800000000001</c:v>
                </c:pt>
                <c:pt idx="6" formatCode="0">
                  <c:v>20678.400000000001</c:v>
                </c:pt>
                <c:pt idx="7" formatCode="0">
                  <c:v>25848</c:v>
                </c:pt>
                <c:pt idx="8" formatCode="0">
                  <c:v>33602.400000000001</c:v>
                </c:pt>
                <c:pt idx="9" formatCode="0">
                  <c:v>36187.200000000004</c:v>
                </c:pt>
                <c:pt idx="10" formatCode="0">
                  <c:v>41356.800000000003</c:v>
                </c:pt>
                <c:pt idx="11" formatCode="0">
                  <c:v>46526.400000000001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9-49F0-84FD-5F0DC6D1F09F}"/>
            </c:ext>
          </c:extLst>
        </c:ser>
        <c:ser>
          <c:idx val="1"/>
          <c:order val="1"/>
          <c:tx>
            <c:strRef>
              <c:f>'PE Carteras'!$A$13</c:f>
              <c:strCache>
                <c:ptCount val="1"/>
                <c:pt idx="0">
                  <c:v>CV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 Carteras'!$B$11:$M$11</c:f>
              <c:numCache>
                <c:formatCode>"S/"#,##0.00</c:formatCode>
                <c:ptCount val="12"/>
                <c:pt idx="2" formatCode="0">
                  <c:v>0</c:v>
                </c:pt>
                <c:pt idx="3" formatCode="0">
                  <c:v>10</c:v>
                </c:pt>
                <c:pt idx="4" formatCode="0">
                  <c:v>20</c:v>
                </c:pt>
                <c:pt idx="5" formatCode="0">
                  <c:v>30</c:v>
                </c:pt>
                <c:pt idx="6" formatCode="0">
                  <c:v>40</c:v>
                </c:pt>
                <c:pt idx="7" formatCode="0">
                  <c:v>50</c:v>
                </c:pt>
                <c:pt idx="8" formatCode="0">
                  <c:v>65</c:v>
                </c:pt>
                <c:pt idx="9" formatCode="0">
                  <c:v>70</c:v>
                </c:pt>
                <c:pt idx="10" formatCode="0">
                  <c:v>80</c:v>
                </c:pt>
                <c:pt idx="11" formatCode="0">
                  <c:v>90</c:v>
                </c:pt>
              </c:numCache>
            </c:numRef>
          </c:xVal>
          <c:yVal>
            <c:numRef>
              <c:f>'PE Carteras'!$B$13:$M$13</c:f>
              <c:numCache>
                <c:formatCode>"S/"#,##0.00</c:formatCode>
                <c:ptCount val="12"/>
                <c:pt idx="2" formatCode="0">
                  <c:v>0</c:v>
                </c:pt>
                <c:pt idx="3" formatCode="0">
                  <c:v>541.88888888888891</c:v>
                </c:pt>
                <c:pt idx="4" formatCode="0">
                  <c:v>1083.7777777777778</c:v>
                </c:pt>
                <c:pt idx="5" formatCode="0">
                  <c:v>1625.6666666666667</c:v>
                </c:pt>
                <c:pt idx="6" formatCode="0">
                  <c:v>2167.5555555555557</c:v>
                </c:pt>
                <c:pt idx="7" formatCode="0">
                  <c:v>2709.4444444444443</c:v>
                </c:pt>
                <c:pt idx="8" formatCode="0">
                  <c:v>3522.2777777777778</c:v>
                </c:pt>
                <c:pt idx="9" formatCode="0">
                  <c:v>3793.2222222222222</c:v>
                </c:pt>
                <c:pt idx="10" formatCode="0">
                  <c:v>4335.1111111111113</c:v>
                </c:pt>
                <c:pt idx="11" formatCode="0">
                  <c:v>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9-49F0-84FD-5F0DC6D1F09F}"/>
            </c:ext>
          </c:extLst>
        </c:ser>
        <c:ser>
          <c:idx val="2"/>
          <c:order val="2"/>
          <c:tx>
            <c:strRef>
              <c:f>'PE Carteras'!$A$15</c:f>
              <c:strCache>
                <c:ptCount val="1"/>
                <c:pt idx="0">
                  <c:v>CF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'PE Carteras'!$B$11:$M$11</c:f>
              <c:numCache>
                <c:formatCode>"S/"#,##0.00</c:formatCode>
                <c:ptCount val="12"/>
                <c:pt idx="2" formatCode="0">
                  <c:v>0</c:v>
                </c:pt>
                <c:pt idx="3" formatCode="0">
                  <c:v>10</c:v>
                </c:pt>
                <c:pt idx="4" formatCode="0">
                  <c:v>20</c:v>
                </c:pt>
                <c:pt idx="5" formatCode="0">
                  <c:v>30</c:v>
                </c:pt>
                <c:pt idx="6" formatCode="0">
                  <c:v>40</c:v>
                </c:pt>
                <c:pt idx="7" formatCode="0">
                  <c:v>50</c:v>
                </c:pt>
                <c:pt idx="8" formatCode="0">
                  <c:v>65</c:v>
                </c:pt>
                <c:pt idx="9" formatCode="0">
                  <c:v>70</c:v>
                </c:pt>
                <c:pt idx="10" formatCode="0">
                  <c:v>80</c:v>
                </c:pt>
                <c:pt idx="11" formatCode="0">
                  <c:v>90</c:v>
                </c:pt>
              </c:numCache>
            </c:numRef>
          </c:xVal>
          <c:yVal>
            <c:numRef>
              <c:f>'PE Carteras'!$B$15:$M$15</c:f>
              <c:numCache>
                <c:formatCode>"S/"#,##0.00</c:formatCode>
                <c:ptCount val="12"/>
                <c:pt idx="2" formatCode="0">
                  <c:v>29883</c:v>
                </c:pt>
                <c:pt idx="3" formatCode="0">
                  <c:v>29883</c:v>
                </c:pt>
                <c:pt idx="4" formatCode="0">
                  <c:v>29883</c:v>
                </c:pt>
                <c:pt idx="5" formatCode="0">
                  <c:v>29883</c:v>
                </c:pt>
                <c:pt idx="6" formatCode="0">
                  <c:v>29883</c:v>
                </c:pt>
                <c:pt idx="7" formatCode="0">
                  <c:v>29883</c:v>
                </c:pt>
                <c:pt idx="8" formatCode="0">
                  <c:v>29883</c:v>
                </c:pt>
                <c:pt idx="9" formatCode="0">
                  <c:v>29883</c:v>
                </c:pt>
                <c:pt idx="10" formatCode="0">
                  <c:v>29883</c:v>
                </c:pt>
                <c:pt idx="11" formatCode="0">
                  <c:v>29883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9-49F0-84FD-5F0DC6D1F09F}"/>
            </c:ext>
          </c:extLst>
        </c:ser>
        <c:ser>
          <c:idx val="3"/>
          <c:order val="3"/>
          <c:tx>
            <c:strRef>
              <c:f>'PE Carteras'!$A$16</c:f>
              <c:strCache>
                <c:ptCount val="1"/>
                <c:pt idx="0">
                  <c:v>CTV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 Carteras'!$B$11:$M$11</c:f>
              <c:numCache>
                <c:formatCode>"S/"#,##0.00</c:formatCode>
                <c:ptCount val="12"/>
                <c:pt idx="2" formatCode="0">
                  <c:v>0</c:v>
                </c:pt>
                <c:pt idx="3" formatCode="0">
                  <c:v>10</c:v>
                </c:pt>
                <c:pt idx="4" formatCode="0">
                  <c:v>20</c:v>
                </c:pt>
                <c:pt idx="5" formatCode="0">
                  <c:v>30</c:v>
                </c:pt>
                <c:pt idx="6" formatCode="0">
                  <c:v>40</c:v>
                </c:pt>
                <c:pt idx="7" formatCode="0">
                  <c:v>50</c:v>
                </c:pt>
                <c:pt idx="8" formatCode="0">
                  <c:v>65</c:v>
                </c:pt>
                <c:pt idx="9" formatCode="0">
                  <c:v>70</c:v>
                </c:pt>
                <c:pt idx="10" formatCode="0">
                  <c:v>80</c:v>
                </c:pt>
                <c:pt idx="11" formatCode="0">
                  <c:v>90</c:v>
                </c:pt>
              </c:numCache>
            </c:numRef>
          </c:xVal>
          <c:yVal>
            <c:numRef>
              <c:f>'PE Carteras'!$B$16:$M$16</c:f>
              <c:numCache>
                <c:formatCode>"S/"#,##0.00</c:formatCode>
                <c:ptCount val="12"/>
                <c:pt idx="2" formatCode="0">
                  <c:v>29883</c:v>
                </c:pt>
                <c:pt idx="3" formatCode="0">
                  <c:v>30424.888888888891</c:v>
                </c:pt>
                <c:pt idx="4" formatCode="0">
                  <c:v>30966.777777777777</c:v>
                </c:pt>
                <c:pt idx="5" formatCode="0">
                  <c:v>31508.666666666668</c:v>
                </c:pt>
                <c:pt idx="6" formatCode="0">
                  <c:v>32050.555555555555</c:v>
                </c:pt>
                <c:pt idx="7" formatCode="0">
                  <c:v>32592.444444444445</c:v>
                </c:pt>
                <c:pt idx="8" formatCode="0">
                  <c:v>33405.277777777781</c:v>
                </c:pt>
                <c:pt idx="9" formatCode="0">
                  <c:v>33676.222222222219</c:v>
                </c:pt>
                <c:pt idx="10" formatCode="0">
                  <c:v>34218.111111111109</c:v>
                </c:pt>
                <c:pt idx="11" formatCode="0">
                  <c:v>34760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9-49F0-84FD-5F0DC6D1F09F}"/>
            </c:ext>
          </c:extLst>
        </c:ser>
        <c:ser>
          <c:idx val="4"/>
          <c:order val="4"/>
          <c:tx>
            <c:v>PE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6"/>
            <c:spPr>
              <a:solidFill>
                <a:srgbClr val="7030A0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623187946379063"/>
                  <c:y val="-0.12141238549393914"/>
                </c:manualLayout>
              </c:layout>
              <c:tx>
                <c:rich>
                  <a:bodyPr/>
                  <a:lstStyle/>
                  <a:p>
                    <a:fld id="{FA23DA0C-2F71-49D9-BA1C-51EDA6D67EFA}" type="XVALUE">
                      <a:rPr lang="en-US" sz="1500" b="1">
                        <a:solidFill>
                          <a:sysClr val="windowText" lastClr="000000"/>
                        </a:solidFill>
                      </a:rPr>
                      <a:pPr/>
                      <a:t>[VALOR DE X]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7D9091C6-F80A-4EEC-B955-290D02FF7B26}" type="YVALUE">
                      <a:rPr lang="en-US" sz="1400" b="1" baseline="0">
                        <a:solidFill>
                          <a:sysClr val="windowText" lastClr="000000"/>
                        </a:solidFill>
                      </a:rPr>
                      <a:pPr/>
                      <a:t>[VALOR DE Y]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5B9-49F0-84FD-5F0DC6D1F0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'PE Carteras'!$K$2:$K$4</c:f>
              <c:numCache>
                <c:formatCode>General</c:formatCode>
                <c:ptCount val="3"/>
                <c:pt idx="0">
                  <c:v>65</c:v>
                </c:pt>
              </c:numCache>
            </c:numRef>
          </c:xVal>
          <c:yVal>
            <c:numRef>
              <c:f>'PE Carteras'!$K$6:$K$8</c:f>
              <c:numCache>
                <c:formatCode>General</c:formatCode>
                <c:ptCount val="3"/>
                <c:pt idx="0">
                  <c:v>33602.400000000001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9-49F0-84FD-5F0DC6D1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35296"/>
        <c:axId val="109741568"/>
      </c:scatterChart>
      <c:valAx>
        <c:axId val="1097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E"/>
                  <a:t>UNIDADES VENDIDAS</a:t>
                </a:r>
              </a:p>
            </c:rich>
          </c:tx>
          <c:layout>
            <c:manualLayout>
              <c:xMode val="edge"/>
              <c:yMode val="edge"/>
              <c:x val="0.81564512988769622"/>
              <c:y val="0.95110940314043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317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PE"/>
          </a:p>
        </c:txPr>
        <c:crossAx val="109741568"/>
        <c:crosses val="autoZero"/>
        <c:crossBetween val="midCat"/>
      </c:valAx>
      <c:valAx>
        <c:axId val="109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prstDash val="lgDash"/>
              <a:round/>
            </a:ln>
            <a:effectLst/>
          </c:spPr>
        </c:majorGridlines>
        <c:numFmt formatCode="_(&quot;S/&quot;* #,##0_);_(&quot;S/&quot;* \(#,##0\);_(&quot;S/&quot;* &quot;-&quot;_);_(@_)" sourceLinked="0"/>
        <c:majorTickMark val="none"/>
        <c:minorTickMark val="none"/>
        <c:tickLblPos val="nextTo"/>
        <c:spPr>
          <a:noFill/>
          <a:ln w="317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PE"/>
          </a:p>
        </c:txPr>
        <c:crossAx val="1097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 sz="2000">
                <a:solidFill>
                  <a:schemeClr val="tx1"/>
                </a:solidFill>
              </a:rPr>
              <a:t>Punto de Equilibrio</a:t>
            </a:r>
            <a:r>
              <a:rPr lang="es-PE" sz="2000" baseline="0">
                <a:solidFill>
                  <a:schemeClr val="tx1"/>
                </a:solidFill>
              </a:rPr>
              <a:t> Correa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 Correa'!$A$12</c:f>
              <c:strCache>
                <c:ptCount val="1"/>
                <c:pt idx="0">
                  <c:v>IVN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 Correa'!$B$11:$M$11</c:f>
              <c:numCache>
                <c:formatCode>General</c:formatCode>
                <c:ptCount val="12"/>
                <c:pt idx="2" formatCode="#,##0_);[Red]\(#,##0\)">
                  <c:v>0</c:v>
                </c:pt>
                <c:pt idx="3" formatCode="#,##0_);[Red]\(#,##0\)">
                  <c:v>4</c:v>
                </c:pt>
                <c:pt idx="4" formatCode="#,##0_);[Red]\(#,##0\)">
                  <c:v>8</c:v>
                </c:pt>
                <c:pt idx="5" formatCode="#,##0_);[Red]\(#,##0\)">
                  <c:v>16</c:v>
                </c:pt>
                <c:pt idx="6" formatCode="#,##0_);[Red]\(#,##0\)">
                  <c:v>20</c:v>
                </c:pt>
                <c:pt idx="7" formatCode="#,##0_);[Red]\(#,##0\)">
                  <c:v>24</c:v>
                </c:pt>
                <c:pt idx="8" formatCode="#,##0_);[Red]\(#,##0\)">
                  <c:v>28</c:v>
                </c:pt>
                <c:pt idx="9" formatCode="#,##0_);[Red]\(#,##0\)">
                  <c:v>32</c:v>
                </c:pt>
                <c:pt idx="10" formatCode="#,##0_);[Red]\(#,##0\)">
                  <c:v>36</c:v>
                </c:pt>
                <c:pt idx="11" formatCode="#,##0_);[Red]\(#,##0\)">
                  <c:v>40</c:v>
                </c:pt>
              </c:numCache>
            </c:numRef>
          </c:xVal>
          <c:yVal>
            <c:numRef>
              <c:f>'PE Correa'!$B$12:$M$12</c:f>
              <c:numCache>
                <c:formatCode>General</c:formatCode>
                <c:ptCount val="12"/>
                <c:pt idx="2" formatCode="#,##0_);[Red]\(#,##0\)">
                  <c:v>0</c:v>
                </c:pt>
                <c:pt idx="3" formatCode="#,##0_);[Red]\(#,##0\)">
                  <c:v>640.6</c:v>
                </c:pt>
                <c:pt idx="4" formatCode="#,##0_);[Red]\(#,##0\)">
                  <c:v>1281.2</c:v>
                </c:pt>
                <c:pt idx="5" formatCode="#,##0_);[Red]\(#,##0\)">
                  <c:v>2562.4</c:v>
                </c:pt>
                <c:pt idx="6" formatCode="#,##0_);[Red]\(#,##0\)">
                  <c:v>3203</c:v>
                </c:pt>
                <c:pt idx="7" formatCode="#,##0_);[Red]\(#,##0\)">
                  <c:v>3843.6000000000004</c:v>
                </c:pt>
                <c:pt idx="8" formatCode="#,##0_);[Red]\(#,##0\)">
                  <c:v>4484.2</c:v>
                </c:pt>
                <c:pt idx="9" formatCode="#,##0_);[Red]\(#,##0\)">
                  <c:v>5124.8</c:v>
                </c:pt>
                <c:pt idx="10" formatCode="#,##0_);[Red]\(#,##0\)">
                  <c:v>5765.4000000000005</c:v>
                </c:pt>
                <c:pt idx="11" formatCode="#,##0_);[Red]\(#,##0\)">
                  <c:v>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8-4138-B082-D6D1926D32B8}"/>
            </c:ext>
          </c:extLst>
        </c:ser>
        <c:ser>
          <c:idx val="1"/>
          <c:order val="1"/>
          <c:tx>
            <c:strRef>
              <c:f>'PE Correa'!$A$13</c:f>
              <c:strCache>
                <c:ptCount val="1"/>
                <c:pt idx="0">
                  <c:v>CV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 Correa'!$B$11:$M$11</c:f>
              <c:numCache>
                <c:formatCode>General</c:formatCode>
                <c:ptCount val="12"/>
                <c:pt idx="2" formatCode="#,##0_);[Red]\(#,##0\)">
                  <c:v>0</c:v>
                </c:pt>
                <c:pt idx="3" formatCode="#,##0_);[Red]\(#,##0\)">
                  <c:v>4</c:v>
                </c:pt>
                <c:pt idx="4" formatCode="#,##0_);[Red]\(#,##0\)">
                  <c:v>8</c:v>
                </c:pt>
                <c:pt idx="5" formatCode="#,##0_);[Red]\(#,##0\)">
                  <c:v>16</c:v>
                </c:pt>
                <c:pt idx="6" formatCode="#,##0_);[Red]\(#,##0\)">
                  <c:v>20</c:v>
                </c:pt>
                <c:pt idx="7" formatCode="#,##0_);[Red]\(#,##0\)">
                  <c:v>24</c:v>
                </c:pt>
                <c:pt idx="8" formatCode="#,##0_);[Red]\(#,##0\)">
                  <c:v>28</c:v>
                </c:pt>
                <c:pt idx="9" formatCode="#,##0_);[Red]\(#,##0\)">
                  <c:v>32</c:v>
                </c:pt>
                <c:pt idx="10" formatCode="#,##0_);[Red]\(#,##0\)">
                  <c:v>36</c:v>
                </c:pt>
                <c:pt idx="11" formatCode="#,##0_);[Red]\(#,##0\)">
                  <c:v>40</c:v>
                </c:pt>
              </c:numCache>
            </c:numRef>
          </c:xVal>
          <c:yVal>
            <c:numRef>
              <c:f>'PE Correa'!$B$13:$M$13</c:f>
              <c:numCache>
                <c:formatCode>General</c:formatCode>
                <c:ptCount val="12"/>
                <c:pt idx="2" formatCode="#,##0_);[Red]\(#,##0\)">
                  <c:v>0</c:v>
                </c:pt>
                <c:pt idx="3" formatCode="#,##0_);[Red]\(#,##0\)">
                  <c:v>70.2</c:v>
                </c:pt>
                <c:pt idx="4" formatCode="#,##0_);[Red]\(#,##0\)">
                  <c:v>140.4</c:v>
                </c:pt>
                <c:pt idx="5" formatCode="#,##0_);[Red]\(#,##0\)">
                  <c:v>280.8</c:v>
                </c:pt>
                <c:pt idx="6" formatCode="#,##0_);[Red]\(#,##0\)">
                  <c:v>351</c:v>
                </c:pt>
                <c:pt idx="7" formatCode="#,##0_);[Red]\(#,##0\)">
                  <c:v>421.20000000000005</c:v>
                </c:pt>
                <c:pt idx="8" formatCode="#,##0_);[Red]\(#,##0\)">
                  <c:v>491.40000000000003</c:v>
                </c:pt>
                <c:pt idx="9" formatCode="#,##0_);[Red]\(#,##0\)">
                  <c:v>561.6</c:v>
                </c:pt>
                <c:pt idx="10" formatCode="#,##0_);[Red]\(#,##0\)">
                  <c:v>631.80000000000007</c:v>
                </c:pt>
                <c:pt idx="11" formatCode="#,##0_);[Red]\(#,##0\)">
                  <c:v>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8-4138-B082-D6D1926D32B8}"/>
            </c:ext>
          </c:extLst>
        </c:ser>
        <c:ser>
          <c:idx val="2"/>
          <c:order val="2"/>
          <c:tx>
            <c:strRef>
              <c:f>'PE Correa'!$A$15</c:f>
              <c:strCache>
                <c:ptCount val="1"/>
                <c:pt idx="0">
                  <c:v>CF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'PE Correa'!$B$11:$M$11</c:f>
              <c:numCache>
                <c:formatCode>General</c:formatCode>
                <c:ptCount val="12"/>
                <c:pt idx="2" formatCode="#,##0_);[Red]\(#,##0\)">
                  <c:v>0</c:v>
                </c:pt>
                <c:pt idx="3" formatCode="#,##0_);[Red]\(#,##0\)">
                  <c:v>4</c:v>
                </c:pt>
                <c:pt idx="4" formatCode="#,##0_);[Red]\(#,##0\)">
                  <c:v>8</c:v>
                </c:pt>
                <c:pt idx="5" formatCode="#,##0_);[Red]\(#,##0\)">
                  <c:v>16</c:v>
                </c:pt>
                <c:pt idx="6" formatCode="#,##0_);[Red]\(#,##0\)">
                  <c:v>20</c:v>
                </c:pt>
                <c:pt idx="7" formatCode="#,##0_);[Red]\(#,##0\)">
                  <c:v>24</c:v>
                </c:pt>
                <c:pt idx="8" formatCode="#,##0_);[Red]\(#,##0\)">
                  <c:v>28</c:v>
                </c:pt>
                <c:pt idx="9" formatCode="#,##0_);[Red]\(#,##0\)">
                  <c:v>32</c:v>
                </c:pt>
                <c:pt idx="10" formatCode="#,##0_);[Red]\(#,##0\)">
                  <c:v>36</c:v>
                </c:pt>
                <c:pt idx="11" formatCode="#,##0_);[Red]\(#,##0\)">
                  <c:v>40</c:v>
                </c:pt>
              </c:numCache>
            </c:numRef>
          </c:xVal>
          <c:yVal>
            <c:numRef>
              <c:f>'PE Correa'!$B$15:$M$15</c:f>
              <c:numCache>
                <c:formatCode>General</c:formatCode>
                <c:ptCount val="12"/>
                <c:pt idx="2" formatCode="#,##0_);[Red]\(#,##0\)">
                  <c:v>2222</c:v>
                </c:pt>
                <c:pt idx="3" formatCode="#,##0_);[Red]\(#,##0\)">
                  <c:v>2222</c:v>
                </c:pt>
                <c:pt idx="4" formatCode="#,##0_);[Red]\(#,##0\)">
                  <c:v>2222</c:v>
                </c:pt>
                <c:pt idx="5" formatCode="#,##0_);[Red]\(#,##0\)">
                  <c:v>2222</c:v>
                </c:pt>
                <c:pt idx="6" formatCode="#,##0_);[Red]\(#,##0\)">
                  <c:v>2222</c:v>
                </c:pt>
                <c:pt idx="7" formatCode="#,##0_);[Red]\(#,##0\)">
                  <c:v>2222</c:v>
                </c:pt>
                <c:pt idx="8" formatCode="#,##0_);[Red]\(#,##0\)">
                  <c:v>2222</c:v>
                </c:pt>
                <c:pt idx="9" formatCode="#,##0_);[Red]\(#,##0\)">
                  <c:v>2222</c:v>
                </c:pt>
                <c:pt idx="10" formatCode="#,##0_);[Red]\(#,##0\)">
                  <c:v>2222</c:v>
                </c:pt>
                <c:pt idx="11" formatCode="#,##0_);[Red]\(#,##0\)">
                  <c:v>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8-4138-B082-D6D1926D32B8}"/>
            </c:ext>
          </c:extLst>
        </c:ser>
        <c:ser>
          <c:idx val="3"/>
          <c:order val="3"/>
          <c:tx>
            <c:strRef>
              <c:f>'PE Correa'!$A$16</c:f>
              <c:strCache>
                <c:ptCount val="1"/>
                <c:pt idx="0">
                  <c:v>CTV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 Correa'!$B$11:$M$11</c:f>
              <c:numCache>
                <c:formatCode>General</c:formatCode>
                <c:ptCount val="12"/>
                <c:pt idx="2" formatCode="#,##0_);[Red]\(#,##0\)">
                  <c:v>0</c:v>
                </c:pt>
                <c:pt idx="3" formatCode="#,##0_);[Red]\(#,##0\)">
                  <c:v>4</c:v>
                </c:pt>
                <c:pt idx="4" formatCode="#,##0_);[Red]\(#,##0\)">
                  <c:v>8</c:v>
                </c:pt>
                <c:pt idx="5" formatCode="#,##0_);[Red]\(#,##0\)">
                  <c:v>16</c:v>
                </c:pt>
                <c:pt idx="6" formatCode="#,##0_);[Red]\(#,##0\)">
                  <c:v>20</c:v>
                </c:pt>
                <c:pt idx="7" formatCode="#,##0_);[Red]\(#,##0\)">
                  <c:v>24</c:v>
                </c:pt>
                <c:pt idx="8" formatCode="#,##0_);[Red]\(#,##0\)">
                  <c:v>28</c:v>
                </c:pt>
                <c:pt idx="9" formatCode="#,##0_);[Red]\(#,##0\)">
                  <c:v>32</c:v>
                </c:pt>
                <c:pt idx="10" formatCode="#,##0_);[Red]\(#,##0\)">
                  <c:v>36</c:v>
                </c:pt>
                <c:pt idx="11" formatCode="#,##0_);[Red]\(#,##0\)">
                  <c:v>40</c:v>
                </c:pt>
              </c:numCache>
            </c:numRef>
          </c:xVal>
          <c:yVal>
            <c:numRef>
              <c:f>'PE Correa'!$B$16:$M$16</c:f>
              <c:numCache>
                <c:formatCode>General</c:formatCode>
                <c:ptCount val="12"/>
                <c:pt idx="2" formatCode="#,##0_);[Red]\(#,##0\)">
                  <c:v>2222</c:v>
                </c:pt>
                <c:pt idx="3" formatCode="#,##0_);[Red]\(#,##0\)">
                  <c:v>2292.1999999999998</c:v>
                </c:pt>
                <c:pt idx="4" formatCode="#,##0_);[Red]\(#,##0\)">
                  <c:v>2362.4</c:v>
                </c:pt>
                <c:pt idx="5" formatCode="#,##0_);[Red]\(#,##0\)">
                  <c:v>2502.8000000000002</c:v>
                </c:pt>
                <c:pt idx="6" formatCode="#,##0_);[Red]\(#,##0\)">
                  <c:v>2573</c:v>
                </c:pt>
                <c:pt idx="7" formatCode="#,##0_);[Red]\(#,##0\)">
                  <c:v>2643.2</c:v>
                </c:pt>
                <c:pt idx="8" formatCode="#,##0_);[Red]\(#,##0\)">
                  <c:v>2713.4</c:v>
                </c:pt>
                <c:pt idx="9" formatCode="#,##0_);[Red]\(#,##0\)">
                  <c:v>2783.6</c:v>
                </c:pt>
                <c:pt idx="10" formatCode="#,##0_);[Red]\(#,##0\)">
                  <c:v>2853.8</c:v>
                </c:pt>
                <c:pt idx="11" formatCode="#,##0_);[Red]\(#,##0\)">
                  <c:v>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8-4138-B082-D6D1926D32B8}"/>
            </c:ext>
          </c:extLst>
        </c:ser>
        <c:ser>
          <c:idx val="4"/>
          <c:order val="4"/>
          <c:tx>
            <c:v>PE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6"/>
            <c:spPr>
              <a:solidFill>
                <a:srgbClr val="7030A0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4676084483852924E-2"/>
                  <c:y val="-0.2283105022831051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23DA0C-2F71-49D9-BA1C-51EDA6D67EFA}" type="XVALUE">
                      <a:rPr lang="en-US" sz="2800" b="1">
                        <a:solidFill>
                          <a:sysClr val="windowText" lastClr="000000"/>
                        </a:solidFill>
                      </a:rPr>
                      <a:pPr>
                        <a:defRPr sz="28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 DE X]</a:t>
                    </a:fld>
                    <a:r>
                      <a:rPr lang="en-US" sz="2800" b="1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7D9091C6-F80A-4EEC-B955-290D02FF7B26}" type="YVALUE">
                      <a:rPr lang="en-US" sz="2800" b="1" baseline="0">
                        <a:solidFill>
                          <a:sysClr val="windowText" lastClr="000000"/>
                        </a:solidFill>
                      </a:rPr>
                      <a:pPr>
                        <a:defRPr sz="28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 DE Y]</a:t>
                    </a:fld>
                    <a:endParaRPr lang="en-US" sz="2800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738-4138-B082-D6D1926D32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'PE Correa'!$K$2:$K$4</c:f>
              <c:numCache>
                <c:formatCode>General</c:formatCode>
                <c:ptCount val="3"/>
                <c:pt idx="0">
                  <c:v>16</c:v>
                </c:pt>
              </c:numCache>
            </c:numRef>
          </c:xVal>
          <c:yVal>
            <c:numRef>
              <c:f>'PE Correa'!$K$6:$K$8</c:f>
              <c:numCache>
                <c:formatCode>General</c:formatCode>
                <c:ptCount val="3"/>
                <c:pt idx="0">
                  <c:v>2562.4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38-4138-B082-D6D1926D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0912"/>
        <c:axId val="109832832"/>
      </c:scatterChart>
      <c:valAx>
        <c:axId val="1098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800" b="1">
                    <a:solidFill>
                      <a:sysClr val="windowText" lastClr="000000"/>
                    </a:solidFill>
                  </a:rPr>
                  <a:t>UNIDADES VENDIDAS</a:t>
                </a:r>
              </a:p>
            </c:rich>
          </c:tx>
          <c:layout>
            <c:manualLayout>
              <c:xMode val="edge"/>
              <c:yMode val="edge"/>
              <c:x val="0.8181838799118778"/>
              <c:y val="0.940321227481218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832832"/>
        <c:crosses val="autoZero"/>
        <c:crossBetween val="midCat"/>
      </c:valAx>
      <c:valAx>
        <c:axId val="1098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prstDash val="lgDash"/>
              <a:round/>
            </a:ln>
            <a:effectLst/>
          </c:spPr>
        </c:majorGridlines>
        <c:numFmt formatCode="_(&quot;S/&quot;* #,##0_);_(&quot;S/&quot;* \(#,##0\);_(&quot;S/&quot;* &quot;-&quot;_);_(@_)" sourceLinked="0"/>
        <c:majorTickMark val="none"/>
        <c:minorTickMark val="none"/>
        <c:tickLblPos val="nextTo"/>
        <c:spPr>
          <a:noFill/>
          <a:ln w="317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8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912863978531534E-2"/>
          <c:y val="7.1696490373987232E-2"/>
          <c:w val="0.83897325334333206"/>
          <c:h val="7.6698396433322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5.JP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JP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174587</xdr:colOff>
      <xdr:row>1</xdr:row>
      <xdr:rowOff>28799</xdr:rowOff>
    </xdr:from>
    <xdr:to>
      <xdr:col>8</xdr:col>
      <xdr:colOff>628650</xdr:colOff>
      <xdr:row>3</xdr:row>
      <xdr:rowOff>111316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8DC250-22BA-465A-9E66-665B88226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087" y="171674"/>
          <a:ext cx="1901863" cy="368267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647701</xdr:colOff>
      <xdr:row>5</xdr:row>
      <xdr:rowOff>15241</xdr:rowOff>
    </xdr:from>
    <xdr:to>
      <xdr:col>9</xdr:col>
      <xdr:colOff>190501</xdr:colOff>
      <xdr:row>7</xdr:row>
      <xdr:rowOff>101861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2EC868-34EF-492E-984A-68694C2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1" y="729616"/>
          <a:ext cx="2438400" cy="372370"/>
        </a:xfrm>
        <a:prstGeom prst="rect">
          <a:avLst/>
        </a:prstGeom>
      </xdr:spPr>
    </xdr:pic>
    <xdr:clientData/>
  </xdr:twoCellAnchor>
  <xdr:twoCellAnchor>
    <xdr:from>
      <xdr:col>1</xdr:col>
      <xdr:colOff>310342</xdr:colOff>
      <xdr:row>17</xdr:row>
      <xdr:rowOff>103736</xdr:rowOff>
    </xdr:from>
    <xdr:to>
      <xdr:col>13</xdr:col>
      <xdr:colOff>0</xdr:colOff>
      <xdr:row>46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15DBC-0FCB-42A5-8635-9C64217B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166946</xdr:colOff>
      <xdr:row>3</xdr:row>
      <xdr:rowOff>69201</xdr:rowOff>
    </xdr:from>
    <xdr:to>
      <xdr:col>14</xdr:col>
      <xdr:colOff>333376</xdr:colOff>
      <xdr:row>6</xdr:row>
      <xdr:rowOff>115109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01C7EC-E6CE-4DEA-AAA7-595E49104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34846" y="497826"/>
          <a:ext cx="1614230" cy="474533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14</xdr:row>
      <xdr:rowOff>95250</xdr:rowOff>
    </xdr:from>
    <xdr:to>
      <xdr:col>21</xdr:col>
      <xdr:colOff>571500</xdr:colOff>
      <xdr:row>17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EFB986-E404-4300-A84B-CAA08531C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9050" y="2095500"/>
          <a:ext cx="50673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945930</xdr:colOff>
      <xdr:row>1</xdr:row>
      <xdr:rowOff>14534</xdr:rowOff>
    </xdr:from>
    <xdr:to>
      <xdr:col>8</xdr:col>
      <xdr:colOff>971878</xdr:colOff>
      <xdr:row>3</xdr:row>
      <xdr:rowOff>240998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68E51-638E-4F4F-A28B-3A9AC3ADD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9430" y="205034"/>
          <a:ext cx="3029124" cy="607464"/>
        </a:xfrm>
        <a:prstGeom prst="rect">
          <a:avLst/>
        </a:prstGeom>
      </xdr:spPr>
    </xdr:pic>
    <xdr:clientData/>
  </xdr:twoCellAnchor>
  <xdr:twoCellAnchor editAs="oneCell">
    <xdr:from>
      <xdr:col>5</xdr:col>
      <xdr:colOff>758743</xdr:colOff>
      <xdr:row>5</xdr:row>
      <xdr:rowOff>155538</xdr:rowOff>
    </xdr:from>
    <xdr:to>
      <xdr:col>9</xdr:col>
      <xdr:colOff>259145</xdr:colOff>
      <xdr:row>7</xdr:row>
      <xdr:rowOff>150262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D1FD8E-991E-44FD-B3AB-21770B3E2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2243" y="1264920"/>
          <a:ext cx="3500902" cy="599842"/>
        </a:xfrm>
        <a:prstGeom prst="rect">
          <a:avLst/>
        </a:prstGeom>
      </xdr:spPr>
    </xdr:pic>
    <xdr:clientData/>
  </xdr:twoCellAnchor>
  <xdr:twoCellAnchor>
    <xdr:from>
      <xdr:col>1</xdr:col>
      <xdr:colOff>422686</xdr:colOff>
      <xdr:row>18</xdr:row>
      <xdr:rowOff>142875</xdr:rowOff>
    </xdr:from>
    <xdr:to>
      <xdr:col>12</xdr:col>
      <xdr:colOff>514126</xdr:colOff>
      <xdr:row>55</xdr:row>
      <xdr:rowOff>90920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C65DB-52F6-4E68-9398-32956AC0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331817</xdr:colOff>
      <xdr:row>3</xdr:row>
      <xdr:rowOff>97674</xdr:rowOff>
    </xdr:from>
    <xdr:to>
      <xdr:col>15</xdr:col>
      <xdr:colOff>463150</xdr:colOff>
      <xdr:row>6</xdr:row>
      <xdr:rowOff>234834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510FD9-4344-47A1-A253-7CE4B73B7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33962" y="638001"/>
          <a:ext cx="2597442" cy="926869"/>
        </a:xfrm>
        <a:prstGeom prst="rect">
          <a:avLst/>
        </a:prstGeom>
      </xdr:spPr>
    </xdr:pic>
    <xdr:clientData/>
  </xdr:twoCellAnchor>
  <xdr:twoCellAnchor editAs="oneCell">
    <xdr:from>
      <xdr:col>14</xdr:col>
      <xdr:colOff>235324</xdr:colOff>
      <xdr:row>14</xdr:row>
      <xdr:rowOff>190500</xdr:rowOff>
    </xdr:from>
    <xdr:to>
      <xdr:col>25</xdr:col>
      <xdr:colOff>104801</xdr:colOff>
      <xdr:row>17</xdr:row>
      <xdr:rowOff>44822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5D871F-F25E-46E8-A49D-589C2F9E8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8353" y="3709147"/>
          <a:ext cx="8179760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4</xdr:row>
      <xdr:rowOff>22860</xdr:rowOff>
    </xdr:from>
    <xdr:to>
      <xdr:col>4</xdr:col>
      <xdr:colOff>594360</xdr:colOff>
      <xdr:row>6</xdr:row>
      <xdr:rowOff>153522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0A622-14B1-406F-AC71-8CCC126B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2667000" cy="496422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11</xdr:row>
      <xdr:rowOff>15240</xdr:rowOff>
    </xdr:from>
    <xdr:to>
      <xdr:col>5</xdr:col>
      <xdr:colOff>533400</xdr:colOff>
      <xdr:row>13</xdr:row>
      <xdr:rowOff>165405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5D91E-E50C-447E-986B-B2E6BE4C8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" y="2026920"/>
          <a:ext cx="3459480" cy="51592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11</xdr:row>
      <xdr:rowOff>38100</xdr:rowOff>
    </xdr:from>
    <xdr:to>
      <xdr:col>15</xdr:col>
      <xdr:colOff>457200</xdr:colOff>
      <xdr:row>14</xdr:row>
      <xdr:rowOff>5385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F43710-FCC7-442C-82EF-0D93AC754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240" y="2049780"/>
          <a:ext cx="3459480" cy="51592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4</xdr:row>
      <xdr:rowOff>38100</xdr:rowOff>
    </xdr:from>
    <xdr:to>
      <xdr:col>14</xdr:col>
      <xdr:colOff>274320</xdr:colOff>
      <xdr:row>6</xdr:row>
      <xdr:rowOff>168762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F30B5D-141F-457B-BB7F-D92818574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240" y="769620"/>
          <a:ext cx="2667000" cy="496422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17</xdr:row>
      <xdr:rowOff>114300</xdr:rowOff>
    </xdr:from>
    <xdr:to>
      <xdr:col>11</xdr:col>
      <xdr:colOff>114936</xdr:colOff>
      <xdr:row>22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ACD437-7D92-4860-9DC7-2F3ED90E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1980" y="3223260"/>
          <a:ext cx="2759076" cy="838200"/>
        </a:xfrm>
        <a:prstGeom prst="rect">
          <a:avLst/>
        </a:prstGeom>
      </xdr:spPr>
    </xdr:pic>
    <xdr:clientData/>
  </xdr:twoCellAnchor>
  <xdr:twoCellAnchor editAs="oneCell">
    <xdr:from>
      <xdr:col>5</xdr:col>
      <xdr:colOff>545266</xdr:colOff>
      <xdr:row>25</xdr:row>
      <xdr:rowOff>82382</xdr:rowOff>
    </xdr:from>
    <xdr:to>
      <xdr:col>6</xdr:col>
      <xdr:colOff>146537</xdr:colOff>
      <xdr:row>26</xdr:row>
      <xdr:rowOff>111373</xdr:rowOff>
    </xdr:to>
    <xdr:pic>
      <xdr:nvPicPr>
        <xdr:cNvPr id="7" name="Picture 6" descr="Imagen relacionada">
          <a:extLst>
            <a:ext uri="{FF2B5EF4-FFF2-40B4-BE49-F238E27FC236}">
              <a16:creationId xmlns:a16="http://schemas.microsoft.com/office/drawing/2014/main" id="{E2BD869C-1D86-46AE-A6B3-2CF97BF3B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3266" y="4625074"/>
          <a:ext cx="210871" cy="210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350017</xdr:colOff>
      <xdr:row>25</xdr:row>
      <xdr:rowOff>79552</xdr:rowOff>
    </xdr:from>
    <xdr:to>
      <xdr:col>15</xdr:col>
      <xdr:colOff>560888</xdr:colOff>
      <xdr:row>26</xdr:row>
      <xdr:rowOff>108543</xdr:rowOff>
    </xdr:to>
    <xdr:pic>
      <xdr:nvPicPr>
        <xdr:cNvPr id="9" name="Picture 8" descr="Imagen relacionada">
          <a:extLst>
            <a:ext uri="{FF2B5EF4-FFF2-40B4-BE49-F238E27FC236}">
              <a16:creationId xmlns:a16="http://schemas.microsoft.com/office/drawing/2014/main" id="{71075F38-6278-4C1F-8622-B90B3AC6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5709" y="4622244"/>
          <a:ext cx="210871" cy="210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"/>
  <sheetViews>
    <sheetView showGridLines="0" topLeftCell="C1" zoomScale="47" zoomScaleNormal="95" workbookViewId="0">
      <selection activeCell="M39" sqref="M39"/>
    </sheetView>
  </sheetViews>
  <sheetFormatPr baseColWidth="10" defaultColWidth="9.109375" defaultRowHeight="14.4" x14ac:dyDescent="0.3"/>
  <cols>
    <col min="1" max="1" width="2.6640625" customWidth="1"/>
    <col min="2" max="2" width="37.5546875" bestFit="1" customWidth="1"/>
    <col min="3" max="3" width="27.44140625" bestFit="1" customWidth="1"/>
    <col min="4" max="4" width="20.88671875" bestFit="1" customWidth="1"/>
    <col min="5" max="5" width="22" bestFit="1" customWidth="1"/>
    <col min="6" max="6" width="29.44140625" customWidth="1"/>
    <col min="9" max="9" width="37.88671875" customWidth="1"/>
    <col min="10" max="10" width="16" bestFit="1" customWidth="1"/>
    <col min="11" max="11" width="18" bestFit="1" customWidth="1"/>
    <col min="12" max="12" width="19.33203125" customWidth="1"/>
    <col min="13" max="13" width="34.6640625" customWidth="1"/>
    <col min="14" max="14" width="25" customWidth="1"/>
    <col min="15" max="15" width="20.44140625" bestFit="1" customWidth="1"/>
    <col min="16" max="16" width="17.33203125" bestFit="1" customWidth="1"/>
    <col min="17" max="17" width="15" bestFit="1" customWidth="1"/>
    <col min="18" max="18" width="2.33203125" customWidth="1"/>
    <col min="19" max="19" width="37.33203125" customWidth="1"/>
  </cols>
  <sheetData>
    <row r="1" spans="1:20" ht="15" customHeight="1" x14ac:dyDescent="0.3">
      <c r="A1" s="261" t="s">
        <v>125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5"/>
    </row>
    <row r="2" spans="1:20" ht="15" customHeight="1" x14ac:dyDescent="0.3">
      <c r="A2" s="261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5"/>
    </row>
    <row r="3" spans="1:20" ht="15" customHeight="1" x14ac:dyDescent="0.3">
      <c r="A3" s="261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5"/>
    </row>
    <row r="4" spans="1:20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ht="22.5" customHeight="1" x14ac:dyDescent="0.3">
      <c r="B5" s="234" t="s">
        <v>209</v>
      </c>
      <c r="C5" s="235"/>
      <c r="D5" s="235"/>
      <c r="E5" s="235"/>
      <c r="F5" s="236"/>
      <c r="G5" s="5"/>
      <c r="H5" s="5"/>
      <c r="I5" s="234" t="s">
        <v>139</v>
      </c>
      <c r="J5" s="235"/>
      <c r="K5" s="235"/>
      <c r="L5" s="235"/>
      <c r="M5" s="236"/>
      <c r="N5" s="5"/>
      <c r="O5" s="5"/>
      <c r="P5" s="5"/>
      <c r="Q5" s="5"/>
      <c r="R5" s="5"/>
    </row>
    <row r="6" spans="1:20" x14ac:dyDescent="0.3">
      <c r="B6" s="46" t="s">
        <v>198</v>
      </c>
      <c r="C6" s="46" t="s">
        <v>56</v>
      </c>
      <c r="D6" s="46" t="s">
        <v>57</v>
      </c>
      <c r="E6" s="46" t="s">
        <v>58</v>
      </c>
      <c r="F6" s="46" t="s">
        <v>114</v>
      </c>
      <c r="G6" s="5"/>
      <c r="H6" s="5"/>
      <c r="I6" s="48" t="s">
        <v>198</v>
      </c>
      <c r="J6" s="49" t="s">
        <v>56</v>
      </c>
      <c r="K6" s="49" t="s">
        <v>57</v>
      </c>
      <c r="L6" s="49" t="s">
        <v>58</v>
      </c>
      <c r="M6" s="46" t="s">
        <v>114</v>
      </c>
      <c r="N6" s="5"/>
    </row>
    <row r="7" spans="1:20" x14ac:dyDescent="0.3">
      <c r="B7" s="157" t="s">
        <v>122</v>
      </c>
      <c r="C7" s="157" t="s">
        <v>123</v>
      </c>
      <c r="D7" s="158">
        <v>75</v>
      </c>
      <c r="E7" s="159">
        <f>1/8</f>
        <v>0.125</v>
      </c>
      <c r="F7" s="160">
        <f t="shared" ref="F7:F12" si="0">+D7*E7</f>
        <v>9.375</v>
      </c>
      <c r="G7" s="5"/>
      <c r="H7" s="5"/>
      <c r="I7" s="157" t="s">
        <v>131</v>
      </c>
      <c r="J7" s="157" t="s">
        <v>123</v>
      </c>
      <c r="K7" s="158">
        <v>75</v>
      </c>
      <c r="L7" s="183">
        <f>1/4</f>
        <v>0.25</v>
      </c>
      <c r="M7" s="184">
        <f t="shared" ref="M7:M8" si="1">+K7*L7</f>
        <v>18.75</v>
      </c>
      <c r="N7" s="5"/>
      <c r="T7" s="5"/>
    </row>
    <row r="8" spans="1:20" x14ac:dyDescent="0.3">
      <c r="B8" s="161" t="s">
        <v>126</v>
      </c>
      <c r="C8" s="161" t="s">
        <v>124</v>
      </c>
      <c r="D8" s="162">
        <v>6.5</v>
      </c>
      <c r="E8" s="163">
        <f>1/6</f>
        <v>0.16666666666666666</v>
      </c>
      <c r="F8" s="164">
        <f t="shared" si="0"/>
        <v>1.0833333333333333</v>
      </c>
      <c r="G8" s="5"/>
      <c r="H8" s="5"/>
      <c r="I8" s="161" t="s">
        <v>132</v>
      </c>
      <c r="J8" s="161" t="s">
        <v>123</v>
      </c>
      <c r="K8" s="162">
        <v>3.8</v>
      </c>
      <c r="L8" s="185">
        <v>1</v>
      </c>
      <c r="M8" s="186">
        <f t="shared" si="1"/>
        <v>3.8</v>
      </c>
      <c r="N8" s="5"/>
      <c r="T8" s="5"/>
    </row>
    <row r="9" spans="1:20" x14ac:dyDescent="0.3">
      <c r="B9" s="161" t="s">
        <v>129</v>
      </c>
      <c r="C9" s="161" t="s">
        <v>123</v>
      </c>
      <c r="D9" s="162">
        <v>5.8</v>
      </c>
      <c r="E9" s="163">
        <f>10/300</f>
        <v>3.3333333333333333E-2</v>
      </c>
      <c r="F9" s="164">
        <f t="shared" si="0"/>
        <v>0.19333333333333333</v>
      </c>
      <c r="G9" s="5"/>
      <c r="H9" s="5"/>
      <c r="I9" s="265" t="s">
        <v>61</v>
      </c>
      <c r="J9" s="266"/>
      <c r="K9" s="266"/>
      <c r="L9" s="267"/>
      <c r="M9" s="103">
        <f>ROUND(SUM(M7:M8),0)</f>
        <v>23</v>
      </c>
      <c r="N9" s="5"/>
      <c r="T9" s="5"/>
    </row>
    <row r="10" spans="1:20" x14ac:dyDescent="0.3">
      <c r="B10" s="161" t="s">
        <v>130</v>
      </c>
      <c r="C10" s="161" t="s">
        <v>123</v>
      </c>
      <c r="D10" s="162">
        <v>3.8</v>
      </c>
      <c r="E10" s="165">
        <v>4</v>
      </c>
      <c r="F10" s="164">
        <f t="shared" si="0"/>
        <v>15.2</v>
      </c>
      <c r="G10" s="5"/>
      <c r="H10" s="5"/>
      <c r="I10" s="5"/>
      <c r="J10" s="5"/>
      <c r="K10" s="5"/>
      <c r="L10" s="5"/>
      <c r="M10" s="5"/>
      <c r="N10" s="5"/>
      <c r="T10" s="5"/>
    </row>
    <row r="11" spans="1:20" x14ac:dyDescent="0.3">
      <c r="B11" s="161" t="s">
        <v>128</v>
      </c>
      <c r="C11" s="161" t="s">
        <v>123</v>
      </c>
      <c r="D11" s="162">
        <v>2.6</v>
      </c>
      <c r="E11" s="165">
        <v>1</v>
      </c>
      <c r="F11" s="164">
        <f t="shared" si="0"/>
        <v>2.6</v>
      </c>
      <c r="G11" s="5"/>
      <c r="H11" s="5"/>
      <c r="T11" s="5"/>
    </row>
    <row r="12" spans="1:20" ht="15.6" x14ac:dyDescent="0.3">
      <c r="B12" s="161" t="s">
        <v>127</v>
      </c>
      <c r="C12" s="161" t="s">
        <v>123</v>
      </c>
      <c r="D12" s="162">
        <v>0.6</v>
      </c>
      <c r="E12" s="165">
        <v>1</v>
      </c>
      <c r="F12" s="164">
        <f t="shared" si="0"/>
        <v>0.6</v>
      </c>
      <c r="G12" s="5"/>
      <c r="H12" s="5"/>
      <c r="I12" s="241"/>
      <c r="J12" s="241"/>
      <c r="K12" s="241"/>
      <c r="L12" s="241"/>
      <c r="T12" s="5"/>
    </row>
    <row r="13" spans="1:20" ht="15.6" x14ac:dyDescent="0.3">
      <c r="B13" s="263" t="s">
        <v>61</v>
      </c>
      <c r="C13" s="264"/>
      <c r="D13" s="264"/>
      <c r="E13" s="264"/>
      <c r="F13" s="47">
        <f>ROUND(SUM(F7:F12),0)</f>
        <v>29</v>
      </c>
      <c r="G13" s="5"/>
      <c r="H13" s="5"/>
      <c r="I13" s="5"/>
      <c r="J13" s="5"/>
      <c r="K13" s="5"/>
      <c r="L13" s="5"/>
      <c r="M13" s="242"/>
      <c r="N13" s="242"/>
      <c r="O13" s="242"/>
      <c r="T13" s="5"/>
    </row>
    <row r="14" spans="1:20" ht="15.6" x14ac:dyDescent="0.3">
      <c r="B14" s="5"/>
      <c r="C14" s="5"/>
      <c r="D14" s="5"/>
      <c r="E14" s="5"/>
      <c r="F14" s="9"/>
      <c r="G14" s="5"/>
      <c r="H14" s="5"/>
      <c r="I14" s="234" t="s">
        <v>84</v>
      </c>
      <c r="J14" s="235"/>
      <c r="K14" s="235"/>
      <c r="L14" s="262"/>
      <c r="N14" s="259"/>
      <c r="O14" s="259"/>
      <c r="P14" s="259"/>
      <c r="Q14" s="259"/>
      <c r="T14" s="5"/>
    </row>
    <row r="15" spans="1:20" x14ac:dyDescent="0.3">
      <c r="B15" s="5"/>
      <c r="C15" s="5"/>
      <c r="D15" s="5"/>
      <c r="E15" s="5"/>
      <c r="F15" s="5"/>
      <c r="G15" s="5"/>
      <c r="H15" s="5"/>
      <c r="I15" s="245" t="s">
        <v>81</v>
      </c>
      <c r="J15" s="246"/>
      <c r="K15" s="50" t="s">
        <v>82</v>
      </c>
      <c r="L15" s="50" t="s">
        <v>83</v>
      </c>
      <c r="N15" s="12"/>
      <c r="O15" s="110"/>
      <c r="P15" s="12"/>
      <c r="Q15" s="12"/>
    </row>
    <row r="16" spans="1:20" x14ac:dyDescent="0.3">
      <c r="B16" s="5"/>
      <c r="C16" s="5"/>
      <c r="D16" s="5"/>
      <c r="E16" s="5"/>
      <c r="F16" s="5"/>
      <c r="G16" s="5"/>
      <c r="H16" s="5"/>
      <c r="I16" s="243" t="s">
        <v>164</v>
      </c>
      <c r="J16" s="244"/>
      <c r="K16" s="187">
        <v>400</v>
      </c>
      <c r="L16" s="157"/>
      <c r="M16" s="5"/>
      <c r="O16" s="10"/>
      <c r="P16" s="10"/>
      <c r="Q16" s="111"/>
    </row>
    <row r="17" spans="2:18" x14ac:dyDescent="0.3">
      <c r="B17" s="5"/>
      <c r="C17" s="5"/>
      <c r="D17" s="5"/>
      <c r="E17" s="5"/>
      <c r="F17" s="5"/>
      <c r="G17" s="5"/>
      <c r="H17" s="5"/>
      <c r="I17" s="243" t="s">
        <v>163</v>
      </c>
      <c r="J17" s="244"/>
      <c r="K17" s="188">
        <v>280</v>
      </c>
      <c r="L17" s="161" t="s">
        <v>19</v>
      </c>
      <c r="M17" s="5"/>
      <c r="O17" s="10"/>
      <c r="P17" s="10"/>
      <c r="Q17" s="111"/>
    </row>
    <row r="18" spans="2:18" ht="22.5" customHeight="1" x14ac:dyDescent="0.3">
      <c r="B18" s="5"/>
      <c r="C18" s="5"/>
      <c r="D18" s="5"/>
      <c r="E18" s="5"/>
      <c r="F18" s="5"/>
      <c r="G18" s="5"/>
      <c r="H18" s="5"/>
      <c r="I18" s="247" t="s">
        <v>162</v>
      </c>
      <c r="J18" s="248"/>
      <c r="K18" s="188">
        <v>100</v>
      </c>
      <c r="L18" s="161" t="s">
        <v>19</v>
      </c>
      <c r="M18" s="5"/>
      <c r="O18" s="10"/>
      <c r="P18" s="10"/>
      <c r="Q18" s="111"/>
    </row>
    <row r="19" spans="2:18" ht="21.75" customHeight="1" x14ac:dyDescent="0.3">
      <c r="B19" s="234" t="s">
        <v>190</v>
      </c>
      <c r="C19" s="235"/>
      <c r="D19" s="235"/>
      <c r="E19" s="236"/>
      <c r="F19" s="5"/>
      <c r="G19" s="5"/>
      <c r="H19" s="5"/>
      <c r="I19" s="247" t="s">
        <v>165</v>
      </c>
      <c r="J19" s="248"/>
      <c r="K19" s="188">
        <v>1500</v>
      </c>
      <c r="L19" s="161" t="s">
        <v>19</v>
      </c>
      <c r="M19" s="5"/>
      <c r="O19" s="10"/>
      <c r="P19" s="10"/>
      <c r="Q19" s="111"/>
    </row>
    <row r="20" spans="2:18" s="10" customFormat="1" ht="19.2" customHeight="1" x14ac:dyDescent="0.3">
      <c r="B20" s="46" t="s">
        <v>63</v>
      </c>
      <c r="C20" s="60" t="s">
        <v>113</v>
      </c>
      <c r="D20" s="46" t="s">
        <v>64</v>
      </c>
      <c r="E20" s="46" t="s">
        <v>59</v>
      </c>
      <c r="F20" s="7"/>
      <c r="G20" s="7"/>
      <c r="H20" s="7"/>
      <c r="I20" s="247" t="s">
        <v>166</v>
      </c>
      <c r="J20" s="248"/>
      <c r="K20" s="188">
        <v>930</v>
      </c>
      <c r="L20" s="161" t="s">
        <v>19</v>
      </c>
      <c r="M20" s="5"/>
      <c r="N20"/>
      <c r="O20" s="112"/>
      <c r="Q20" s="111"/>
    </row>
    <row r="21" spans="2:18" x14ac:dyDescent="0.3">
      <c r="B21" s="166" t="s">
        <v>133</v>
      </c>
      <c r="C21" s="167">
        <v>676</v>
      </c>
      <c r="D21" s="167">
        <v>0.2</v>
      </c>
      <c r="E21" s="168">
        <f>C21*D21</f>
        <v>135.20000000000002</v>
      </c>
      <c r="F21" s="5"/>
      <c r="G21" s="5"/>
      <c r="H21" s="5"/>
      <c r="I21" s="247" t="s">
        <v>167</v>
      </c>
      <c r="J21" s="248"/>
      <c r="K21" s="188">
        <v>1400</v>
      </c>
      <c r="L21" s="161" t="s">
        <v>19</v>
      </c>
      <c r="M21" s="5"/>
      <c r="O21" s="10"/>
      <c r="P21" s="10"/>
      <c r="Q21" s="111"/>
    </row>
    <row r="22" spans="2:18" x14ac:dyDescent="0.3">
      <c r="B22" s="169" t="s">
        <v>134</v>
      </c>
      <c r="C22" s="170">
        <v>400</v>
      </c>
      <c r="D22" s="170">
        <v>0.25</v>
      </c>
      <c r="E22" s="171">
        <f>C22*D22</f>
        <v>100</v>
      </c>
      <c r="F22" s="5"/>
      <c r="G22" s="5"/>
      <c r="H22" s="5"/>
      <c r="I22" s="247" t="s">
        <v>170</v>
      </c>
      <c r="J22" s="248"/>
      <c r="K22" s="188">
        <v>60</v>
      </c>
      <c r="L22" s="161" t="s">
        <v>19</v>
      </c>
      <c r="M22" s="5"/>
      <c r="P22" s="113"/>
      <c r="Q22" s="59"/>
    </row>
    <row r="23" spans="2:18" x14ac:dyDescent="0.3">
      <c r="B23" s="169" t="s">
        <v>135</v>
      </c>
      <c r="C23" s="170">
        <v>100</v>
      </c>
      <c r="D23" s="170">
        <v>1.25</v>
      </c>
      <c r="E23" s="171">
        <f t="shared" ref="E23:E26" si="2">C23*D23</f>
        <v>125</v>
      </c>
      <c r="F23" s="5"/>
      <c r="G23" s="5"/>
      <c r="H23" s="5"/>
      <c r="I23" s="247" t="s">
        <v>171</v>
      </c>
      <c r="J23" s="248"/>
      <c r="K23" s="188">
        <v>60</v>
      </c>
      <c r="L23" s="161" t="s">
        <v>19</v>
      </c>
      <c r="M23" s="5"/>
      <c r="N23" s="5"/>
      <c r="O23" s="5"/>
      <c r="Q23" s="5"/>
      <c r="R23" s="5"/>
    </row>
    <row r="24" spans="2:18" x14ac:dyDescent="0.3">
      <c r="B24" s="169" t="s">
        <v>136</v>
      </c>
      <c r="C24" s="170">
        <v>5</v>
      </c>
      <c r="D24" s="170">
        <v>4</v>
      </c>
      <c r="E24" s="171">
        <f t="shared" si="2"/>
        <v>20</v>
      </c>
      <c r="F24" s="5"/>
      <c r="G24" s="5"/>
      <c r="H24" s="5"/>
      <c r="I24" s="247" t="s">
        <v>60</v>
      </c>
      <c r="J24" s="248"/>
      <c r="K24" s="188">
        <v>250</v>
      </c>
      <c r="L24" s="161" t="s">
        <v>19</v>
      </c>
      <c r="N24" s="5"/>
      <c r="O24" s="5"/>
      <c r="Q24" s="5"/>
      <c r="R24" s="5"/>
    </row>
    <row r="25" spans="2:18" x14ac:dyDescent="0.3">
      <c r="B25" s="169" t="s">
        <v>137</v>
      </c>
      <c r="C25" s="161">
        <f>2160+1760</f>
        <v>3920</v>
      </c>
      <c r="D25" s="170">
        <v>0.4</v>
      </c>
      <c r="E25" s="171">
        <f t="shared" si="2"/>
        <v>1568</v>
      </c>
      <c r="F25" s="5"/>
      <c r="G25" s="5"/>
      <c r="H25" s="5"/>
      <c r="I25" s="247" t="s">
        <v>169</v>
      </c>
      <c r="J25" s="248"/>
      <c r="K25" s="189">
        <v>5500</v>
      </c>
      <c r="L25" s="190" t="s">
        <v>19</v>
      </c>
      <c r="N25" s="5"/>
      <c r="O25" s="5"/>
      <c r="Q25" s="5"/>
      <c r="R25" s="5"/>
    </row>
    <row r="26" spans="2:18" x14ac:dyDescent="0.3">
      <c r="B26" s="172" t="s">
        <v>138</v>
      </c>
      <c r="C26" s="173">
        <v>4</v>
      </c>
      <c r="D26" s="173">
        <v>5</v>
      </c>
      <c r="E26" s="171">
        <f t="shared" si="2"/>
        <v>20</v>
      </c>
      <c r="F26" s="5"/>
      <c r="G26" s="5"/>
      <c r="H26" s="5"/>
      <c r="I26" s="237" t="s">
        <v>61</v>
      </c>
      <c r="J26" s="239"/>
      <c r="K26" s="55">
        <f>SUM(K16:K25)</f>
        <v>10480</v>
      </c>
      <c r="L26" s="51"/>
      <c r="N26" s="5"/>
      <c r="O26" s="5"/>
      <c r="Q26" s="5"/>
      <c r="R26" s="5"/>
    </row>
    <row r="27" spans="2:18" x14ac:dyDescent="0.3">
      <c r="B27" s="5"/>
      <c r="C27" s="5"/>
      <c r="D27" s="61" t="s">
        <v>62</v>
      </c>
      <c r="E27" s="58">
        <f>ROUND(SUM(E21:E26),0)</f>
        <v>1968</v>
      </c>
      <c r="F27" s="5"/>
      <c r="G27" s="5"/>
      <c r="H27" s="5"/>
      <c r="I27" s="237" t="s">
        <v>85</v>
      </c>
      <c r="J27" s="239"/>
      <c r="K27" s="52" t="s">
        <v>82</v>
      </c>
      <c r="L27" s="52" t="s">
        <v>83</v>
      </c>
      <c r="N27" s="5"/>
      <c r="O27" s="5"/>
      <c r="Q27" s="5"/>
      <c r="R27" s="5"/>
    </row>
    <row r="28" spans="2:18" x14ac:dyDescent="0.3">
      <c r="B28" s="5"/>
      <c r="C28" s="5"/>
      <c r="D28" s="5"/>
      <c r="E28" s="59"/>
      <c r="F28" s="5"/>
      <c r="G28" s="5"/>
      <c r="H28" s="5"/>
      <c r="I28" s="247" t="s">
        <v>86</v>
      </c>
      <c r="J28" s="248"/>
      <c r="K28" s="191">
        <v>560</v>
      </c>
      <c r="L28" s="192" t="s">
        <v>19</v>
      </c>
      <c r="N28" s="5"/>
      <c r="O28" s="5"/>
      <c r="Q28" s="5"/>
      <c r="R28" s="5"/>
    </row>
    <row r="29" spans="2:18" x14ac:dyDescent="0.3">
      <c r="B29" s="5"/>
      <c r="C29" s="5"/>
      <c r="D29" s="5"/>
      <c r="E29" s="5"/>
      <c r="F29" s="5"/>
      <c r="G29" s="5"/>
      <c r="H29" s="5"/>
      <c r="I29" s="237" t="s">
        <v>61</v>
      </c>
      <c r="J29" s="239"/>
      <c r="K29" s="56">
        <f>SUM(K28)</f>
        <v>560</v>
      </c>
      <c r="L29" s="53"/>
      <c r="N29" s="5"/>
      <c r="O29" s="5"/>
      <c r="Q29" s="5"/>
      <c r="R29" s="5"/>
    </row>
    <row r="30" spans="2:18" ht="22.5" customHeight="1" x14ac:dyDescent="0.3">
      <c r="B30" s="5"/>
      <c r="C30" s="5"/>
      <c r="D30" s="5"/>
      <c r="E30" s="5"/>
      <c r="F30" s="5"/>
      <c r="G30" s="5"/>
      <c r="H30" s="5"/>
      <c r="I30" s="237" t="s">
        <v>87</v>
      </c>
      <c r="J30" s="239"/>
      <c r="K30" s="52" t="s">
        <v>82</v>
      </c>
      <c r="L30" s="52" t="s">
        <v>83</v>
      </c>
      <c r="N30" s="5"/>
      <c r="O30" s="5"/>
      <c r="Q30" s="5"/>
      <c r="R30" s="5"/>
    </row>
    <row r="31" spans="2:18" ht="21.75" customHeight="1" x14ac:dyDescent="0.3">
      <c r="B31" s="234" t="s">
        <v>210</v>
      </c>
      <c r="C31" s="235"/>
      <c r="D31" s="235"/>
      <c r="E31" s="235"/>
      <c r="F31" s="236"/>
      <c r="H31" s="11"/>
      <c r="I31" s="247" t="s">
        <v>88</v>
      </c>
      <c r="J31" s="248"/>
      <c r="K31" s="158">
        <v>100</v>
      </c>
      <c r="L31" s="167" t="s">
        <v>20</v>
      </c>
      <c r="N31" s="5"/>
      <c r="O31" s="5"/>
      <c r="Q31" s="5"/>
      <c r="R31" s="5"/>
    </row>
    <row r="32" spans="2:18" x14ac:dyDescent="0.3">
      <c r="B32" s="237" t="s">
        <v>71</v>
      </c>
      <c r="C32" s="238"/>
      <c r="D32" s="239"/>
      <c r="E32" s="134" t="s">
        <v>72</v>
      </c>
      <c r="F32" s="134" t="s">
        <v>73</v>
      </c>
      <c r="H32" s="15"/>
      <c r="I32" s="247" t="s">
        <v>89</v>
      </c>
      <c r="J32" s="248"/>
      <c r="K32" s="162">
        <v>150</v>
      </c>
      <c r="L32" s="170" t="s">
        <v>19</v>
      </c>
      <c r="Q32" s="5"/>
      <c r="R32" s="5"/>
    </row>
    <row r="33" spans="2:26" x14ac:dyDescent="0.3">
      <c r="B33" s="174" t="s">
        <v>74</v>
      </c>
      <c r="C33" s="175"/>
      <c r="D33" s="176"/>
      <c r="E33" s="177">
        <v>250</v>
      </c>
      <c r="F33" s="167" t="s">
        <v>19</v>
      </c>
      <c r="H33" s="10"/>
      <c r="I33" s="247" t="s">
        <v>121</v>
      </c>
      <c r="J33" s="248"/>
      <c r="K33" s="162">
        <v>50</v>
      </c>
      <c r="L33" s="170" t="s">
        <v>19</v>
      </c>
      <c r="Q33" s="5"/>
      <c r="R33" s="5"/>
    </row>
    <row r="34" spans="2:26" x14ac:dyDescent="0.3">
      <c r="B34" s="174" t="s">
        <v>75</v>
      </c>
      <c r="C34" s="175"/>
      <c r="D34" s="176"/>
      <c r="E34" s="177">
        <f>F48</f>
        <v>50</v>
      </c>
      <c r="F34" s="170" t="s">
        <v>19</v>
      </c>
      <c r="H34" s="10"/>
      <c r="I34" s="247" t="s">
        <v>90</v>
      </c>
      <c r="J34" s="248"/>
      <c r="K34" s="162">
        <v>930</v>
      </c>
      <c r="L34" s="170" t="s">
        <v>19</v>
      </c>
      <c r="Q34" s="5"/>
      <c r="R34" s="5"/>
    </row>
    <row r="35" spans="2:26" x14ac:dyDescent="0.3">
      <c r="B35" s="174" t="s">
        <v>76</v>
      </c>
      <c r="C35" s="175"/>
      <c r="D35" s="176"/>
      <c r="E35" s="177">
        <v>1800</v>
      </c>
      <c r="F35" s="170" t="s">
        <v>20</v>
      </c>
      <c r="H35" s="10"/>
      <c r="I35" s="247" t="s">
        <v>91</v>
      </c>
      <c r="J35" s="248"/>
      <c r="K35" s="193">
        <v>400</v>
      </c>
      <c r="L35" s="173" t="s">
        <v>20</v>
      </c>
      <c r="Q35" s="5"/>
      <c r="R35" s="5"/>
    </row>
    <row r="36" spans="2:26" x14ac:dyDescent="0.3">
      <c r="B36" s="178" t="s">
        <v>60</v>
      </c>
      <c r="C36" s="179"/>
      <c r="D36" s="180"/>
      <c r="E36" s="181">
        <v>350</v>
      </c>
      <c r="F36" s="173" t="s">
        <v>19</v>
      </c>
      <c r="H36" s="10"/>
      <c r="I36" s="237" t="s">
        <v>61</v>
      </c>
      <c r="J36" s="239"/>
      <c r="K36" s="55">
        <f>SUM(K31:K35)</f>
        <v>1630</v>
      </c>
      <c r="L36" s="54"/>
      <c r="Q36" s="5"/>
      <c r="R36" s="5"/>
    </row>
    <row r="37" spans="2:26" x14ac:dyDescent="0.3">
      <c r="B37" s="135" t="s">
        <v>61</v>
      </c>
      <c r="C37" s="136"/>
      <c r="D37" s="136"/>
      <c r="E37" s="57">
        <f>SUM(E33:E36)</f>
        <v>2450</v>
      </c>
      <c r="F37" s="5"/>
      <c r="H37" s="10"/>
      <c r="Q37" s="5"/>
      <c r="R37" s="5"/>
    </row>
    <row r="38" spans="2:26" ht="15.6" x14ac:dyDescent="0.3">
      <c r="B38" s="5"/>
      <c r="H38" s="10"/>
      <c r="I38" s="240" t="s">
        <v>70</v>
      </c>
      <c r="J38" s="240"/>
      <c r="K38" s="240"/>
      <c r="L38" s="240"/>
      <c r="N38" s="234" t="s">
        <v>158</v>
      </c>
      <c r="O38" s="235"/>
      <c r="P38" s="235"/>
      <c r="Q38" s="236"/>
    </row>
    <row r="39" spans="2:26" x14ac:dyDescent="0.3">
      <c r="B39" s="5"/>
      <c r="I39" s="46" t="s">
        <v>65</v>
      </c>
      <c r="J39" s="46" t="s">
        <v>66</v>
      </c>
      <c r="K39" s="46" t="s">
        <v>67</v>
      </c>
      <c r="L39" s="102" t="s">
        <v>10</v>
      </c>
      <c r="N39" s="102" t="s">
        <v>65</v>
      </c>
      <c r="O39" s="100" t="s">
        <v>66</v>
      </c>
      <c r="P39" s="101" t="s">
        <v>67</v>
      </c>
      <c r="Q39" s="101" t="s">
        <v>10</v>
      </c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21.6" customHeight="1" x14ac:dyDescent="0.3">
      <c r="B40" s="5"/>
      <c r="C40" s="5"/>
      <c r="D40" s="5"/>
      <c r="E40" s="5"/>
      <c r="F40" s="5"/>
      <c r="G40" s="5"/>
      <c r="I40" s="159" t="s">
        <v>146</v>
      </c>
      <c r="J40" s="192">
        <v>5</v>
      </c>
      <c r="K40" s="194">
        <v>1000</v>
      </c>
      <c r="L40" s="204">
        <f>J40*K40</f>
        <v>5000</v>
      </c>
      <c r="N40" s="198" t="s">
        <v>159</v>
      </c>
      <c r="O40" s="199">
        <v>2</v>
      </c>
      <c r="P40" s="205">
        <v>980</v>
      </c>
      <c r="Q40" s="203">
        <f>O40*P40</f>
        <v>1960</v>
      </c>
    </row>
    <row r="41" spans="2:26" ht="18.600000000000001" customHeight="1" x14ac:dyDescent="0.3">
      <c r="B41" s="240" t="s">
        <v>92</v>
      </c>
      <c r="C41" s="240"/>
      <c r="D41" s="240"/>
      <c r="E41" s="240"/>
      <c r="F41" s="240"/>
      <c r="G41" s="240"/>
      <c r="H41" s="11"/>
      <c r="I41" s="196" t="s">
        <v>156</v>
      </c>
      <c r="J41" s="192">
        <v>2</v>
      </c>
      <c r="K41" s="194">
        <v>1200</v>
      </c>
      <c r="L41" s="204">
        <f t="shared" ref="L41:L44" si="3">J41*K41</f>
        <v>2400</v>
      </c>
      <c r="N41" s="200" t="s">
        <v>160</v>
      </c>
      <c r="O41" s="201">
        <v>1</v>
      </c>
      <c r="P41" s="205">
        <v>1500</v>
      </c>
      <c r="Q41" s="204">
        <f t="shared" ref="Q41:Q42" si="4">O41*P41</f>
        <v>1500</v>
      </c>
    </row>
    <row r="42" spans="2:26" x14ac:dyDescent="0.3">
      <c r="B42" s="46" t="s">
        <v>77</v>
      </c>
      <c r="C42" s="46" t="s">
        <v>56</v>
      </c>
      <c r="D42" s="46" t="s">
        <v>78</v>
      </c>
      <c r="E42" s="46" t="s">
        <v>79</v>
      </c>
      <c r="F42" s="250" t="s">
        <v>80</v>
      </c>
      <c r="G42" s="250"/>
      <c r="H42" s="12"/>
      <c r="I42" s="196" t="s">
        <v>157</v>
      </c>
      <c r="J42" s="192">
        <v>2</v>
      </c>
      <c r="K42" s="194">
        <v>1050</v>
      </c>
      <c r="L42" s="204">
        <f t="shared" si="3"/>
        <v>2100</v>
      </c>
      <c r="N42" s="200" t="s">
        <v>161</v>
      </c>
      <c r="O42" s="201">
        <v>2</v>
      </c>
      <c r="P42" s="205">
        <v>930</v>
      </c>
      <c r="Q42" s="204">
        <f t="shared" si="4"/>
        <v>1860</v>
      </c>
    </row>
    <row r="43" spans="2:26" x14ac:dyDescent="0.3">
      <c r="B43" s="159" t="s">
        <v>141</v>
      </c>
      <c r="C43" s="167">
        <v>2</v>
      </c>
      <c r="D43" s="167">
        <v>20</v>
      </c>
      <c r="E43" s="182">
        <v>2000</v>
      </c>
      <c r="F43" s="251">
        <f t="shared" ref="F43:F47" si="5">+E43/(D43*12)</f>
        <v>8.3333333333333339</v>
      </c>
      <c r="G43" s="252"/>
      <c r="H43" s="13"/>
      <c r="I43" s="195" t="s">
        <v>140</v>
      </c>
      <c r="J43" s="192">
        <v>6</v>
      </c>
      <c r="K43" s="194">
        <v>1050</v>
      </c>
      <c r="L43" s="204">
        <f t="shared" si="3"/>
        <v>6300</v>
      </c>
      <c r="N43" s="5"/>
      <c r="P43" s="61" t="s">
        <v>68</v>
      </c>
      <c r="Q43" s="202">
        <f>SUM(Q40:Q42)</f>
        <v>5320</v>
      </c>
    </row>
    <row r="44" spans="2:26" x14ac:dyDescent="0.3">
      <c r="B44" s="165" t="s">
        <v>142</v>
      </c>
      <c r="C44" s="170">
        <v>3</v>
      </c>
      <c r="D44" s="170">
        <v>20</v>
      </c>
      <c r="E44" s="177">
        <v>1800</v>
      </c>
      <c r="F44" s="253">
        <f t="shared" si="5"/>
        <v>7.5</v>
      </c>
      <c r="G44" s="254"/>
      <c r="H44" s="13"/>
      <c r="I44" s="197" t="s">
        <v>147</v>
      </c>
      <c r="J44" s="192">
        <v>5</v>
      </c>
      <c r="K44" s="194">
        <v>1100</v>
      </c>
      <c r="L44" s="204">
        <f t="shared" si="3"/>
        <v>5500</v>
      </c>
      <c r="P44" s="61" t="s">
        <v>69</v>
      </c>
      <c r="Q44" s="202">
        <f>ROUND(Q43*1.34,0)</f>
        <v>7129</v>
      </c>
    </row>
    <row r="45" spans="2:26" x14ac:dyDescent="0.3">
      <c r="B45" s="165" t="s">
        <v>143</v>
      </c>
      <c r="C45" s="170">
        <v>2</v>
      </c>
      <c r="D45" s="170">
        <v>15</v>
      </c>
      <c r="E45" s="177">
        <v>2700</v>
      </c>
      <c r="F45" s="253">
        <f t="shared" si="5"/>
        <v>15</v>
      </c>
      <c r="G45" s="254"/>
      <c r="H45" s="13"/>
      <c r="I45" s="5"/>
      <c r="K45" s="61" t="s">
        <v>68</v>
      </c>
      <c r="L45" s="99">
        <f>SUM(L40:L44)</f>
        <v>21300</v>
      </c>
      <c r="R45" s="5"/>
    </row>
    <row r="46" spans="2:26" x14ac:dyDescent="0.3">
      <c r="B46" s="165" t="s">
        <v>144</v>
      </c>
      <c r="C46" s="170">
        <v>2</v>
      </c>
      <c r="D46" s="170">
        <v>20</v>
      </c>
      <c r="E46" s="177">
        <v>2500</v>
      </c>
      <c r="F46" s="253">
        <f t="shared" si="5"/>
        <v>10.416666666666666</v>
      </c>
      <c r="G46" s="254"/>
      <c r="H46" s="13"/>
      <c r="K46" s="61" t="s">
        <v>69</v>
      </c>
      <c r="L46" s="99">
        <f>L45*1.34</f>
        <v>28542</v>
      </c>
    </row>
    <row r="47" spans="2:26" x14ac:dyDescent="0.3">
      <c r="B47" s="165" t="s">
        <v>145</v>
      </c>
      <c r="C47" s="170">
        <v>2</v>
      </c>
      <c r="D47" s="170">
        <v>20</v>
      </c>
      <c r="E47" s="177">
        <v>2000</v>
      </c>
      <c r="F47" s="253">
        <f t="shared" si="5"/>
        <v>8.3333333333333339</v>
      </c>
      <c r="G47" s="254"/>
      <c r="H47" s="13"/>
    </row>
    <row r="48" spans="2:26" x14ac:dyDescent="0.3">
      <c r="B48" s="249" t="s">
        <v>61</v>
      </c>
      <c r="C48" s="249"/>
      <c r="D48" s="249"/>
      <c r="E48" s="249"/>
      <c r="F48" s="255">
        <f>ROUND(SUM(F43:G47),0)</f>
        <v>50</v>
      </c>
      <c r="G48" s="255"/>
      <c r="H48" s="14"/>
      <c r="M48" s="5"/>
    </row>
    <row r="49" spans="2:13" ht="22.5" customHeight="1" x14ac:dyDescent="0.3">
      <c r="B49" s="5"/>
      <c r="C49" s="5"/>
      <c r="D49" s="5"/>
      <c r="E49" s="5"/>
      <c r="F49" s="5"/>
      <c r="G49" s="5"/>
      <c r="M49" s="5"/>
    </row>
    <row r="50" spans="2:13" ht="22.5" customHeight="1" x14ac:dyDescent="0.3">
      <c r="B50" s="259"/>
      <c r="C50" s="259"/>
      <c r="D50" s="259"/>
      <c r="E50" s="259"/>
      <c r="F50" s="259"/>
      <c r="G50" s="259"/>
      <c r="H50" s="11"/>
      <c r="M50" s="5"/>
    </row>
    <row r="51" spans="2:13" x14ac:dyDescent="0.3">
      <c r="B51" s="137"/>
      <c r="C51" s="137"/>
      <c r="D51" s="137"/>
      <c r="E51" s="137"/>
      <c r="F51" s="257"/>
      <c r="G51" s="257"/>
      <c r="H51" s="15"/>
      <c r="M51" s="5"/>
    </row>
    <row r="52" spans="2:13" x14ac:dyDescent="0.3">
      <c r="C52" s="10"/>
      <c r="D52" s="10"/>
      <c r="E52" s="138"/>
      <c r="F52" s="258"/>
      <c r="G52" s="258"/>
      <c r="H52" s="16"/>
      <c r="M52" s="5"/>
    </row>
    <row r="53" spans="2:13" x14ac:dyDescent="0.3">
      <c r="C53" s="10"/>
      <c r="D53" s="10"/>
      <c r="E53" s="138"/>
      <c r="F53" s="258"/>
      <c r="G53" s="258"/>
      <c r="H53" s="16"/>
      <c r="M53" s="5"/>
    </row>
    <row r="54" spans="2:13" x14ac:dyDescent="0.3">
      <c r="B54" s="256"/>
      <c r="C54" s="256"/>
      <c r="D54" s="256"/>
      <c r="E54" s="256"/>
      <c r="F54" s="260"/>
      <c r="G54" s="260"/>
      <c r="H54" s="16"/>
      <c r="M54" s="5"/>
    </row>
    <row r="55" spans="2:13" x14ac:dyDescent="0.3">
      <c r="H55" s="16"/>
      <c r="M55" s="5"/>
    </row>
    <row r="56" spans="2:13" x14ac:dyDescent="0.3">
      <c r="H56" s="17"/>
      <c r="M56" s="5"/>
    </row>
    <row r="57" spans="2:13" x14ac:dyDescent="0.3">
      <c r="I57" s="5"/>
    </row>
    <row r="58" spans="2:13" x14ac:dyDescent="0.3">
      <c r="I58" s="5"/>
    </row>
    <row r="59" spans="2:13" x14ac:dyDescent="0.3">
      <c r="I59" s="5"/>
    </row>
    <row r="68" spans="10:13" x14ac:dyDescent="0.3">
      <c r="J68" s="5"/>
      <c r="K68" s="5"/>
      <c r="L68" s="5"/>
    </row>
    <row r="69" spans="10:13" x14ac:dyDescent="0.3">
      <c r="J69" s="5"/>
      <c r="K69" s="5"/>
      <c r="L69" s="5"/>
    </row>
    <row r="72" spans="10:13" x14ac:dyDescent="0.3">
      <c r="M72" s="5"/>
    </row>
    <row r="73" spans="10:13" x14ac:dyDescent="0.3">
      <c r="M73" s="5"/>
    </row>
  </sheetData>
  <mergeCells count="51">
    <mergeCell ref="I28:J28"/>
    <mergeCell ref="N14:Q14"/>
    <mergeCell ref="I36:J36"/>
    <mergeCell ref="I29:J29"/>
    <mergeCell ref="I30:J30"/>
    <mergeCell ref="I31:J31"/>
    <mergeCell ref="I32:J32"/>
    <mergeCell ref="I33:J33"/>
    <mergeCell ref="I34:J34"/>
    <mergeCell ref="I35:J35"/>
    <mergeCell ref="A1:Q3"/>
    <mergeCell ref="I20:J20"/>
    <mergeCell ref="I21:J21"/>
    <mergeCell ref="I27:J27"/>
    <mergeCell ref="I14:L14"/>
    <mergeCell ref="B5:F5"/>
    <mergeCell ref="I5:M5"/>
    <mergeCell ref="B19:E19"/>
    <mergeCell ref="B13:E13"/>
    <mergeCell ref="I9:L9"/>
    <mergeCell ref="B54:E54"/>
    <mergeCell ref="F51:G51"/>
    <mergeCell ref="F52:G52"/>
    <mergeCell ref="F53:G53"/>
    <mergeCell ref="B50:G50"/>
    <mergeCell ref="F54:G54"/>
    <mergeCell ref="B48:E48"/>
    <mergeCell ref="F42:G42"/>
    <mergeCell ref="B41:G41"/>
    <mergeCell ref="F43:G43"/>
    <mergeCell ref="F44:G44"/>
    <mergeCell ref="F45:G45"/>
    <mergeCell ref="F46:G46"/>
    <mergeCell ref="F47:G47"/>
    <mergeCell ref="F48:G48"/>
    <mergeCell ref="B31:F31"/>
    <mergeCell ref="B32:D32"/>
    <mergeCell ref="I38:L38"/>
    <mergeCell ref="N38:Q38"/>
    <mergeCell ref="I12:L12"/>
    <mergeCell ref="M13:O13"/>
    <mergeCell ref="I17:J17"/>
    <mergeCell ref="I15:J15"/>
    <mergeCell ref="I16:J16"/>
    <mergeCell ref="I18:J18"/>
    <mergeCell ref="I19:J19"/>
    <mergeCell ref="I22:J22"/>
    <mergeCell ref="I23:J23"/>
    <mergeCell ref="I25:J25"/>
    <mergeCell ref="I26:J26"/>
    <mergeCell ref="I24:J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5"/>
  <sheetViews>
    <sheetView showGridLines="0" tabSelected="1" zoomScale="86" zoomScaleNormal="200" workbookViewId="0">
      <selection sqref="A1:P3"/>
    </sheetView>
  </sheetViews>
  <sheetFormatPr baseColWidth="10" defaultColWidth="9.109375" defaultRowHeight="12" x14ac:dyDescent="0.25"/>
  <cols>
    <col min="1" max="1" width="3.88671875" style="62" customWidth="1"/>
    <col min="2" max="2" width="16.88671875" style="62" customWidth="1"/>
    <col min="3" max="3" width="12.6640625" style="62" customWidth="1"/>
    <col min="4" max="4" width="14.77734375" style="62" customWidth="1"/>
    <col min="5" max="5" width="12.6640625" style="62" customWidth="1"/>
    <col min="6" max="6" width="12.77734375" style="62" customWidth="1"/>
    <col min="7" max="7" width="12.109375" style="62" customWidth="1"/>
    <col min="8" max="8" width="15.109375" style="62" customWidth="1"/>
    <col min="9" max="9" width="21.44140625" style="62" customWidth="1"/>
    <col min="10" max="10" width="9.109375" style="62" customWidth="1"/>
    <col min="11" max="11" width="10.33203125" style="62" customWidth="1"/>
    <col min="12" max="12" width="8.88671875" style="62" customWidth="1"/>
    <col min="13" max="13" width="9.33203125" style="62" customWidth="1"/>
    <col min="14" max="14" width="6.77734375" style="62" customWidth="1"/>
    <col min="15" max="15" width="15" style="62" bestFit="1" customWidth="1"/>
    <col min="16" max="16" width="4.33203125" style="62" customWidth="1"/>
    <col min="17" max="17" width="27.6640625" style="62" customWidth="1"/>
    <col min="18" max="16384" width="9.109375" style="62"/>
  </cols>
  <sheetData>
    <row r="1" spans="1:21" ht="15" customHeight="1" x14ac:dyDescent="0.25">
      <c r="A1" s="269" t="s">
        <v>118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21" ht="1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</row>
    <row r="3" spans="1:21" ht="1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</row>
    <row r="4" spans="1:21" ht="22.2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1" ht="12" customHeight="1" x14ac:dyDescent="0.25">
      <c r="A5" s="268" t="s">
        <v>211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08"/>
      <c r="P5" s="208"/>
      <c r="R5" s="63"/>
      <c r="S5" s="63"/>
      <c r="T5" s="63"/>
      <c r="U5" s="63"/>
    </row>
    <row r="6" spans="1:21" ht="15" customHeight="1" x14ac:dyDescent="0.25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08"/>
      <c r="P6" s="208"/>
      <c r="R6" s="63"/>
      <c r="S6" s="63"/>
      <c r="T6" s="63"/>
      <c r="U6" s="63"/>
    </row>
    <row r="7" spans="1:21" ht="13.2" customHeight="1" x14ac:dyDescent="0.25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R7" s="63"/>
      <c r="S7" s="63"/>
      <c r="T7" s="63"/>
      <c r="U7" s="63"/>
    </row>
    <row r="8" spans="1:21" ht="12.6" customHeight="1" x14ac:dyDescent="0.25">
      <c r="B8" s="63"/>
      <c r="C8" s="63"/>
      <c r="D8" s="63"/>
      <c r="E8" s="63"/>
      <c r="F8" s="63"/>
      <c r="G8" s="63"/>
      <c r="H8" s="63"/>
      <c r="I8" s="63"/>
      <c r="J8" s="63"/>
      <c r="K8" s="319" t="s">
        <v>94</v>
      </c>
      <c r="L8" s="320"/>
      <c r="M8" s="321"/>
      <c r="N8" s="109"/>
      <c r="O8" s="82"/>
      <c r="S8" s="63"/>
      <c r="T8" s="63"/>
      <c r="U8" s="63"/>
    </row>
    <row r="9" spans="1:21" x14ac:dyDescent="0.25">
      <c r="B9" s="64"/>
      <c r="C9" s="65" t="s">
        <v>151</v>
      </c>
      <c r="D9" s="65" t="s">
        <v>152</v>
      </c>
      <c r="E9" s="66" t="s">
        <v>10</v>
      </c>
      <c r="F9" s="63"/>
      <c r="G9" s="63"/>
      <c r="H9" s="63"/>
      <c r="I9" s="63"/>
      <c r="J9" s="63"/>
      <c r="K9" s="63"/>
      <c r="L9" s="67" t="s">
        <v>212</v>
      </c>
      <c r="M9" s="94" t="s">
        <v>213</v>
      </c>
      <c r="N9" s="105"/>
      <c r="R9" s="63"/>
      <c r="S9" s="63"/>
      <c r="T9" s="63"/>
    </row>
    <row r="10" spans="1:21" x14ac:dyDescent="0.25">
      <c r="B10" s="68" t="s">
        <v>14</v>
      </c>
      <c r="C10" s="209">
        <f>ROUND((I11*'Detalle de Costos'!F13),0)</f>
        <v>2900</v>
      </c>
      <c r="D10" s="213">
        <f>ROUND((I15*'Detalle de Costos'!M9),0)</f>
        <v>1840</v>
      </c>
      <c r="E10" s="217">
        <f>SUM(C10:D10)</f>
        <v>4740</v>
      </c>
      <c r="F10" s="63"/>
      <c r="G10" s="63"/>
      <c r="H10" s="304" t="s">
        <v>151</v>
      </c>
      <c r="I10" s="305"/>
      <c r="J10" s="63"/>
      <c r="K10" s="107" t="s">
        <v>21</v>
      </c>
      <c r="L10" s="206">
        <f>L11*100/N17</f>
        <v>59.999999999999993</v>
      </c>
      <c r="M10" s="207">
        <f>M11*100/N17</f>
        <v>40.000000000000007</v>
      </c>
      <c r="N10" s="106"/>
      <c r="R10" s="63"/>
      <c r="S10" s="63"/>
      <c r="T10" s="63"/>
    </row>
    <row r="11" spans="1:21" x14ac:dyDescent="0.25">
      <c r="B11" s="68" t="s">
        <v>15</v>
      </c>
      <c r="C11" s="209">
        <f>ROUND('Detalle de Costos'!L45*L10/100*1.34,0)</f>
        <v>17125</v>
      </c>
      <c r="D11" s="213">
        <f>ROUND('Detalle de Costos'!L45*M10/100*1.34,0)</f>
        <v>11417</v>
      </c>
      <c r="E11" s="217">
        <f>C11+D11</f>
        <v>28542</v>
      </c>
      <c r="F11" s="63"/>
      <c r="G11" s="63"/>
      <c r="H11" s="69" t="s">
        <v>108</v>
      </c>
      <c r="I11" s="70">
        <v>100</v>
      </c>
      <c r="J11" s="63" t="s">
        <v>109</v>
      </c>
      <c r="K11" s="107" t="s">
        <v>98</v>
      </c>
      <c r="L11" s="108">
        <f>N17*0.6</f>
        <v>115.19999999999999</v>
      </c>
      <c r="M11" s="108">
        <f>N17*0.4</f>
        <v>76.800000000000011</v>
      </c>
      <c r="O11" s="63"/>
      <c r="R11" s="63"/>
      <c r="S11" s="63"/>
      <c r="T11" s="63"/>
    </row>
    <row r="12" spans="1:21" x14ac:dyDescent="0.25">
      <c r="B12" s="68" t="s">
        <v>172</v>
      </c>
      <c r="C12" s="209">
        <f>ROUND((C10/E10)*'Detalle de Costos'!Q43*1.34,0)</f>
        <v>4362</v>
      </c>
      <c r="D12" s="213">
        <f>ROUND((D10/E10)*'Detalle de Costos'!Q43*1.34,0)</f>
        <v>2767</v>
      </c>
      <c r="E12" s="217">
        <f>C12+D12</f>
        <v>7129</v>
      </c>
      <c r="F12" s="63"/>
      <c r="G12" s="63"/>
      <c r="H12" s="69" t="s">
        <v>6</v>
      </c>
      <c r="I12" s="70">
        <v>90</v>
      </c>
      <c r="J12" s="63" t="s">
        <v>109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pans="1:21" x14ac:dyDescent="0.25">
      <c r="B13" s="68" t="s">
        <v>16</v>
      </c>
      <c r="C13" s="209">
        <f>ROUND((C10/E10)*E13,0)</f>
        <v>1204</v>
      </c>
      <c r="D13" s="213">
        <f>ROUND((D10/E10)*E13,0)</f>
        <v>764</v>
      </c>
      <c r="E13" s="217">
        <f>'Detalle de Costos'!E27</f>
        <v>1968</v>
      </c>
      <c r="F13" s="63"/>
      <c r="G13" s="63"/>
      <c r="H13" s="63"/>
      <c r="I13" s="63"/>
      <c r="J13" s="63"/>
      <c r="K13" s="316" t="s">
        <v>97</v>
      </c>
      <c r="L13" s="317"/>
      <c r="M13" s="317"/>
      <c r="N13" s="318"/>
      <c r="O13" s="63"/>
      <c r="P13" s="63"/>
      <c r="Q13" s="63"/>
      <c r="R13" s="63"/>
      <c r="S13" s="63"/>
      <c r="T13" s="63"/>
    </row>
    <row r="14" spans="1:21" ht="13.8" customHeight="1" x14ac:dyDescent="0.25">
      <c r="B14" s="71" t="s">
        <v>11</v>
      </c>
      <c r="C14" s="210">
        <f>ROUND((C10/E10)*E14,0)</f>
        <v>1499</v>
      </c>
      <c r="D14" s="214">
        <f>ROUND((D10/E10)*E14,0)</f>
        <v>951</v>
      </c>
      <c r="E14" s="218">
        <f>'Detalle de Costos'!E37</f>
        <v>2450</v>
      </c>
      <c r="F14" s="72"/>
      <c r="G14" s="63"/>
      <c r="H14" s="306" t="s">
        <v>168</v>
      </c>
      <c r="I14" s="307"/>
      <c r="J14" s="63"/>
      <c r="K14" s="308" t="s">
        <v>110</v>
      </c>
      <c r="L14" s="309"/>
      <c r="M14" s="310"/>
      <c r="N14" s="73">
        <v>8</v>
      </c>
      <c r="O14" s="63"/>
      <c r="P14" s="63"/>
      <c r="Q14" s="63"/>
      <c r="R14" s="63"/>
      <c r="S14" s="63"/>
      <c r="T14" s="63"/>
    </row>
    <row r="15" spans="1:21" x14ac:dyDescent="0.25">
      <c r="B15" s="68" t="s">
        <v>12</v>
      </c>
      <c r="C15" s="211">
        <f>ROUND(C14-C16,0)</f>
        <v>398</v>
      </c>
      <c r="D15" s="215">
        <f>ROUND(D14-D16,0)</f>
        <v>252</v>
      </c>
      <c r="E15" s="74">
        <f>SUM('Detalle de Costos'!E33,'Detalle de Costos'!E34,'Detalle de Costos'!E36)</f>
        <v>650</v>
      </c>
      <c r="F15" s="104"/>
      <c r="G15" s="63"/>
      <c r="H15" s="69" t="s">
        <v>108</v>
      </c>
      <c r="I15" s="70">
        <v>80</v>
      </c>
      <c r="J15" s="63" t="s">
        <v>109</v>
      </c>
      <c r="K15" s="311" t="s">
        <v>95</v>
      </c>
      <c r="L15" s="271"/>
      <c r="M15" s="312"/>
      <c r="N15" s="75">
        <v>48</v>
      </c>
      <c r="O15" s="63"/>
      <c r="P15" s="63"/>
      <c r="Q15" s="63"/>
      <c r="R15" s="63"/>
      <c r="S15" s="63"/>
      <c r="T15" s="63"/>
    </row>
    <row r="16" spans="1:21" x14ac:dyDescent="0.25">
      <c r="B16" s="76" t="s">
        <v>13</v>
      </c>
      <c r="C16" s="212">
        <f>ROUND((C10/E10)*E16,0)</f>
        <v>1101</v>
      </c>
      <c r="D16" s="216">
        <f>ROUND((D10/E10)*E16,0)</f>
        <v>699</v>
      </c>
      <c r="E16" s="77">
        <f>SUM('Detalle de Costos'!E35)</f>
        <v>1800</v>
      </c>
      <c r="F16" s="104"/>
      <c r="G16" s="63"/>
      <c r="H16" s="69" t="s">
        <v>6</v>
      </c>
      <c r="I16" s="70">
        <v>20</v>
      </c>
      <c r="J16" s="63" t="s">
        <v>109</v>
      </c>
      <c r="K16" s="311" t="s">
        <v>111</v>
      </c>
      <c r="L16" s="271"/>
      <c r="M16" s="312"/>
      <c r="N16" s="75">
        <v>7</v>
      </c>
      <c r="O16" s="63"/>
      <c r="P16" s="63"/>
      <c r="Q16" s="63"/>
      <c r="R16" s="63"/>
      <c r="S16" s="63"/>
      <c r="T16" s="63"/>
    </row>
    <row r="17" spans="1:21" x14ac:dyDescent="0.25">
      <c r="B17" s="71" t="s">
        <v>105</v>
      </c>
      <c r="C17" s="210">
        <f>SUM(C10:C14)</f>
        <v>27090</v>
      </c>
      <c r="D17" s="214">
        <f t="shared" ref="D17:E17" si="0">SUM(D10:D14)</f>
        <v>17739</v>
      </c>
      <c r="E17" s="218">
        <f t="shared" si="0"/>
        <v>44829</v>
      </c>
      <c r="F17" s="139"/>
      <c r="G17" s="139"/>
      <c r="H17" s="63"/>
      <c r="I17" s="63"/>
      <c r="J17" s="63"/>
      <c r="K17" s="313" t="s">
        <v>96</v>
      </c>
      <c r="L17" s="314"/>
      <c r="M17" s="315"/>
      <c r="N17" s="78">
        <f>N15*4</f>
        <v>192</v>
      </c>
      <c r="O17" s="63"/>
      <c r="P17" s="63"/>
      <c r="Q17" s="63"/>
      <c r="R17" s="63"/>
      <c r="S17" s="63"/>
      <c r="T17" s="63"/>
    </row>
    <row r="18" spans="1:21" x14ac:dyDescent="0.25">
      <c r="B18" s="68" t="s">
        <v>12</v>
      </c>
      <c r="C18" s="211">
        <f>C11+C15+C12</f>
        <v>21885</v>
      </c>
      <c r="D18" s="215">
        <f>D11+D15+D12</f>
        <v>14436</v>
      </c>
      <c r="E18" s="74"/>
      <c r="F18" s="140"/>
      <c r="G18" s="139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pans="1:21" x14ac:dyDescent="0.25">
      <c r="B19" s="76" t="s">
        <v>13</v>
      </c>
      <c r="C19" s="212">
        <f>C10+C13+C16</f>
        <v>5205</v>
      </c>
      <c r="D19" s="216">
        <f>D10+D13+D16</f>
        <v>3303</v>
      </c>
      <c r="E19" s="77"/>
      <c r="F19" s="140"/>
      <c r="G19" s="139"/>
      <c r="H19" s="63"/>
      <c r="I19" s="63"/>
      <c r="J19" s="63"/>
      <c r="K19" s="63"/>
      <c r="L19" s="63"/>
      <c r="M19" s="63"/>
      <c r="N19" s="63"/>
      <c r="R19" s="63"/>
      <c r="S19" s="63"/>
      <c r="T19" s="63"/>
    </row>
    <row r="20" spans="1:21" ht="28.5" customHeight="1" x14ac:dyDescent="0.25">
      <c r="B20" s="79" t="s">
        <v>117</v>
      </c>
      <c r="C20" s="80">
        <f>C17/I11</f>
        <v>270.89999999999998</v>
      </c>
      <c r="D20" s="80">
        <f>D17/I15</f>
        <v>221.73750000000001</v>
      </c>
      <c r="E20" s="81"/>
      <c r="F20" s="63"/>
      <c r="G20" s="63"/>
      <c r="H20" s="63"/>
      <c r="I20" s="63"/>
      <c r="J20" s="63"/>
      <c r="K20" s="63"/>
      <c r="L20" s="63"/>
      <c r="M20" s="63"/>
      <c r="N20" s="63"/>
      <c r="R20" s="63"/>
      <c r="S20" s="63"/>
      <c r="T20" s="63"/>
    </row>
    <row r="21" spans="1:21" ht="21.75" customHeight="1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R21" s="63"/>
      <c r="S21" s="63"/>
      <c r="T21" s="63"/>
      <c r="U21" s="63"/>
    </row>
    <row r="22" spans="1:21" ht="14.4" customHeight="1" x14ac:dyDescent="0.25">
      <c r="A22" s="268" t="s">
        <v>119</v>
      </c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08"/>
      <c r="P22" s="208"/>
      <c r="R22" s="63"/>
      <c r="S22" s="63"/>
      <c r="T22" s="63"/>
      <c r="U22" s="63"/>
    </row>
    <row r="23" spans="1:21" ht="14.4" customHeight="1" x14ac:dyDescent="0.25">
      <c r="A23" s="268"/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08"/>
      <c r="P23" s="208"/>
      <c r="R23" s="63"/>
      <c r="S23" s="63"/>
      <c r="T23" s="63"/>
      <c r="U23" s="63"/>
    </row>
    <row r="24" spans="1:21" ht="22.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R24" s="63"/>
      <c r="S24" s="63"/>
      <c r="T24" s="63"/>
      <c r="U24" s="63"/>
    </row>
    <row r="25" spans="1:21" x14ac:dyDescent="0.25">
      <c r="B25" s="298" t="s">
        <v>148</v>
      </c>
      <c r="C25" s="299"/>
      <c r="D25" s="300"/>
      <c r="E25" s="63"/>
      <c r="F25" s="301" t="s">
        <v>150</v>
      </c>
      <c r="G25" s="302"/>
      <c r="H25" s="303"/>
      <c r="I25" s="63"/>
      <c r="J25" s="291"/>
      <c r="K25" s="291"/>
      <c r="L25" s="291"/>
      <c r="M25" s="291"/>
      <c r="N25" s="63"/>
      <c r="R25" s="63"/>
      <c r="S25" s="63"/>
      <c r="T25" s="63"/>
      <c r="U25" s="63"/>
    </row>
    <row r="26" spans="1:21" s="82" customFormat="1" x14ac:dyDescent="0.3">
      <c r="B26" s="69" t="s">
        <v>18</v>
      </c>
      <c r="C26" s="83">
        <v>20</v>
      </c>
      <c r="D26" s="84">
        <v>200</v>
      </c>
      <c r="E26" s="85" t="s">
        <v>106</v>
      </c>
      <c r="F26" s="69" t="s">
        <v>18</v>
      </c>
      <c r="G26" s="83">
        <v>20</v>
      </c>
      <c r="H26" s="84">
        <v>85</v>
      </c>
      <c r="I26" s="85" t="s">
        <v>106</v>
      </c>
      <c r="J26" s="114"/>
      <c r="K26" s="297"/>
      <c r="L26" s="297"/>
      <c r="N26" s="85"/>
      <c r="O26" s="85"/>
      <c r="P26" s="85"/>
      <c r="Q26" s="85"/>
      <c r="R26" s="85"/>
      <c r="S26" s="85"/>
      <c r="T26" s="85"/>
      <c r="U26" s="85"/>
    </row>
    <row r="27" spans="1:21" s="82" customFormat="1" x14ac:dyDescent="0.3">
      <c r="B27" s="69" t="s">
        <v>17</v>
      </c>
      <c r="C27" s="83">
        <f>I11</f>
        <v>100</v>
      </c>
      <c r="D27" s="84">
        <f>C20</f>
        <v>270.89999999999998</v>
      </c>
      <c r="E27" s="85" t="s">
        <v>107</v>
      </c>
      <c r="F27" s="69" t="s">
        <v>17</v>
      </c>
      <c r="G27" s="83">
        <f>I15</f>
        <v>80</v>
      </c>
      <c r="H27" s="84">
        <f>D20</f>
        <v>221.73750000000001</v>
      </c>
      <c r="I27" s="85" t="s">
        <v>106</v>
      </c>
      <c r="J27" s="114"/>
      <c r="K27" s="297"/>
      <c r="L27" s="297"/>
      <c r="M27" s="115"/>
      <c r="N27" s="85"/>
      <c r="O27" s="85"/>
      <c r="P27" s="85"/>
      <c r="Q27" s="85"/>
      <c r="R27" s="85"/>
      <c r="S27" s="85"/>
      <c r="T27" s="85"/>
      <c r="U27" s="85"/>
    </row>
    <row r="28" spans="1:21" s="82" customFormat="1" x14ac:dyDescent="0.3">
      <c r="B28" s="69" t="s">
        <v>6</v>
      </c>
      <c r="C28" s="83">
        <f>I12</f>
        <v>90</v>
      </c>
      <c r="D28" s="83"/>
      <c r="E28" s="85"/>
      <c r="F28" s="69" t="s">
        <v>6</v>
      </c>
      <c r="G28" s="83">
        <f>I16</f>
        <v>20</v>
      </c>
      <c r="H28" s="83"/>
      <c r="I28" s="85"/>
      <c r="J28" s="114"/>
      <c r="K28" s="297"/>
      <c r="L28" s="297"/>
      <c r="M28" s="115"/>
      <c r="N28" s="85"/>
      <c r="O28" s="85"/>
      <c r="P28" s="85"/>
      <c r="Q28" s="85"/>
      <c r="R28" s="85"/>
      <c r="S28" s="85"/>
      <c r="T28" s="85"/>
      <c r="U28" s="85"/>
    </row>
    <row r="29" spans="1:2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</row>
    <row r="30" spans="1:21" x14ac:dyDescent="0.25">
      <c r="B30" s="223" t="s">
        <v>112</v>
      </c>
      <c r="C30" s="144">
        <f>ROUND(C26*D26+(C28-C26)*D27,0)</f>
        <v>22963</v>
      </c>
      <c r="D30" s="86" t="s">
        <v>115</v>
      </c>
      <c r="E30" s="142"/>
      <c r="F30" s="220" t="s">
        <v>112</v>
      </c>
      <c r="G30" s="221">
        <f>ROUND(G26*H26+(G28-G26)*H27,0)</f>
        <v>1700</v>
      </c>
      <c r="H30" s="87" t="s">
        <v>115</v>
      </c>
      <c r="I30" s="63"/>
      <c r="J30" s="279" t="s">
        <v>22</v>
      </c>
      <c r="K30" s="279"/>
      <c r="L30" s="280">
        <f>G30+C30</f>
        <v>24663</v>
      </c>
      <c r="M30" s="280"/>
      <c r="N30" s="63"/>
      <c r="O30" s="63"/>
      <c r="P30" s="63"/>
      <c r="Q30" s="63"/>
      <c r="R30" s="63"/>
      <c r="S30" s="63"/>
      <c r="T30" s="63"/>
      <c r="U30" s="63"/>
    </row>
    <row r="31" spans="1:21" x14ac:dyDescent="0.25">
      <c r="B31" s="224" t="s">
        <v>12</v>
      </c>
      <c r="C31" s="88">
        <f>ROUND(C30*D31/100,0)</f>
        <v>18552</v>
      </c>
      <c r="D31" s="89">
        <f>ROUND(C18*100/C17,2)</f>
        <v>80.790000000000006</v>
      </c>
      <c r="E31" s="63" t="s">
        <v>93</v>
      </c>
      <c r="F31" s="219" t="s">
        <v>12</v>
      </c>
      <c r="G31" s="88">
        <f>ROUND(G30*H31/100,0)</f>
        <v>1383</v>
      </c>
      <c r="H31" s="90">
        <f>ROUND(D18*100/D17,2)</f>
        <v>81.38</v>
      </c>
      <c r="I31" s="63" t="s">
        <v>93</v>
      </c>
      <c r="J31" s="279"/>
      <c r="K31" s="279"/>
      <c r="L31" s="280"/>
      <c r="M31" s="280"/>
      <c r="N31" s="63"/>
      <c r="O31" s="63"/>
      <c r="P31" s="63"/>
      <c r="Q31" s="63"/>
      <c r="R31" s="63"/>
      <c r="S31" s="63"/>
      <c r="T31" s="63"/>
      <c r="U31" s="63"/>
    </row>
    <row r="32" spans="1:21" x14ac:dyDescent="0.25">
      <c r="B32" s="224" t="s">
        <v>13</v>
      </c>
      <c r="C32" s="88">
        <f>C30-C31</f>
        <v>4411</v>
      </c>
      <c r="D32" s="89">
        <f>100-D31</f>
        <v>19.209999999999994</v>
      </c>
      <c r="E32" s="63" t="s">
        <v>93</v>
      </c>
      <c r="F32" s="219" t="s">
        <v>13</v>
      </c>
      <c r="G32" s="88">
        <f>G30-G31</f>
        <v>317</v>
      </c>
      <c r="H32" s="90">
        <f>100-H31</f>
        <v>18.620000000000005</v>
      </c>
      <c r="I32" s="63" t="s">
        <v>93</v>
      </c>
      <c r="J32" s="91" t="s">
        <v>19</v>
      </c>
      <c r="K32" s="92">
        <f>C31+G31</f>
        <v>19935</v>
      </c>
      <c r="L32" s="91" t="s">
        <v>20</v>
      </c>
      <c r="M32" s="92">
        <f>C32+G32</f>
        <v>4728</v>
      </c>
      <c r="N32" s="63"/>
      <c r="O32" s="63"/>
      <c r="P32" s="63"/>
      <c r="Q32" s="63"/>
      <c r="R32" s="63"/>
      <c r="S32" s="63"/>
      <c r="T32" s="63"/>
      <c r="U32" s="63"/>
    </row>
    <row r="33" spans="1:21" ht="22.5" customHeight="1" x14ac:dyDescent="0.25">
      <c r="B33" s="63"/>
      <c r="C33" s="63"/>
      <c r="D33" s="63"/>
      <c r="E33" s="63"/>
      <c r="F33" s="63"/>
      <c r="G33" s="9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</row>
    <row r="34" spans="1:21" ht="15" customHeight="1" x14ac:dyDescent="0.25">
      <c r="A34" s="268" t="s">
        <v>28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08"/>
      <c r="P34" s="208"/>
      <c r="R34" s="63"/>
      <c r="S34" s="63"/>
      <c r="T34" s="63"/>
      <c r="U34" s="63"/>
    </row>
    <row r="35" spans="1:21" ht="15" customHeight="1" x14ac:dyDescent="0.25">
      <c r="A35" s="268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08"/>
      <c r="P35" s="208"/>
      <c r="R35" s="63"/>
      <c r="S35" s="63"/>
      <c r="T35" s="63"/>
      <c r="U35" s="63"/>
    </row>
    <row r="36" spans="1:21" ht="21.75" customHeight="1" x14ac:dyDescent="0.25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R36" s="63"/>
      <c r="S36" s="63"/>
      <c r="T36" s="63"/>
      <c r="U36" s="63"/>
    </row>
    <row r="37" spans="1:21" x14ac:dyDescent="0.25">
      <c r="B37" s="296" t="s">
        <v>23</v>
      </c>
      <c r="C37" s="296"/>
      <c r="D37" s="63"/>
      <c r="E37" s="63"/>
      <c r="F37" s="63"/>
      <c r="G37" s="273" t="s">
        <v>151</v>
      </c>
      <c r="H37" s="273"/>
      <c r="I37" s="63"/>
      <c r="J37" s="282" t="s">
        <v>152</v>
      </c>
      <c r="K37" s="282"/>
      <c r="L37" s="63"/>
      <c r="M37" s="291"/>
      <c r="N37" s="291"/>
      <c r="O37" s="63"/>
      <c r="P37" s="63"/>
      <c r="Q37" s="63"/>
      <c r="R37" s="63"/>
      <c r="S37" s="63"/>
      <c r="T37" s="63"/>
      <c r="U37" s="63"/>
    </row>
    <row r="38" spans="1:21" x14ac:dyDescent="0.25">
      <c r="B38" s="92">
        <f>'Detalle de Costos'!K26</f>
        <v>10480</v>
      </c>
      <c r="C38" s="70" t="s">
        <v>19</v>
      </c>
      <c r="D38" s="63"/>
      <c r="E38" s="63"/>
      <c r="F38" s="63"/>
      <c r="G38" s="295">
        <f>ROUND(C30*D47/L30,0)</f>
        <v>11797</v>
      </c>
      <c r="H38" s="295"/>
      <c r="I38" s="63"/>
      <c r="J38" s="294">
        <f>ROUND(G30*D47/L30,0)</f>
        <v>873</v>
      </c>
      <c r="K38" s="294"/>
      <c r="L38" s="63"/>
      <c r="M38" s="292"/>
      <c r="N38" s="292"/>
      <c r="O38" s="63"/>
      <c r="P38" s="63"/>
      <c r="Q38" s="63"/>
      <c r="R38" s="63"/>
      <c r="S38" s="63"/>
      <c r="T38" s="63"/>
      <c r="U38" s="63"/>
    </row>
    <row r="39" spans="1:21" x14ac:dyDescent="0.25">
      <c r="B39" s="63"/>
      <c r="C39" s="63"/>
      <c r="D39" s="63"/>
      <c r="E39" s="63"/>
      <c r="F39" s="63"/>
      <c r="G39" s="225" t="s">
        <v>19</v>
      </c>
      <c r="H39" s="92">
        <f>ROUND(G38*G47/100,0)</f>
        <v>11331</v>
      </c>
      <c r="I39" s="63"/>
      <c r="J39" s="222" t="s">
        <v>19</v>
      </c>
      <c r="K39" s="92">
        <f>ROUND(J38*G47/100,0)</f>
        <v>839</v>
      </c>
      <c r="L39" s="63"/>
      <c r="M39" s="105"/>
      <c r="N39" s="118"/>
      <c r="O39" s="63"/>
      <c r="P39" s="63"/>
      <c r="Q39" s="63"/>
      <c r="R39" s="63"/>
      <c r="S39" s="63"/>
      <c r="T39" s="63"/>
      <c r="U39" s="63"/>
    </row>
    <row r="40" spans="1:21" x14ac:dyDescent="0.25">
      <c r="B40" s="293" t="s">
        <v>24</v>
      </c>
      <c r="C40" s="293"/>
      <c r="D40" s="63"/>
      <c r="E40" s="63"/>
      <c r="F40" s="63"/>
      <c r="G40" s="225" t="s">
        <v>20</v>
      </c>
      <c r="H40" s="92">
        <f>G38-H39</f>
        <v>466</v>
      </c>
      <c r="I40" s="63"/>
      <c r="J40" s="222" t="s">
        <v>20</v>
      </c>
      <c r="K40" s="92">
        <f>J38-K39</f>
        <v>34</v>
      </c>
      <c r="L40" s="63"/>
      <c r="M40" s="105"/>
      <c r="N40" s="118"/>
      <c r="O40" s="63"/>
      <c r="P40" s="63"/>
      <c r="Q40" s="63"/>
      <c r="R40" s="63"/>
      <c r="S40" s="63"/>
      <c r="T40" s="63"/>
      <c r="U40" s="63"/>
    </row>
    <row r="41" spans="1:21" x14ac:dyDescent="0.25">
      <c r="B41" s="92">
        <f>'Detalle de Costos'!K36</f>
        <v>1630</v>
      </c>
      <c r="C41" s="70" t="s">
        <v>19</v>
      </c>
      <c r="D41" s="92">
        <f>+B41-D42</f>
        <v>1130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</row>
    <row r="42" spans="1:21" x14ac:dyDescent="0.25">
      <c r="B42" s="63"/>
      <c r="C42" s="70" t="s">
        <v>20</v>
      </c>
      <c r="D42" s="92">
        <v>500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</row>
    <row r="43" spans="1:21" x14ac:dyDescent="0.25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</row>
    <row r="44" spans="1:21" x14ac:dyDescent="0.25">
      <c r="B44" s="293" t="s">
        <v>25</v>
      </c>
      <c r="C44" s="29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</row>
    <row r="45" spans="1:21" x14ac:dyDescent="0.25">
      <c r="B45" s="92">
        <f>'Detalle de Costos'!K29</f>
        <v>560</v>
      </c>
      <c r="C45" s="70" t="s">
        <v>19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R45" s="63"/>
      <c r="S45" s="63"/>
      <c r="T45" s="63"/>
      <c r="U45" s="63"/>
    </row>
    <row r="46" spans="1:21" x14ac:dyDescent="0.25">
      <c r="B46" s="63"/>
      <c r="C46" s="63"/>
      <c r="D46" s="63"/>
      <c r="F46" s="94" t="s">
        <v>116</v>
      </c>
      <c r="G46" s="94" t="s">
        <v>27</v>
      </c>
      <c r="H46" s="63"/>
      <c r="I46" s="63"/>
      <c r="J46" s="63"/>
      <c r="K46" s="63"/>
      <c r="L46" s="63"/>
      <c r="M46" s="63"/>
      <c r="N46" s="63"/>
      <c r="R46" s="63"/>
      <c r="S46" s="63"/>
      <c r="T46" s="63"/>
      <c r="U46" s="63"/>
    </row>
    <row r="47" spans="1:21" x14ac:dyDescent="0.25">
      <c r="B47" s="293" t="s">
        <v>26</v>
      </c>
      <c r="C47" s="293"/>
      <c r="D47" s="280">
        <f>B38+B41+B45</f>
        <v>12670</v>
      </c>
      <c r="E47" s="95" t="s">
        <v>19</v>
      </c>
      <c r="F47" s="96">
        <f>B38+D41+B45</f>
        <v>12170</v>
      </c>
      <c r="G47" s="97">
        <f>ROUND(F47*100/D47,2)</f>
        <v>96.05</v>
      </c>
      <c r="H47" s="63" t="s">
        <v>93</v>
      </c>
      <c r="I47" s="63"/>
      <c r="J47" s="63"/>
      <c r="K47" s="63"/>
      <c r="L47" s="63"/>
      <c r="M47" s="63"/>
      <c r="N47" s="63"/>
      <c r="R47" s="63"/>
      <c r="S47" s="63"/>
      <c r="T47" s="63"/>
      <c r="U47" s="63"/>
    </row>
    <row r="48" spans="1:21" x14ac:dyDescent="0.25">
      <c r="B48" s="293"/>
      <c r="C48" s="293"/>
      <c r="D48" s="280"/>
      <c r="E48" s="95" t="s">
        <v>20</v>
      </c>
      <c r="F48" s="96">
        <f>D47-F47</f>
        <v>500</v>
      </c>
      <c r="G48" s="90">
        <f>100-G47</f>
        <v>3.9500000000000028</v>
      </c>
      <c r="H48" s="63" t="s">
        <v>93</v>
      </c>
      <c r="I48" s="63"/>
      <c r="J48" s="63"/>
      <c r="K48" s="63"/>
      <c r="L48" s="63"/>
      <c r="M48" s="63"/>
      <c r="N48" s="63"/>
      <c r="R48" s="63"/>
      <c r="S48" s="63"/>
      <c r="T48" s="63"/>
      <c r="U48" s="63"/>
    </row>
    <row r="49" spans="1:21" ht="22.5" customHeight="1" x14ac:dyDescent="0.25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R49" s="63"/>
      <c r="S49" s="63"/>
      <c r="T49" s="63"/>
      <c r="U49" s="63"/>
    </row>
    <row r="50" spans="1:21" ht="15" customHeight="1" x14ac:dyDescent="0.25">
      <c r="A50" s="268" t="s">
        <v>29</v>
      </c>
      <c r="B50" s="268"/>
      <c r="C50" s="268"/>
      <c r="D50" s="268"/>
      <c r="E50" s="268"/>
      <c r="F50" s="268"/>
      <c r="G50" s="268"/>
      <c r="H50" s="268"/>
      <c r="I50" s="268"/>
      <c r="J50" s="268"/>
      <c r="K50" s="268"/>
      <c r="L50" s="268"/>
      <c r="M50" s="268"/>
      <c r="N50" s="268"/>
      <c r="O50" s="208"/>
      <c r="P50" s="208"/>
      <c r="R50" s="63"/>
      <c r="S50" s="63"/>
      <c r="T50" s="63"/>
      <c r="U50" s="63"/>
    </row>
    <row r="51" spans="1:21" ht="15" customHeight="1" x14ac:dyDescent="0.25">
      <c r="A51" s="268"/>
      <c r="B51" s="268"/>
      <c r="C51" s="268"/>
      <c r="D51" s="268"/>
      <c r="E51" s="268"/>
      <c r="F51" s="268"/>
      <c r="G51" s="268"/>
      <c r="H51" s="268"/>
      <c r="I51" s="268"/>
      <c r="J51" s="268"/>
      <c r="K51" s="268"/>
      <c r="L51" s="268"/>
      <c r="M51" s="268"/>
      <c r="N51" s="268"/>
      <c r="O51" s="208"/>
      <c r="P51" s="208"/>
      <c r="R51" s="63"/>
      <c r="S51" s="63"/>
      <c r="T51" s="63"/>
      <c r="U51" s="63"/>
    </row>
    <row r="52" spans="1:21" x14ac:dyDescent="0.25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R52" s="63"/>
      <c r="S52" s="63"/>
      <c r="T52" s="63"/>
      <c r="U52" s="63"/>
    </row>
    <row r="53" spans="1:21" x14ac:dyDescent="0.25">
      <c r="B53" s="273" t="s">
        <v>151</v>
      </c>
      <c r="C53" s="273"/>
      <c r="D53" s="276" t="s">
        <v>152</v>
      </c>
      <c r="E53" s="276"/>
      <c r="F53" s="278"/>
      <c r="G53" s="278"/>
      <c r="H53" s="278"/>
      <c r="I53" s="63"/>
      <c r="N53" s="63"/>
      <c r="R53" s="63"/>
      <c r="S53" s="63"/>
      <c r="T53" s="63"/>
      <c r="U53" s="63"/>
    </row>
    <row r="54" spans="1:21" x14ac:dyDescent="0.25">
      <c r="B54" s="274">
        <f>G38+C30</f>
        <v>34760</v>
      </c>
      <c r="C54" s="275"/>
      <c r="D54" s="277">
        <f>J38+G30</f>
        <v>2573</v>
      </c>
      <c r="E54" s="277"/>
      <c r="F54" s="272"/>
      <c r="G54" s="272"/>
      <c r="H54" s="272"/>
      <c r="I54" s="63"/>
      <c r="N54" s="63"/>
      <c r="R54" s="63"/>
      <c r="S54" s="63"/>
      <c r="T54" s="63"/>
      <c r="U54" s="63"/>
    </row>
    <row r="55" spans="1:21" x14ac:dyDescent="0.25">
      <c r="B55" s="94" t="s">
        <v>19</v>
      </c>
      <c r="C55" s="94" t="s">
        <v>20</v>
      </c>
      <c r="D55" s="94" t="s">
        <v>19</v>
      </c>
      <c r="E55" s="94" t="s">
        <v>20</v>
      </c>
      <c r="F55" s="105"/>
      <c r="G55" s="270"/>
      <c r="H55" s="270"/>
      <c r="I55" s="63"/>
      <c r="N55" s="63"/>
      <c r="R55" s="63"/>
      <c r="S55" s="63"/>
      <c r="T55" s="63"/>
      <c r="U55" s="63"/>
    </row>
    <row r="56" spans="1:21" x14ac:dyDescent="0.25">
      <c r="B56" s="143">
        <f>H39+C31</f>
        <v>29883</v>
      </c>
      <c r="C56" s="143">
        <f>B54-B56</f>
        <v>4877</v>
      </c>
      <c r="D56" s="143">
        <f>+G31+K39</f>
        <v>2222</v>
      </c>
      <c r="E56" s="143">
        <f>D54-D56</f>
        <v>351</v>
      </c>
      <c r="F56" s="118"/>
      <c r="G56" s="272"/>
      <c r="H56" s="272"/>
      <c r="I56" s="63"/>
      <c r="J56" s="271"/>
      <c r="K56" s="271"/>
      <c r="L56" s="63"/>
      <c r="M56" s="63"/>
      <c r="N56" s="63"/>
      <c r="R56" s="63"/>
      <c r="S56" s="63"/>
      <c r="T56" s="63"/>
      <c r="U56" s="63"/>
    </row>
    <row r="57" spans="1:21" ht="22.5" customHeight="1" x14ac:dyDescent="0.25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R57" s="63"/>
      <c r="S57" s="63"/>
      <c r="T57" s="63"/>
      <c r="U57" s="63"/>
    </row>
    <row r="58" spans="1:21" ht="17.399999999999999" customHeight="1" x14ac:dyDescent="0.25">
      <c r="A58" s="268" t="s">
        <v>120</v>
      </c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08"/>
      <c r="P58" s="208"/>
      <c r="R58" s="63"/>
      <c r="S58" s="63"/>
      <c r="T58" s="63"/>
      <c r="U58" s="63"/>
    </row>
    <row r="59" spans="1:21" ht="13.2" customHeight="1" x14ac:dyDescent="0.25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08"/>
      <c r="P59" s="208"/>
      <c r="R59" s="63"/>
      <c r="S59" s="63"/>
      <c r="T59" s="63"/>
      <c r="U59" s="63"/>
    </row>
    <row r="60" spans="1:21" ht="22.5" customHeight="1" x14ac:dyDescent="0.25">
      <c r="B60" s="63"/>
      <c r="C60" s="63"/>
      <c r="D60" s="63"/>
      <c r="E60" s="63"/>
      <c r="F60" s="63"/>
      <c r="G60" s="63"/>
      <c r="H60" s="63"/>
      <c r="I60" s="63"/>
      <c r="K60" s="63"/>
      <c r="L60" s="63"/>
      <c r="M60" s="63"/>
      <c r="N60" s="63"/>
      <c r="R60" s="63"/>
      <c r="S60" s="63"/>
      <c r="T60" s="63"/>
      <c r="U60" s="63"/>
    </row>
    <row r="61" spans="1:21" ht="14.4" customHeight="1" x14ac:dyDescent="0.25">
      <c r="B61" s="227"/>
      <c r="C61" s="281" t="s">
        <v>151</v>
      </c>
      <c r="D61" s="273"/>
      <c r="E61" s="282" t="s">
        <v>152</v>
      </c>
      <c r="F61" s="282"/>
      <c r="G61" s="120"/>
      <c r="H61" s="286" t="s">
        <v>153</v>
      </c>
      <c r="I61" s="286"/>
      <c r="J61" s="284">
        <v>0.33850000000000002</v>
      </c>
      <c r="K61" s="285"/>
      <c r="L61" s="63"/>
      <c r="M61" s="63"/>
      <c r="N61" s="63"/>
      <c r="R61" s="63"/>
      <c r="S61" s="63"/>
      <c r="T61" s="63"/>
      <c r="U61" s="63"/>
    </row>
    <row r="62" spans="1:21" x14ac:dyDescent="0.25">
      <c r="B62" s="226" t="s">
        <v>30</v>
      </c>
      <c r="C62" s="287">
        <f>ROUND(B54+B54*J61,0)</f>
        <v>46526</v>
      </c>
      <c r="D62" s="287"/>
      <c r="E62" s="289">
        <f>ROUND(D54+D54*J63,0)</f>
        <v>3203</v>
      </c>
      <c r="F62" s="289"/>
      <c r="G62" s="120"/>
      <c r="H62" s="290"/>
      <c r="I62" s="271"/>
      <c r="K62" s="63"/>
      <c r="L62" s="63"/>
      <c r="M62" s="63"/>
      <c r="N62" s="63"/>
      <c r="R62" s="63"/>
      <c r="S62" s="63"/>
      <c r="T62" s="63"/>
      <c r="U62" s="63"/>
    </row>
    <row r="63" spans="1:21" ht="14.4" customHeight="1" x14ac:dyDescent="0.25">
      <c r="B63" s="66" t="s">
        <v>31</v>
      </c>
      <c r="C63" s="287">
        <f>ROUND(C62/I12,2)</f>
        <v>516.96</v>
      </c>
      <c r="D63" s="287"/>
      <c r="E63" s="289">
        <f>ROUND(E62/I16,2)</f>
        <v>160.15</v>
      </c>
      <c r="F63" s="289"/>
      <c r="G63" s="120"/>
      <c r="H63" s="286" t="s">
        <v>154</v>
      </c>
      <c r="I63" s="286"/>
      <c r="J63" s="284">
        <v>0.245</v>
      </c>
      <c r="K63" s="285"/>
      <c r="L63" s="63"/>
      <c r="M63" s="63"/>
      <c r="N63" s="63"/>
      <c r="R63" s="63"/>
      <c r="S63" s="63"/>
      <c r="T63" s="63"/>
      <c r="U63" s="63"/>
    </row>
    <row r="64" spans="1:21" x14ac:dyDescent="0.25">
      <c r="B64" s="66" t="s">
        <v>32</v>
      </c>
      <c r="C64" s="287">
        <f>ROUND(C62*1.18,0)</f>
        <v>54901</v>
      </c>
      <c r="D64" s="287"/>
      <c r="E64" s="289">
        <f>ROUND(E62*1.18,0)</f>
        <v>3780</v>
      </c>
      <c r="F64" s="289"/>
      <c r="G64" s="120"/>
      <c r="H64" s="119"/>
      <c r="I64" s="119"/>
      <c r="J64" s="119"/>
      <c r="K64" s="63"/>
      <c r="L64" s="63"/>
      <c r="M64" s="63"/>
      <c r="N64" s="63"/>
      <c r="R64" s="63"/>
      <c r="S64" s="63"/>
      <c r="T64" s="63"/>
      <c r="U64" s="63"/>
    </row>
    <row r="65" spans="1:21" x14ac:dyDescent="0.25">
      <c r="B65" s="66" t="s">
        <v>33</v>
      </c>
      <c r="C65" s="288">
        <f>ROUND(C64/I12,2)</f>
        <v>610.01</v>
      </c>
      <c r="D65" s="288"/>
      <c r="E65" s="283">
        <f>ROUND(E64/I16,2)</f>
        <v>189</v>
      </c>
      <c r="F65" s="283"/>
      <c r="G65" s="120"/>
      <c r="H65" s="119"/>
      <c r="I65" s="119"/>
      <c r="J65" s="119"/>
      <c r="K65" s="63"/>
      <c r="L65" s="63"/>
      <c r="M65" s="63"/>
      <c r="N65" s="63"/>
      <c r="R65" s="63"/>
      <c r="S65" s="63"/>
      <c r="T65" s="63"/>
      <c r="U65" s="63"/>
    </row>
    <row r="66" spans="1:21" ht="22.5" customHeight="1" x14ac:dyDescent="0.25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R66" s="63"/>
      <c r="S66" s="63"/>
      <c r="T66" s="63"/>
      <c r="U66" s="63"/>
    </row>
    <row r="67" spans="1:21" ht="15" customHeight="1" x14ac:dyDescent="0.25">
      <c r="A67" s="268" t="s">
        <v>34</v>
      </c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08"/>
      <c r="P67" s="208"/>
      <c r="R67" s="63"/>
      <c r="S67" s="63"/>
      <c r="T67" s="63"/>
      <c r="U67" s="63"/>
    </row>
    <row r="68" spans="1:21" ht="15" customHeight="1" x14ac:dyDescent="0.25">
      <c r="A68" s="268"/>
      <c r="B68" s="268"/>
      <c r="C68" s="268"/>
      <c r="D68" s="268"/>
      <c r="E68" s="268"/>
      <c r="F68" s="268"/>
      <c r="G68" s="268"/>
      <c r="H68" s="268"/>
      <c r="I68" s="268"/>
      <c r="J68" s="268"/>
      <c r="K68" s="268"/>
      <c r="L68" s="268"/>
      <c r="M68" s="268"/>
      <c r="N68" s="268"/>
      <c r="O68" s="208"/>
      <c r="P68" s="208"/>
      <c r="R68" s="63"/>
      <c r="S68" s="63"/>
      <c r="T68" s="63"/>
      <c r="U68" s="63"/>
    </row>
    <row r="69" spans="1:21" ht="22.5" customHeight="1" x14ac:dyDescent="0.2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R69" s="63"/>
      <c r="S69" s="63"/>
      <c r="T69" s="63"/>
      <c r="U69" s="63"/>
    </row>
    <row r="70" spans="1:21" x14ac:dyDescent="0.25">
      <c r="B70" s="227"/>
      <c r="C70" s="281" t="s">
        <v>148</v>
      </c>
      <c r="D70" s="273"/>
      <c r="E70" s="282" t="s">
        <v>149</v>
      </c>
      <c r="F70" s="282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</row>
    <row r="71" spans="1:21" x14ac:dyDescent="0.25">
      <c r="B71" s="226" t="s">
        <v>35</v>
      </c>
      <c r="C71" s="287">
        <f>ROUND(C18/I11,2)</f>
        <v>218.85</v>
      </c>
      <c r="D71" s="287"/>
      <c r="E71" s="289">
        <f>ROUND(D18/I15,2)</f>
        <v>180.45</v>
      </c>
      <c r="F71" s="289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</row>
    <row r="72" spans="1:21" x14ac:dyDescent="0.25">
      <c r="B72" s="66" t="s">
        <v>36</v>
      </c>
      <c r="C72" s="287">
        <f>ROUND(C19/I11,2)</f>
        <v>52.05</v>
      </c>
      <c r="D72" s="287"/>
      <c r="E72" s="289">
        <f>ROUND(D19/I15,2)</f>
        <v>41.29</v>
      </c>
      <c r="F72" s="289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</row>
    <row r="73" spans="1:21" x14ac:dyDescent="0.25">
      <c r="B73" s="66" t="s">
        <v>37</v>
      </c>
      <c r="C73" s="287">
        <f>ROUND(B56/I12,2)</f>
        <v>332.03</v>
      </c>
      <c r="D73" s="287"/>
      <c r="E73" s="289">
        <f>ROUND(D56/I16,2)</f>
        <v>111.1</v>
      </c>
      <c r="F73" s="289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</row>
    <row r="74" spans="1:21" x14ac:dyDescent="0.25">
      <c r="B74" s="66" t="s">
        <v>38</v>
      </c>
      <c r="C74" s="287">
        <f>ROUND(C56/I12,2)</f>
        <v>54.19</v>
      </c>
      <c r="D74" s="287"/>
      <c r="E74" s="289">
        <f>ROUND(E56/I16,2)</f>
        <v>17.55</v>
      </c>
      <c r="F74" s="289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</row>
    <row r="75" spans="1:21" x14ac:dyDescent="0.25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</row>
  </sheetData>
  <mergeCells count="68">
    <mergeCell ref="K15:M15"/>
    <mergeCell ref="K16:M16"/>
    <mergeCell ref="K17:M17"/>
    <mergeCell ref="K13:N13"/>
    <mergeCell ref="K8:M8"/>
    <mergeCell ref="H62:I62"/>
    <mergeCell ref="M37:N37"/>
    <mergeCell ref="M38:N38"/>
    <mergeCell ref="B44:C44"/>
    <mergeCell ref="J37:K37"/>
    <mergeCell ref="J38:K38"/>
    <mergeCell ref="B47:C48"/>
    <mergeCell ref="D47:D48"/>
    <mergeCell ref="G37:H37"/>
    <mergeCell ref="G38:H38"/>
    <mergeCell ref="B40:C40"/>
    <mergeCell ref="B37:C37"/>
    <mergeCell ref="J61:K61"/>
    <mergeCell ref="A58:N59"/>
    <mergeCell ref="C71:D71"/>
    <mergeCell ref="C72:D72"/>
    <mergeCell ref="C73:D73"/>
    <mergeCell ref="C74:D74"/>
    <mergeCell ref="E71:F71"/>
    <mergeCell ref="E72:F72"/>
    <mergeCell ref="E73:F73"/>
    <mergeCell ref="E74:F74"/>
    <mergeCell ref="C70:D70"/>
    <mergeCell ref="E70:F70"/>
    <mergeCell ref="E65:F65"/>
    <mergeCell ref="J63:K63"/>
    <mergeCell ref="C61:D61"/>
    <mergeCell ref="E61:F61"/>
    <mergeCell ref="H63:I63"/>
    <mergeCell ref="C62:D62"/>
    <mergeCell ref="C63:D63"/>
    <mergeCell ref="C64:D64"/>
    <mergeCell ref="C65:D65"/>
    <mergeCell ref="E62:F62"/>
    <mergeCell ref="E63:F63"/>
    <mergeCell ref="E64:F64"/>
    <mergeCell ref="H61:I61"/>
    <mergeCell ref="A67:N68"/>
    <mergeCell ref="G55:H55"/>
    <mergeCell ref="J56:K56"/>
    <mergeCell ref="G56:H56"/>
    <mergeCell ref="B53:C53"/>
    <mergeCell ref="B54:C54"/>
    <mergeCell ref="D53:E53"/>
    <mergeCell ref="D54:E54"/>
    <mergeCell ref="F53:H53"/>
    <mergeCell ref="F54:H54"/>
    <mergeCell ref="A22:N23"/>
    <mergeCell ref="A34:N35"/>
    <mergeCell ref="A5:N6"/>
    <mergeCell ref="A50:N51"/>
    <mergeCell ref="A1:P3"/>
    <mergeCell ref="J30:K31"/>
    <mergeCell ref="L30:M31"/>
    <mergeCell ref="K28:L28"/>
    <mergeCell ref="K27:L27"/>
    <mergeCell ref="K26:L26"/>
    <mergeCell ref="B25:D25"/>
    <mergeCell ref="F25:H25"/>
    <mergeCell ref="J25:M25"/>
    <mergeCell ref="H10:I10"/>
    <mergeCell ref="H14:I14"/>
    <mergeCell ref="K14:M14"/>
  </mergeCells>
  <pageMargins left="0.7" right="0.7" top="0.75" bottom="0.75" header="0.3" footer="0.3"/>
  <pageSetup paperSize="9" orientation="portrait" horizontalDpi="0" verticalDpi="0" r:id="rId1"/>
  <ignoredErrors>
    <ignoredError sqref="D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2"/>
  <sheetViews>
    <sheetView showGridLines="0" zoomScale="87" zoomScaleNormal="100" workbookViewId="0">
      <selection activeCell="G5" sqref="G5"/>
    </sheetView>
  </sheetViews>
  <sheetFormatPr baseColWidth="10" defaultColWidth="9.109375" defaultRowHeight="12" x14ac:dyDescent="0.25"/>
  <cols>
    <col min="1" max="5" width="9.109375" style="19"/>
    <col min="6" max="6" width="11.5546875" style="19" customWidth="1"/>
    <col min="7" max="7" width="9.6640625" style="19" customWidth="1"/>
    <col min="8" max="14" width="9.109375" style="19"/>
    <col min="15" max="15" width="21.5546875" style="19" customWidth="1"/>
    <col min="16" max="16384" width="9.109375" style="19"/>
  </cols>
  <sheetData>
    <row r="1" spans="1:21" x14ac:dyDescent="0.25">
      <c r="A1" s="117"/>
      <c r="B1" s="117"/>
      <c r="C1" s="117"/>
      <c r="D1" s="117"/>
      <c r="E1" s="117"/>
      <c r="F1" s="117"/>
      <c r="G1" s="117"/>
    </row>
    <row r="2" spans="1:21" x14ac:dyDescent="0.25">
      <c r="A2" s="117"/>
      <c r="B2" s="117"/>
      <c r="C2" s="117"/>
      <c r="D2" s="117"/>
      <c r="E2" s="117"/>
      <c r="F2" s="117"/>
      <c r="G2" s="117"/>
    </row>
    <row r="3" spans="1:2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328" t="s">
        <v>40</v>
      </c>
      <c r="B4" s="328"/>
      <c r="C4" s="328"/>
      <c r="D4" s="328"/>
      <c r="E4" s="328"/>
      <c r="F4" s="328"/>
      <c r="G4" s="26"/>
      <c r="H4" s="20"/>
      <c r="I4" s="116"/>
      <c r="J4" s="116"/>
      <c r="K4" s="116"/>
      <c r="L4" s="116"/>
      <c r="M4" s="116"/>
      <c r="N4" s="116"/>
      <c r="O4" s="116"/>
    </row>
    <row r="5" spans="1:21" x14ac:dyDescent="0.25">
      <c r="A5" s="328" t="s">
        <v>155</v>
      </c>
      <c r="B5" s="328"/>
      <c r="C5" s="328"/>
      <c r="D5" s="328"/>
      <c r="E5" s="328"/>
      <c r="F5" s="328"/>
      <c r="G5" s="26"/>
      <c r="H5" s="26"/>
      <c r="I5" s="123"/>
      <c r="J5" s="126" t="s">
        <v>183</v>
      </c>
      <c r="K5" s="123"/>
      <c r="L5" s="127" t="s">
        <v>184</v>
      </c>
      <c r="M5" s="116"/>
      <c r="N5" s="116"/>
      <c r="O5" s="116"/>
    </row>
    <row r="6" spans="1:21" x14ac:dyDescent="0.25">
      <c r="A6" s="328" t="s">
        <v>197</v>
      </c>
      <c r="B6" s="328"/>
      <c r="C6" s="328"/>
      <c r="D6" s="328"/>
      <c r="E6" s="328"/>
      <c r="F6" s="328"/>
      <c r="G6" s="26"/>
      <c r="H6" s="26"/>
      <c r="I6" s="123"/>
      <c r="J6" s="125"/>
      <c r="K6" s="125"/>
      <c r="L6" s="125"/>
      <c r="M6" s="116"/>
      <c r="N6" s="116"/>
      <c r="O6" s="116"/>
    </row>
    <row r="7" spans="1:21" x14ac:dyDescent="0.25">
      <c r="A7" s="328" t="s">
        <v>41</v>
      </c>
      <c r="B7" s="328"/>
      <c r="C7" s="328"/>
      <c r="D7" s="328"/>
      <c r="E7" s="328"/>
      <c r="F7" s="328"/>
      <c r="G7" s="26"/>
      <c r="H7" s="331" t="s">
        <v>182</v>
      </c>
      <c r="I7" s="331"/>
      <c r="J7" s="126">
        <f>'Estructura de Costos'!C31</f>
        <v>18552</v>
      </c>
      <c r="K7" s="123"/>
      <c r="L7" s="127">
        <f>'Estructura de Costos'!G31</f>
        <v>1383</v>
      </c>
      <c r="M7" s="116"/>
      <c r="N7" s="116"/>
      <c r="O7" s="116"/>
    </row>
    <row r="8" spans="1:21" x14ac:dyDescent="0.25">
      <c r="A8" s="326" t="s">
        <v>42</v>
      </c>
      <c r="B8" s="326"/>
      <c r="C8" s="326"/>
      <c r="D8" s="326"/>
      <c r="E8" s="326"/>
      <c r="F8" s="24">
        <f>'Estructura de Costos'!C62+'Estructura de Costos'!E62</f>
        <v>49729</v>
      </c>
      <c r="G8" s="26"/>
      <c r="H8" s="331" t="s">
        <v>185</v>
      </c>
      <c r="I8" s="331"/>
      <c r="J8" s="128">
        <f>'Estructura de Costos'!C12+'Estructura de Costos'!C15</f>
        <v>4760</v>
      </c>
      <c r="K8" s="124"/>
      <c r="L8" s="129">
        <f>'Estructura de Costos'!D12+'Estructura de Costos'!D15</f>
        <v>3019</v>
      </c>
      <c r="M8" s="18"/>
      <c r="N8" s="18"/>
      <c r="O8" s="18"/>
    </row>
    <row r="9" spans="1:21" x14ac:dyDescent="0.25">
      <c r="A9" s="326" t="s">
        <v>177</v>
      </c>
      <c r="B9" s="326"/>
      <c r="C9" s="326"/>
      <c r="D9" s="326"/>
      <c r="E9" s="326"/>
      <c r="F9" s="24">
        <f>'Estructura de Costos'!M32</f>
        <v>4728</v>
      </c>
      <c r="G9" s="26"/>
      <c r="H9" s="331" t="s">
        <v>186</v>
      </c>
      <c r="I9" s="331"/>
      <c r="J9" s="130">
        <v>100</v>
      </c>
      <c r="K9" s="26"/>
      <c r="L9" s="132">
        <v>80</v>
      </c>
      <c r="M9" s="20"/>
      <c r="N9" s="20"/>
      <c r="O9" s="20"/>
    </row>
    <row r="10" spans="1:21" x14ac:dyDescent="0.25">
      <c r="A10" s="326" t="s">
        <v>178</v>
      </c>
      <c r="B10" s="326"/>
      <c r="C10" s="326"/>
      <c r="D10" s="326"/>
      <c r="E10" s="326"/>
      <c r="F10" s="24">
        <f>'Estructura de Costos'!F48</f>
        <v>500</v>
      </c>
      <c r="G10" s="26"/>
      <c r="H10" s="331" t="s">
        <v>187</v>
      </c>
      <c r="I10" s="331"/>
      <c r="J10" s="130">
        <v>90</v>
      </c>
      <c r="K10" s="26"/>
      <c r="L10" s="132">
        <v>20</v>
      </c>
      <c r="M10" s="20"/>
      <c r="N10" s="20"/>
      <c r="O10" s="20"/>
    </row>
    <row r="11" spans="1:21" x14ac:dyDescent="0.25">
      <c r="A11" s="325" t="s">
        <v>179</v>
      </c>
      <c r="B11" s="325"/>
      <c r="C11" s="325"/>
      <c r="D11" s="325"/>
      <c r="E11" s="325"/>
      <c r="F11" s="121">
        <f>F8-F9-F10</f>
        <v>44501</v>
      </c>
      <c r="G11" s="26"/>
      <c r="H11" s="26"/>
      <c r="I11" s="133"/>
      <c r="J11" s="133"/>
      <c r="K11" s="133"/>
      <c r="L11" s="133"/>
      <c r="M11" s="20"/>
      <c r="N11" s="20"/>
      <c r="O11" s="20"/>
    </row>
    <row r="12" spans="1:21" x14ac:dyDescent="0.25">
      <c r="A12" s="326" t="s">
        <v>180</v>
      </c>
      <c r="B12" s="326"/>
      <c r="C12" s="326"/>
      <c r="D12" s="326"/>
      <c r="E12" s="326"/>
      <c r="F12" s="24">
        <f>L14</f>
        <v>22675</v>
      </c>
      <c r="G12" s="26"/>
      <c r="H12" s="331" t="s">
        <v>188</v>
      </c>
      <c r="I12" s="331"/>
      <c r="J12" s="130">
        <f>ROUND(J7+((J9-J10)/J9)*J8,0)</f>
        <v>19028</v>
      </c>
      <c r="K12" s="26"/>
      <c r="L12" s="132">
        <f>ROUND(L7+((L9-L10)/L9)*L8,0)</f>
        <v>3647</v>
      </c>
      <c r="M12" s="20"/>
      <c r="N12" s="20"/>
      <c r="O12" s="20"/>
    </row>
    <row r="13" spans="1:21" x14ac:dyDescent="0.25">
      <c r="A13" s="326" t="s">
        <v>181</v>
      </c>
      <c r="B13" s="326"/>
      <c r="C13" s="326"/>
      <c r="D13" s="326"/>
      <c r="E13" s="326"/>
      <c r="F13" s="25">
        <f>'Estructura de Costos'!F47</f>
        <v>12170</v>
      </c>
      <c r="G13" s="26"/>
      <c r="H13" s="26"/>
      <c r="I13" s="26"/>
      <c r="J13" s="26"/>
      <c r="K13" s="26"/>
      <c r="L13" s="26"/>
      <c r="M13" s="20"/>
      <c r="N13" s="20"/>
      <c r="O13" s="20"/>
    </row>
    <row r="14" spans="1:21" x14ac:dyDescent="0.25">
      <c r="A14" s="325" t="s">
        <v>48</v>
      </c>
      <c r="B14" s="325"/>
      <c r="C14" s="325"/>
      <c r="D14" s="325"/>
      <c r="E14" s="325"/>
      <c r="F14" s="122">
        <f>F11-F12-F13</f>
        <v>9656</v>
      </c>
      <c r="G14" s="26"/>
      <c r="H14" s="26"/>
      <c r="I14" s="26"/>
      <c r="J14" s="332" t="s">
        <v>189</v>
      </c>
      <c r="K14" s="332"/>
      <c r="L14" s="131">
        <f>J12+L12</f>
        <v>22675</v>
      </c>
      <c r="M14" s="20"/>
      <c r="N14" s="20"/>
      <c r="O14" s="20"/>
    </row>
    <row r="15" spans="1:21" x14ac:dyDescent="0.25">
      <c r="A15" s="326" t="s">
        <v>173</v>
      </c>
      <c r="B15" s="326"/>
      <c r="C15" s="326"/>
      <c r="D15" s="326"/>
      <c r="E15" s="326"/>
      <c r="F15" s="25">
        <f>ROUND(F14*0.1,0)</f>
        <v>966</v>
      </c>
      <c r="G15" s="20"/>
      <c r="H15" s="20"/>
      <c r="I15" s="20"/>
      <c r="J15" s="20"/>
      <c r="K15" s="20"/>
      <c r="L15" s="20"/>
      <c r="M15" s="20"/>
      <c r="N15" s="20"/>
      <c r="O15" s="20"/>
    </row>
    <row r="16" spans="1:21" x14ac:dyDescent="0.25">
      <c r="A16" s="325" t="s">
        <v>174</v>
      </c>
      <c r="B16" s="325"/>
      <c r="C16" s="325"/>
      <c r="D16" s="325"/>
      <c r="E16" s="325"/>
      <c r="F16" s="121">
        <f>F14-F15</f>
        <v>8690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21" x14ac:dyDescent="0.25">
      <c r="A17" s="333" t="s">
        <v>175</v>
      </c>
      <c r="B17" s="333"/>
      <c r="C17" s="333"/>
      <c r="D17" s="333"/>
      <c r="E17" s="333"/>
      <c r="F17" s="20">
        <f>ROUND(F16*29.5/100,0)</f>
        <v>2564</v>
      </c>
      <c r="H17" s="20"/>
      <c r="I17" s="20"/>
      <c r="J17" s="20"/>
      <c r="K17" s="20"/>
      <c r="L17" s="20"/>
      <c r="M17" s="20"/>
      <c r="N17" s="20"/>
      <c r="O17" s="20"/>
    </row>
    <row r="18" spans="1:21" x14ac:dyDescent="0.25">
      <c r="A18" s="327" t="s">
        <v>176</v>
      </c>
      <c r="B18" s="327"/>
      <c r="C18" s="327"/>
      <c r="D18" s="327"/>
      <c r="E18" s="327"/>
      <c r="F18" s="121">
        <f>F16-F17</f>
        <v>6126</v>
      </c>
      <c r="H18" s="20"/>
      <c r="I18" s="20"/>
      <c r="J18" s="20"/>
      <c r="K18" s="20"/>
      <c r="L18" s="20"/>
      <c r="M18" s="20"/>
      <c r="N18" s="20"/>
      <c r="O18" s="20"/>
    </row>
    <row r="19" spans="1:21" x14ac:dyDescent="0.25">
      <c r="A19" s="20"/>
      <c r="B19" s="20"/>
      <c r="C19" s="20"/>
      <c r="D19" s="20"/>
      <c r="E19" s="20"/>
      <c r="F19" s="20"/>
      <c r="H19" s="20"/>
      <c r="I19" s="20"/>
      <c r="J19" s="20"/>
      <c r="K19" s="20"/>
      <c r="L19" s="20"/>
      <c r="M19" s="20"/>
      <c r="N19" s="20"/>
      <c r="O19" s="20"/>
    </row>
    <row r="20" spans="1:21" x14ac:dyDescent="0.25">
      <c r="H20" s="20"/>
      <c r="I20" s="20"/>
      <c r="J20" s="20"/>
      <c r="K20" s="20"/>
      <c r="L20" s="20"/>
      <c r="M20" s="20"/>
      <c r="N20" s="20"/>
      <c r="O20" s="20"/>
    </row>
    <row r="21" spans="1:21" x14ac:dyDescent="0.25">
      <c r="H21" s="20"/>
      <c r="I21" s="20"/>
      <c r="J21" s="20"/>
      <c r="K21" s="20"/>
      <c r="L21" s="20"/>
      <c r="M21" s="20"/>
      <c r="N21" s="20"/>
      <c r="O21" s="20"/>
    </row>
    <row r="22" spans="1:2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1"/>
      <c r="K22" s="22"/>
      <c r="L22" s="22"/>
      <c r="M22" s="22"/>
      <c r="N22" s="20"/>
      <c r="O22" s="20"/>
      <c r="P22" s="20"/>
    </row>
    <row r="23" spans="1:2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1"/>
      <c r="K23" s="22"/>
      <c r="L23" s="22"/>
      <c r="M23" s="22"/>
      <c r="N23" s="20"/>
      <c r="O23" s="20"/>
      <c r="P23" s="20"/>
    </row>
    <row r="24" spans="1:2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3.8" customHeight="1" x14ac:dyDescent="0.25">
      <c r="A25" s="328" t="s">
        <v>39</v>
      </c>
      <c r="B25" s="328"/>
      <c r="C25" s="328"/>
      <c r="D25" s="328"/>
      <c r="E25" s="328"/>
      <c r="F25" s="328"/>
      <c r="G25" s="26"/>
      <c r="H25" s="20"/>
      <c r="I25" s="323" t="s">
        <v>102</v>
      </c>
      <c r="J25" s="323"/>
      <c r="K25" s="323"/>
      <c r="L25" s="323"/>
      <c r="M25" s="323"/>
      <c r="N25" s="323"/>
      <c r="O25" s="323"/>
      <c r="P25" s="20"/>
      <c r="Q25" s="20"/>
      <c r="R25" s="20"/>
      <c r="S25" s="20"/>
      <c r="T25" s="20"/>
      <c r="U25" s="20"/>
    </row>
    <row r="26" spans="1:21" x14ac:dyDescent="0.25">
      <c r="A26" s="328" t="s">
        <v>155</v>
      </c>
      <c r="B26" s="328"/>
      <c r="C26" s="328"/>
      <c r="D26" s="328"/>
      <c r="E26" s="328"/>
      <c r="F26" s="328"/>
      <c r="G26" s="26"/>
      <c r="H26" s="20"/>
      <c r="I26" s="323"/>
      <c r="J26" s="323"/>
      <c r="K26" s="323"/>
      <c r="L26" s="323"/>
      <c r="M26" s="323"/>
      <c r="N26" s="323"/>
      <c r="O26" s="323"/>
      <c r="P26" s="20"/>
      <c r="Q26" s="20"/>
      <c r="R26" s="20"/>
      <c r="S26" s="20"/>
      <c r="T26" s="20"/>
      <c r="U26" s="20"/>
    </row>
    <row r="27" spans="1:21" x14ac:dyDescent="0.25">
      <c r="A27" s="328" t="s">
        <v>197</v>
      </c>
      <c r="B27" s="328"/>
      <c r="C27" s="328"/>
      <c r="D27" s="328"/>
      <c r="E27" s="328"/>
      <c r="F27" s="328"/>
      <c r="G27" s="26"/>
      <c r="H27" s="20"/>
      <c r="I27" s="323"/>
      <c r="J27" s="323"/>
      <c r="K27" s="323"/>
      <c r="L27" s="323"/>
      <c r="M27" s="323"/>
      <c r="N27" s="323"/>
      <c r="O27" s="323"/>
      <c r="P27" s="20"/>
      <c r="Q27" s="20"/>
      <c r="R27" s="20"/>
      <c r="S27" s="20"/>
      <c r="T27" s="20"/>
      <c r="U27" s="20"/>
    </row>
    <row r="28" spans="1:21" x14ac:dyDescent="0.25">
      <c r="A28" s="328" t="s">
        <v>41</v>
      </c>
      <c r="B28" s="328"/>
      <c r="C28" s="328"/>
      <c r="D28" s="328"/>
      <c r="E28" s="328"/>
      <c r="F28" s="328"/>
      <c r="G28" s="26"/>
      <c r="H28" s="20"/>
      <c r="I28" s="323"/>
      <c r="J28" s="323"/>
      <c r="K28" s="323"/>
      <c r="L28" s="323"/>
      <c r="M28" s="323"/>
      <c r="N28" s="323"/>
      <c r="O28" s="323"/>
      <c r="P28" s="20"/>
      <c r="Q28" s="20"/>
      <c r="R28" s="20"/>
      <c r="S28" s="20"/>
      <c r="T28" s="20"/>
      <c r="U28" s="20"/>
    </row>
    <row r="29" spans="1:21" x14ac:dyDescent="0.25">
      <c r="A29" s="326" t="s">
        <v>42</v>
      </c>
      <c r="B29" s="326"/>
      <c r="C29" s="326"/>
      <c r="D29" s="326"/>
      <c r="E29" s="326"/>
      <c r="F29" s="24">
        <f>'Estructura de Costos'!C62+'Estructura de Costos'!E62</f>
        <v>49729</v>
      </c>
      <c r="G29" s="20"/>
      <c r="H29" s="20"/>
      <c r="I29" s="330" t="s">
        <v>99</v>
      </c>
      <c r="J29" s="326"/>
      <c r="K29" s="326"/>
      <c r="L29" s="326"/>
      <c r="M29" s="326"/>
      <c r="N29" s="326"/>
      <c r="O29" s="326"/>
      <c r="P29" s="20"/>
      <c r="Q29" s="20"/>
      <c r="R29" s="20"/>
      <c r="S29" s="20"/>
      <c r="T29" s="20"/>
      <c r="U29" s="20"/>
    </row>
    <row r="30" spans="1:21" x14ac:dyDescent="0.25">
      <c r="A30" s="326" t="s">
        <v>43</v>
      </c>
      <c r="B30" s="326"/>
      <c r="C30" s="326"/>
      <c r="D30" s="326"/>
      <c r="E30" s="326"/>
      <c r="F30" s="24">
        <f>'Estructura de Costos'!L30</f>
        <v>24663</v>
      </c>
      <c r="G30" s="20"/>
      <c r="H30" s="20"/>
      <c r="I30" s="322" t="s">
        <v>100</v>
      </c>
      <c r="J30" s="322"/>
      <c r="K30" s="322"/>
      <c r="L30" s="322"/>
      <c r="M30" s="322"/>
      <c r="N30" s="322"/>
      <c r="O30" s="322"/>
      <c r="P30" s="20"/>
      <c r="Q30" s="20"/>
      <c r="R30" s="20"/>
      <c r="S30" s="20"/>
      <c r="T30" s="20"/>
      <c r="U30" s="20"/>
    </row>
    <row r="31" spans="1:21" x14ac:dyDescent="0.25">
      <c r="A31" s="325" t="s">
        <v>44</v>
      </c>
      <c r="B31" s="325"/>
      <c r="C31" s="325"/>
      <c r="D31" s="325"/>
      <c r="E31" s="325"/>
      <c r="F31" s="121">
        <f>F29-F30</f>
        <v>25066</v>
      </c>
      <c r="G31" s="20"/>
      <c r="H31" s="20"/>
      <c r="I31" s="322"/>
      <c r="J31" s="322"/>
      <c r="K31" s="322"/>
      <c r="L31" s="322"/>
      <c r="M31" s="322"/>
      <c r="N31" s="322"/>
      <c r="O31" s="322"/>
      <c r="P31" s="20"/>
      <c r="Q31" s="20"/>
      <c r="R31" s="20"/>
      <c r="S31" s="20"/>
      <c r="T31" s="20"/>
      <c r="U31" s="20"/>
    </row>
    <row r="32" spans="1:21" x14ac:dyDescent="0.25">
      <c r="A32" s="326" t="s">
        <v>45</v>
      </c>
      <c r="B32" s="326"/>
      <c r="C32" s="326"/>
      <c r="D32" s="326"/>
      <c r="E32" s="326"/>
      <c r="F32" s="24">
        <f>'Estructura de Costos'!B38</f>
        <v>10480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326" t="s">
        <v>46</v>
      </c>
      <c r="B33" s="326"/>
      <c r="C33" s="326"/>
      <c r="D33" s="326"/>
      <c r="E33" s="326"/>
      <c r="F33" s="24">
        <f>'Estructura de Costos'!B45</f>
        <v>560</v>
      </c>
      <c r="G33" s="20"/>
      <c r="H33" s="20"/>
      <c r="I33" s="323" t="s">
        <v>101</v>
      </c>
      <c r="J33" s="324"/>
      <c r="K33" s="324"/>
      <c r="L33" s="324"/>
      <c r="M33" s="324"/>
      <c r="N33" s="324"/>
      <c r="O33" s="324"/>
      <c r="P33" s="20"/>
      <c r="Q33" s="20"/>
      <c r="R33" s="20"/>
      <c r="S33" s="20"/>
      <c r="T33" s="20"/>
      <c r="U33" s="20"/>
    </row>
    <row r="34" spans="1:21" x14ac:dyDescent="0.25">
      <c r="A34" s="326" t="s">
        <v>47</v>
      </c>
      <c r="B34" s="326"/>
      <c r="C34" s="326"/>
      <c r="D34" s="326"/>
      <c r="E34" s="326"/>
      <c r="F34" s="25">
        <f>'Estructura de Costos'!B41</f>
        <v>1630</v>
      </c>
      <c r="G34" s="20"/>
      <c r="H34" s="20"/>
      <c r="I34" s="324"/>
      <c r="J34" s="324"/>
      <c r="K34" s="324"/>
      <c r="L34" s="324"/>
      <c r="M34" s="324"/>
      <c r="N34" s="324"/>
      <c r="O34" s="324"/>
      <c r="P34" s="20"/>
      <c r="Q34" s="20"/>
      <c r="R34" s="20"/>
      <c r="S34" s="20"/>
      <c r="T34" s="20"/>
      <c r="U34" s="20"/>
    </row>
    <row r="35" spans="1:21" x14ac:dyDescent="0.25">
      <c r="A35" s="325" t="s">
        <v>48</v>
      </c>
      <c r="B35" s="325"/>
      <c r="C35" s="325"/>
      <c r="D35" s="325"/>
      <c r="E35" s="325"/>
      <c r="F35" s="122">
        <f>F31-F32-F33-F34</f>
        <v>12396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326" t="s">
        <v>173</v>
      </c>
      <c r="B36" s="326"/>
      <c r="C36" s="326"/>
      <c r="D36" s="326"/>
      <c r="E36" s="326"/>
      <c r="F36" s="25">
        <f>ROUND(F35*0.1,0)</f>
        <v>1240</v>
      </c>
      <c r="G36" s="20"/>
      <c r="H36" s="20"/>
      <c r="I36" s="324"/>
      <c r="J36" s="324"/>
      <c r="K36" s="324"/>
      <c r="L36" s="324"/>
      <c r="M36" s="324"/>
      <c r="N36" s="324"/>
      <c r="O36" s="324"/>
      <c r="P36" s="20"/>
      <c r="Q36" s="20"/>
      <c r="R36" s="20"/>
      <c r="S36" s="20"/>
      <c r="T36" s="20"/>
      <c r="U36" s="20"/>
    </row>
    <row r="37" spans="1:21" x14ac:dyDescent="0.25">
      <c r="A37" s="325" t="s">
        <v>174</v>
      </c>
      <c r="B37" s="325"/>
      <c r="C37" s="325"/>
      <c r="D37" s="325"/>
      <c r="E37" s="325"/>
      <c r="F37" s="121">
        <f>F35-F36</f>
        <v>11156</v>
      </c>
      <c r="G37" s="20"/>
      <c r="H37" s="20"/>
      <c r="I37" s="324"/>
      <c r="J37" s="324"/>
      <c r="K37" s="324"/>
      <c r="L37" s="324"/>
      <c r="M37" s="324"/>
      <c r="N37" s="324"/>
      <c r="O37" s="324"/>
      <c r="P37" s="20"/>
      <c r="Q37" s="20"/>
      <c r="R37" s="20"/>
      <c r="S37" s="20"/>
      <c r="T37" s="20"/>
      <c r="U37" s="20"/>
    </row>
    <row r="38" spans="1:21" x14ac:dyDescent="0.25">
      <c r="A38" s="329" t="s">
        <v>175</v>
      </c>
      <c r="B38" s="329"/>
      <c r="C38" s="329"/>
      <c r="D38" s="329"/>
      <c r="E38" s="329"/>
      <c r="F38" s="19">
        <f>ROUND(F37*29.5/100,0)</f>
        <v>3291</v>
      </c>
    </row>
    <row r="39" spans="1:21" x14ac:dyDescent="0.25">
      <c r="A39" s="327" t="s">
        <v>176</v>
      </c>
      <c r="B39" s="327"/>
      <c r="C39" s="327"/>
      <c r="D39" s="327"/>
      <c r="E39" s="327"/>
      <c r="F39" s="121">
        <f>F37-F38</f>
        <v>7865</v>
      </c>
    </row>
    <row r="42" spans="1:2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mergeCells count="41">
    <mergeCell ref="H7:I7"/>
    <mergeCell ref="H8:I8"/>
    <mergeCell ref="A18:E18"/>
    <mergeCell ref="A14:E14"/>
    <mergeCell ref="A15:E15"/>
    <mergeCell ref="A16:E16"/>
    <mergeCell ref="A17:E17"/>
    <mergeCell ref="H9:I9"/>
    <mergeCell ref="H10:I10"/>
    <mergeCell ref="I29:O29"/>
    <mergeCell ref="A29:E29"/>
    <mergeCell ref="I25:O28"/>
    <mergeCell ref="A12:E12"/>
    <mergeCell ref="A13:E13"/>
    <mergeCell ref="H12:I12"/>
    <mergeCell ref="J14:K14"/>
    <mergeCell ref="A4:F4"/>
    <mergeCell ref="A5:F5"/>
    <mergeCell ref="A6:F6"/>
    <mergeCell ref="A7:F7"/>
    <mergeCell ref="A11:E11"/>
    <mergeCell ref="A8:E8"/>
    <mergeCell ref="A9:E9"/>
    <mergeCell ref="A10:E10"/>
    <mergeCell ref="A39:E39"/>
    <mergeCell ref="A27:F27"/>
    <mergeCell ref="A28:F28"/>
    <mergeCell ref="A25:F25"/>
    <mergeCell ref="A26:F26"/>
    <mergeCell ref="A38:E38"/>
    <mergeCell ref="A33:E33"/>
    <mergeCell ref="A34:E34"/>
    <mergeCell ref="A30:E30"/>
    <mergeCell ref="A31:E31"/>
    <mergeCell ref="I30:O31"/>
    <mergeCell ref="I33:O34"/>
    <mergeCell ref="I36:O37"/>
    <mergeCell ref="A37:E37"/>
    <mergeCell ref="A35:E35"/>
    <mergeCell ref="A36:E36"/>
    <mergeCell ref="A32:E32"/>
  </mergeCells>
  <pageMargins left="0.7" right="0.7" top="0.75" bottom="0.75" header="0.3" footer="0.3"/>
  <pageSetup paperSize="9" orientation="portrait" horizontalDpi="300" verticalDpi="300" r:id="rId1"/>
  <ignoredErrors>
    <ignoredError sqref="F38 F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0"/>
  <sheetViews>
    <sheetView showGridLines="0" zoomScale="107" zoomScaleNormal="107" workbookViewId="0">
      <selection activeCell="A14" sqref="A14:C14"/>
    </sheetView>
  </sheetViews>
  <sheetFormatPr baseColWidth="10" defaultColWidth="9.109375" defaultRowHeight="10.199999999999999" x14ac:dyDescent="0.2"/>
  <cols>
    <col min="1" max="2" width="9.109375" style="28"/>
    <col min="3" max="3" width="25.109375" style="28" customWidth="1"/>
    <col min="4" max="4" width="17.6640625" style="28" customWidth="1"/>
    <col min="5" max="14" width="10.88671875" style="28" customWidth="1"/>
    <col min="15" max="15" width="8.109375" style="28" customWidth="1"/>
    <col min="16" max="16" width="9.88671875" style="28" customWidth="1"/>
    <col min="17" max="17" width="8.6640625" style="28" customWidth="1"/>
    <col min="18" max="18" width="11.6640625" style="28" bestFit="1" customWidth="1"/>
    <col min="19" max="19" width="9.109375" style="28"/>
    <col min="20" max="20" width="12.6640625" style="28" customWidth="1"/>
    <col min="21" max="21" width="9.109375" style="28"/>
    <col min="22" max="22" width="15" style="28" bestFit="1" customWidth="1"/>
    <col min="23" max="16384" width="9.109375" style="28"/>
  </cols>
  <sheetData>
    <row r="1" spans="1:21" x14ac:dyDescent="0.2">
      <c r="A1" s="339" t="s">
        <v>2</v>
      </c>
      <c r="B1" s="340"/>
      <c r="C1" s="340"/>
      <c r="D1" s="341"/>
      <c r="E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x14ac:dyDescent="0.2">
      <c r="A2" s="342"/>
      <c r="B2" s="343"/>
      <c r="C2" s="343"/>
      <c r="D2" s="344"/>
      <c r="E2" s="27"/>
      <c r="F2" s="338"/>
      <c r="G2" s="338"/>
      <c r="H2" s="338"/>
      <c r="I2" s="338"/>
      <c r="J2" s="338"/>
      <c r="K2" s="354">
        <f>ROUNDUP(D8/(D6-D7), 0)</f>
        <v>65</v>
      </c>
      <c r="L2" s="27"/>
      <c r="M2" s="350" t="s">
        <v>103</v>
      </c>
      <c r="N2" s="350"/>
      <c r="O2" s="350"/>
      <c r="P2" s="352">
        <f>100*K6/'Estructura de Costos'!C62/100</f>
        <v>0.72222843141469284</v>
      </c>
      <c r="Q2" s="352"/>
      <c r="R2" s="27"/>
    </row>
    <row r="3" spans="1:21" x14ac:dyDescent="0.2">
      <c r="A3" s="345"/>
      <c r="B3" s="346"/>
      <c r="C3" s="346"/>
      <c r="D3" s="347"/>
      <c r="E3" s="27"/>
      <c r="F3" s="338"/>
      <c r="G3" s="338"/>
      <c r="H3" s="338"/>
      <c r="I3" s="338"/>
      <c r="J3" s="338"/>
      <c r="K3" s="354"/>
      <c r="L3" s="27"/>
      <c r="M3" s="351"/>
      <c r="N3" s="351"/>
      <c r="O3" s="351"/>
      <c r="P3" s="352"/>
      <c r="Q3" s="352"/>
      <c r="R3" s="27"/>
    </row>
    <row r="4" spans="1:21" x14ac:dyDescent="0.2">
      <c r="A4" s="338" t="s">
        <v>200</v>
      </c>
      <c r="B4" s="338"/>
      <c r="C4" s="338"/>
      <c r="D4" s="146">
        <v>0</v>
      </c>
      <c r="E4" s="27"/>
      <c r="F4" s="338"/>
      <c r="G4" s="338"/>
      <c r="H4" s="338"/>
      <c r="I4" s="338"/>
      <c r="J4" s="338"/>
      <c r="K4" s="354"/>
      <c r="L4" s="27"/>
      <c r="M4" s="30"/>
      <c r="N4" s="31"/>
      <c r="O4" s="32"/>
      <c r="P4" s="353"/>
      <c r="Q4" s="352"/>
      <c r="R4" s="27"/>
    </row>
    <row r="5" spans="1:21" x14ac:dyDescent="0.2">
      <c r="A5" s="338" t="s">
        <v>199</v>
      </c>
      <c r="B5" s="338"/>
      <c r="C5" s="338"/>
      <c r="D5" s="146">
        <v>10</v>
      </c>
      <c r="E5" s="27"/>
      <c r="G5" s="27"/>
      <c r="H5" s="27"/>
      <c r="I5" s="27"/>
      <c r="J5" s="27"/>
      <c r="K5" s="27"/>
      <c r="L5" s="27"/>
      <c r="M5" s="33"/>
      <c r="O5" s="34"/>
      <c r="P5" s="353"/>
      <c r="Q5" s="352"/>
      <c r="R5" s="27"/>
    </row>
    <row r="6" spans="1:21" x14ac:dyDescent="0.2">
      <c r="A6" s="338" t="s">
        <v>55</v>
      </c>
      <c r="B6" s="338"/>
      <c r="C6" s="338"/>
      <c r="D6" s="29">
        <f>'Estructura de Costos'!C63</f>
        <v>516.96</v>
      </c>
      <c r="E6" s="27"/>
      <c r="F6" s="336"/>
      <c r="G6" s="336"/>
      <c r="H6" s="336"/>
      <c r="I6" s="336"/>
      <c r="J6" s="336"/>
      <c r="K6" s="337">
        <f>+K2*D6</f>
        <v>33602.400000000001</v>
      </c>
      <c r="L6" s="27"/>
      <c r="M6" s="33"/>
      <c r="O6" s="34"/>
      <c r="P6" s="353"/>
      <c r="Q6" s="352"/>
      <c r="R6" s="27"/>
    </row>
    <row r="7" spans="1:21" x14ac:dyDescent="0.2">
      <c r="A7" s="338" t="s">
        <v>4</v>
      </c>
      <c r="B7" s="338"/>
      <c r="C7" s="338"/>
      <c r="D7" s="29">
        <f>'Estructura de Costos'!C56/'Estructura de Costos'!I12</f>
        <v>54.18888888888889</v>
      </c>
      <c r="E7" s="35"/>
      <c r="F7" s="336"/>
      <c r="G7" s="336"/>
      <c r="H7" s="336"/>
      <c r="I7" s="336"/>
      <c r="J7" s="336"/>
      <c r="K7" s="337"/>
      <c r="L7" s="27"/>
      <c r="M7" s="36"/>
      <c r="N7" s="37"/>
      <c r="O7" s="38"/>
      <c r="P7" s="353"/>
      <c r="Q7" s="352"/>
      <c r="R7" s="27"/>
    </row>
    <row r="8" spans="1:21" x14ac:dyDescent="0.2">
      <c r="A8" s="338" t="s">
        <v>3</v>
      </c>
      <c r="B8" s="338"/>
      <c r="C8" s="338"/>
      <c r="D8" s="29">
        <f>'Estructura de Costos'!B56</f>
        <v>29883</v>
      </c>
      <c r="E8" s="27"/>
      <c r="F8" s="336"/>
      <c r="G8" s="336"/>
      <c r="H8" s="336"/>
      <c r="I8" s="336"/>
      <c r="J8" s="336"/>
      <c r="K8" s="337"/>
      <c r="L8" s="27"/>
      <c r="M8" s="27"/>
      <c r="N8" s="27"/>
      <c r="O8" s="27"/>
      <c r="P8" s="27"/>
      <c r="Q8" s="27"/>
      <c r="R8" s="27"/>
    </row>
    <row r="9" spans="1:21" x14ac:dyDescent="0.2">
      <c r="A9" s="338" t="s">
        <v>9</v>
      </c>
      <c r="B9" s="338"/>
      <c r="C9" s="338"/>
      <c r="D9" s="39">
        <v>0.33850000000000002</v>
      </c>
      <c r="E9" s="27"/>
      <c r="F9" s="40"/>
      <c r="G9" s="40"/>
      <c r="H9" s="40"/>
      <c r="I9" s="40"/>
      <c r="J9" s="40"/>
      <c r="K9" s="41"/>
      <c r="L9" s="27"/>
      <c r="M9" s="27"/>
      <c r="N9" s="27"/>
      <c r="O9" s="27"/>
      <c r="P9" s="27"/>
      <c r="Q9" s="27"/>
      <c r="R9" s="27"/>
    </row>
    <row r="10" spans="1:21" x14ac:dyDescent="0.2"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48" t="s">
        <v>191</v>
      </c>
      <c r="Q10" s="348"/>
      <c r="R10" s="27"/>
    </row>
    <row r="11" spans="1:21" x14ac:dyDescent="0.2">
      <c r="A11" s="335" t="s">
        <v>5</v>
      </c>
      <c r="B11" s="335"/>
      <c r="C11" s="335"/>
      <c r="D11" s="42">
        <f>+D4</f>
        <v>0</v>
      </c>
      <c r="E11" s="42">
        <v>10</v>
      </c>
      <c r="F11" s="42">
        <v>20</v>
      </c>
      <c r="G11" s="42">
        <v>30</v>
      </c>
      <c r="H11" s="42">
        <v>40</v>
      </c>
      <c r="I11" s="42">
        <v>50</v>
      </c>
      <c r="J11" s="43">
        <v>65</v>
      </c>
      <c r="K11" s="42">
        <v>70</v>
      </c>
      <c r="L11" s="42">
        <v>80</v>
      </c>
      <c r="M11" s="42">
        <v>90</v>
      </c>
      <c r="N11" s="43">
        <v>150</v>
      </c>
      <c r="O11" s="27"/>
      <c r="P11" s="151" t="s">
        <v>192</v>
      </c>
      <c r="Q11" s="152">
        <v>10</v>
      </c>
      <c r="R11" s="145"/>
    </row>
    <row r="12" spans="1:21" x14ac:dyDescent="0.2">
      <c r="A12" s="335" t="s">
        <v>30</v>
      </c>
      <c r="B12" s="335"/>
      <c r="C12" s="335"/>
      <c r="D12" s="42">
        <f t="shared" ref="D12:M12" si="0">+D11*$D$6</f>
        <v>0</v>
      </c>
      <c r="E12" s="42">
        <f t="shared" si="0"/>
        <v>5169.6000000000004</v>
      </c>
      <c r="F12" s="42">
        <f t="shared" si="0"/>
        <v>10339.200000000001</v>
      </c>
      <c r="G12" s="42">
        <f t="shared" si="0"/>
        <v>15508.800000000001</v>
      </c>
      <c r="H12" s="42">
        <f t="shared" si="0"/>
        <v>20678.400000000001</v>
      </c>
      <c r="I12" s="42">
        <f t="shared" si="0"/>
        <v>25848</v>
      </c>
      <c r="J12" s="43">
        <f t="shared" si="0"/>
        <v>33602.400000000001</v>
      </c>
      <c r="K12" s="42">
        <f t="shared" si="0"/>
        <v>36187.200000000004</v>
      </c>
      <c r="L12" s="42">
        <f t="shared" si="0"/>
        <v>41356.800000000003</v>
      </c>
      <c r="M12" s="42">
        <f t="shared" si="0"/>
        <v>46526.400000000001</v>
      </c>
      <c r="N12" s="43">
        <f t="shared" ref="N12" si="1">+N11*$D$6</f>
        <v>77544</v>
      </c>
      <c r="O12" s="27"/>
      <c r="P12" s="151" t="s">
        <v>193</v>
      </c>
      <c r="Q12" s="153">
        <f>D6*10</f>
        <v>5169.6000000000004</v>
      </c>
      <c r="R12" s="155" t="s">
        <v>196</v>
      </c>
      <c r="S12" s="156" t="s">
        <v>206</v>
      </c>
    </row>
    <row r="13" spans="1:21" x14ac:dyDescent="0.2">
      <c r="A13" s="335" t="s">
        <v>20</v>
      </c>
      <c r="B13" s="335"/>
      <c r="C13" s="335"/>
      <c r="D13" s="42">
        <f t="shared" ref="D13:M13" si="2">+D11*$D$7</f>
        <v>0</v>
      </c>
      <c r="E13" s="42">
        <f t="shared" si="2"/>
        <v>541.88888888888891</v>
      </c>
      <c r="F13" s="42">
        <f t="shared" si="2"/>
        <v>1083.7777777777778</v>
      </c>
      <c r="G13" s="42">
        <f t="shared" si="2"/>
        <v>1625.6666666666667</v>
      </c>
      <c r="H13" s="42">
        <f t="shared" si="2"/>
        <v>2167.5555555555557</v>
      </c>
      <c r="I13" s="42">
        <f t="shared" si="2"/>
        <v>2709.4444444444443</v>
      </c>
      <c r="J13" s="43">
        <f t="shared" si="2"/>
        <v>3522.2777777777778</v>
      </c>
      <c r="K13" s="42">
        <f t="shared" si="2"/>
        <v>3793.2222222222222</v>
      </c>
      <c r="L13" s="42">
        <f t="shared" si="2"/>
        <v>4335.1111111111113</v>
      </c>
      <c r="M13" s="42">
        <f t="shared" si="2"/>
        <v>4877</v>
      </c>
      <c r="N13" s="43">
        <f t="shared" ref="N13" si="3">+N11*$D$7</f>
        <v>8128.3333333333339</v>
      </c>
      <c r="O13" s="27"/>
      <c r="P13" s="151" t="s">
        <v>195</v>
      </c>
      <c r="Q13" s="153">
        <f>D7*10</f>
        <v>541.88888888888891</v>
      </c>
      <c r="R13" s="155" t="s">
        <v>201</v>
      </c>
      <c r="S13" s="156" t="s">
        <v>206</v>
      </c>
      <c r="T13" s="349" t="s">
        <v>208</v>
      </c>
      <c r="U13" s="349"/>
    </row>
    <row r="14" spans="1:21" x14ac:dyDescent="0.2">
      <c r="A14" s="335" t="s">
        <v>7</v>
      </c>
      <c r="B14" s="335"/>
      <c r="C14" s="335"/>
      <c r="D14" s="42">
        <f t="shared" ref="D14:M14" si="4">+D12-D13</f>
        <v>0</v>
      </c>
      <c r="E14" s="42">
        <f t="shared" si="4"/>
        <v>4627.7111111111117</v>
      </c>
      <c r="F14" s="42">
        <f t="shared" si="4"/>
        <v>9255.4222222222234</v>
      </c>
      <c r="G14" s="42">
        <f t="shared" si="4"/>
        <v>13883.133333333335</v>
      </c>
      <c r="H14" s="42">
        <f t="shared" si="4"/>
        <v>18510.844444444447</v>
      </c>
      <c r="I14" s="42">
        <f t="shared" si="4"/>
        <v>23138.555555555555</v>
      </c>
      <c r="J14" s="43">
        <f t="shared" si="4"/>
        <v>30080.122222222224</v>
      </c>
      <c r="K14" s="42">
        <f t="shared" si="4"/>
        <v>32393.977777777782</v>
      </c>
      <c r="L14" s="42">
        <f t="shared" si="4"/>
        <v>37021.688888888893</v>
      </c>
      <c r="M14" s="42">
        <f t="shared" si="4"/>
        <v>41649.4</v>
      </c>
      <c r="N14" s="43">
        <f t="shared" ref="N14" si="5">+N12-N13</f>
        <v>69415.666666666672</v>
      </c>
      <c r="O14" s="27"/>
      <c r="P14" s="151" t="s">
        <v>194</v>
      </c>
      <c r="Q14" s="153">
        <f>Q12-Q13</f>
        <v>4627.7111111111117</v>
      </c>
      <c r="R14" s="155" t="s">
        <v>202</v>
      </c>
      <c r="S14" s="156" t="s">
        <v>207</v>
      </c>
    </row>
    <row r="15" spans="1:21" x14ac:dyDescent="0.2">
      <c r="A15" s="335" t="s">
        <v>19</v>
      </c>
      <c r="B15" s="335"/>
      <c r="C15" s="335"/>
      <c r="D15" s="42">
        <f t="shared" ref="D15:N15" si="6">+$D$8</f>
        <v>29883</v>
      </c>
      <c r="E15" s="42">
        <f t="shared" si="6"/>
        <v>29883</v>
      </c>
      <c r="F15" s="42">
        <f t="shared" si="6"/>
        <v>29883</v>
      </c>
      <c r="G15" s="42">
        <f t="shared" si="6"/>
        <v>29883</v>
      </c>
      <c r="H15" s="42">
        <f t="shared" si="6"/>
        <v>29883</v>
      </c>
      <c r="I15" s="42">
        <f t="shared" si="6"/>
        <v>29883</v>
      </c>
      <c r="J15" s="43">
        <f t="shared" si="6"/>
        <v>29883</v>
      </c>
      <c r="K15" s="42">
        <f t="shared" si="6"/>
        <v>29883</v>
      </c>
      <c r="L15" s="42">
        <f t="shared" si="6"/>
        <v>29883</v>
      </c>
      <c r="M15" s="42">
        <f t="shared" si="6"/>
        <v>29883</v>
      </c>
      <c r="N15" s="43">
        <f t="shared" si="6"/>
        <v>29883</v>
      </c>
      <c r="O15" s="27"/>
    </row>
    <row r="16" spans="1:21" x14ac:dyDescent="0.2">
      <c r="A16" s="335" t="s">
        <v>104</v>
      </c>
      <c r="B16" s="335"/>
      <c r="C16" s="335"/>
      <c r="D16" s="42">
        <f>+D15+D13</f>
        <v>29883</v>
      </c>
      <c r="E16" s="42">
        <f t="shared" ref="E16:L16" si="7">+E15+E13</f>
        <v>30424.888888888891</v>
      </c>
      <c r="F16" s="42">
        <f t="shared" si="7"/>
        <v>30966.777777777777</v>
      </c>
      <c r="G16" s="42">
        <f t="shared" si="7"/>
        <v>31508.666666666668</v>
      </c>
      <c r="H16" s="42">
        <f t="shared" si="7"/>
        <v>32050.555555555555</v>
      </c>
      <c r="I16" s="42">
        <f t="shared" si="7"/>
        <v>32592.444444444445</v>
      </c>
      <c r="J16" s="43">
        <f t="shared" si="7"/>
        <v>33405.277777777781</v>
      </c>
      <c r="K16" s="42">
        <f t="shared" si="7"/>
        <v>33676.222222222219</v>
      </c>
      <c r="L16" s="42">
        <f t="shared" si="7"/>
        <v>34218.111111111109</v>
      </c>
      <c r="M16" s="42">
        <f>+M15+M13</f>
        <v>34760</v>
      </c>
      <c r="N16" s="43">
        <f t="shared" ref="N16" si="8">+N15+N13</f>
        <v>38011.333333333336</v>
      </c>
      <c r="O16" s="27"/>
      <c r="P16" s="150"/>
      <c r="Q16" s="148"/>
      <c r="R16" s="27"/>
    </row>
    <row r="17" spans="1:18" x14ac:dyDescent="0.2">
      <c r="A17" s="335" t="s">
        <v>8</v>
      </c>
      <c r="B17" s="335"/>
      <c r="C17" s="335"/>
      <c r="D17" s="44">
        <f t="shared" ref="D17:L17" si="9">+D14-D15</f>
        <v>-29883</v>
      </c>
      <c r="E17" s="44">
        <f t="shared" si="9"/>
        <v>-25255.288888888888</v>
      </c>
      <c r="F17" s="44">
        <f t="shared" si="9"/>
        <v>-20627.577777777777</v>
      </c>
      <c r="G17" s="44">
        <f t="shared" si="9"/>
        <v>-15999.866666666665</v>
      </c>
      <c r="H17" s="44">
        <f t="shared" si="9"/>
        <v>-11372.155555555553</v>
      </c>
      <c r="I17" s="44">
        <f t="shared" si="9"/>
        <v>-6744.4444444444453</v>
      </c>
      <c r="J17" s="43">
        <f t="shared" si="9"/>
        <v>197.12222222222408</v>
      </c>
      <c r="K17" s="44">
        <f t="shared" si="9"/>
        <v>2510.9777777777817</v>
      </c>
      <c r="L17" s="44">
        <f t="shared" si="9"/>
        <v>7138.6888888888934</v>
      </c>
      <c r="M17" s="44">
        <f>+M14-M15</f>
        <v>11766.400000000001</v>
      </c>
      <c r="N17" s="43">
        <f t="shared" ref="N17" si="10">+N14-N15</f>
        <v>39532.666666666672</v>
      </c>
      <c r="O17" s="27"/>
      <c r="P17" s="147"/>
      <c r="Q17" s="149"/>
      <c r="R17" s="27"/>
    </row>
    <row r="18" spans="1:18" x14ac:dyDescent="0.2">
      <c r="A18" s="334"/>
      <c r="B18" s="334"/>
      <c r="C18" s="334"/>
      <c r="O18" s="27"/>
      <c r="P18" s="27"/>
      <c r="Q18" s="27"/>
      <c r="R18" s="27"/>
    </row>
    <row r="19" spans="1:18" x14ac:dyDescent="0.2">
      <c r="A19" s="334"/>
      <c r="B19" s="334"/>
      <c r="C19" s="334"/>
      <c r="O19" s="27"/>
      <c r="P19" s="27"/>
      <c r="Q19" s="27"/>
      <c r="R19" s="27"/>
    </row>
    <row r="20" spans="1:18" x14ac:dyDescent="0.2">
      <c r="A20" s="27"/>
      <c r="B20" s="27"/>
      <c r="C20" s="27"/>
      <c r="O20" s="27"/>
      <c r="P20" s="27"/>
      <c r="Q20" s="27"/>
      <c r="R20" s="27"/>
    </row>
    <row r="21" spans="1:18" x14ac:dyDescent="0.2">
      <c r="A21" s="27"/>
      <c r="B21" s="27"/>
      <c r="C21" s="27"/>
      <c r="O21" s="27"/>
      <c r="P21" s="27"/>
      <c r="Q21" s="27"/>
      <c r="R21" s="27"/>
    </row>
    <row r="22" spans="1:18" x14ac:dyDescent="0.2">
      <c r="A22" s="27"/>
      <c r="B22" s="27"/>
      <c r="C22" s="27"/>
      <c r="O22" s="27"/>
      <c r="P22" s="27"/>
      <c r="Q22" s="27"/>
      <c r="R22" s="27"/>
    </row>
    <row r="23" spans="1:18" x14ac:dyDescent="0.2">
      <c r="A23" s="27"/>
      <c r="B23" s="27"/>
      <c r="C23" s="27"/>
      <c r="O23" s="27"/>
      <c r="P23" s="27"/>
      <c r="Q23" s="27"/>
      <c r="R23" s="27"/>
    </row>
    <row r="24" spans="1:18" x14ac:dyDescent="0.2">
      <c r="A24" s="27"/>
      <c r="B24" s="27"/>
      <c r="C24" s="27"/>
      <c r="O24" s="27"/>
      <c r="P24" s="27"/>
      <c r="Q24" s="27"/>
      <c r="R24" s="27"/>
    </row>
    <row r="25" spans="1:18" x14ac:dyDescent="0.2">
      <c r="A25" s="27"/>
      <c r="B25" s="27"/>
      <c r="C25" s="27"/>
      <c r="O25" s="27"/>
      <c r="P25" s="27"/>
      <c r="Q25" s="27"/>
      <c r="R25" s="27"/>
    </row>
    <row r="26" spans="1:18" x14ac:dyDescent="0.2">
      <c r="A26" s="27"/>
      <c r="B26" s="27"/>
      <c r="C26" s="27"/>
      <c r="O26" s="27"/>
      <c r="P26" s="27"/>
      <c r="Q26" s="27"/>
      <c r="R26" s="27"/>
    </row>
    <row r="27" spans="1:18" x14ac:dyDescent="0.2">
      <c r="A27" s="27"/>
      <c r="B27" s="27"/>
      <c r="C27" s="27"/>
      <c r="O27" s="27"/>
      <c r="P27" s="27"/>
      <c r="Q27" s="27"/>
      <c r="R27" s="27"/>
    </row>
    <row r="28" spans="1:18" x14ac:dyDescent="0.2">
      <c r="A28" s="27"/>
      <c r="B28" s="27"/>
      <c r="C28" s="27"/>
      <c r="O28" s="27"/>
      <c r="P28" s="27"/>
      <c r="Q28" s="27"/>
      <c r="R28" s="27"/>
    </row>
    <row r="29" spans="1:18" x14ac:dyDescent="0.2">
      <c r="A29" s="27"/>
      <c r="B29" s="27"/>
      <c r="C29" s="27"/>
      <c r="O29" s="27"/>
      <c r="P29" s="27"/>
      <c r="Q29" s="27"/>
      <c r="R29" s="27"/>
    </row>
    <row r="30" spans="1:18" x14ac:dyDescent="0.2">
      <c r="A30" s="27"/>
      <c r="B30" s="27"/>
      <c r="C30" s="27"/>
      <c r="O30" s="27"/>
      <c r="P30" s="27"/>
      <c r="Q30" s="27"/>
      <c r="R30" s="27"/>
    </row>
    <row r="31" spans="1:18" x14ac:dyDescent="0.2">
      <c r="A31" s="27"/>
      <c r="B31" s="27"/>
      <c r="C31" s="27"/>
      <c r="O31" s="27"/>
      <c r="P31" s="27"/>
      <c r="Q31" s="27"/>
      <c r="R31" s="27"/>
    </row>
    <row r="32" spans="1:18" x14ac:dyDescent="0.2">
      <c r="A32" s="27"/>
      <c r="B32" s="27"/>
      <c r="C32" s="27"/>
      <c r="O32" s="27"/>
      <c r="P32" s="27"/>
      <c r="Q32" s="27"/>
      <c r="R32" s="27"/>
    </row>
    <row r="33" spans="1:18" x14ac:dyDescent="0.2">
      <c r="A33" s="27"/>
      <c r="B33" s="27"/>
      <c r="C33" s="27"/>
      <c r="O33" s="27"/>
      <c r="P33" s="27"/>
      <c r="Q33" s="27"/>
      <c r="R33" s="27"/>
    </row>
    <row r="34" spans="1:18" x14ac:dyDescent="0.2">
      <c r="A34" s="27"/>
      <c r="B34" s="27"/>
      <c r="C34" s="27"/>
      <c r="O34" s="27"/>
      <c r="P34" s="27"/>
      <c r="Q34" s="27"/>
      <c r="R34" s="27"/>
    </row>
    <row r="35" spans="1:18" x14ac:dyDescent="0.2">
      <c r="A35" s="27"/>
      <c r="B35" s="27"/>
      <c r="C35" s="27"/>
      <c r="O35" s="27"/>
      <c r="P35" s="27"/>
      <c r="Q35" s="27"/>
      <c r="R35" s="27"/>
    </row>
    <row r="36" spans="1:18" x14ac:dyDescent="0.2">
      <c r="A36" s="27"/>
      <c r="B36" s="27"/>
      <c r="C36" s="27"/>
      <c r="O36" s="27"/>
      <c r="P36" s="27"/>
      <c r="Q36" s="27"/>
      <c r="R36" s="27"/>
    </row>
    <row r="37" spans="1:18" x14ac:dyDescent="0.2">
      <c r="A37" s="27"/>
      <c r="B37" s="27"/>
      <c r="C37" s="27"/>
      <c r="O37" s="27"/>
      <c r="P37" s="27"/>
      <c r="Q37" s="27"/>
      <c r="R37" s="27"/>
    </row>
    <row r="38" spans="1:18" x14ac:dyDescent="0.2">
      <c r="A38" s="27"/>
      <c r="B38" s="27"/>
      <c r="C38" s="27"/>
      <c r="O38" s="27"/>
      <c r="P38" s="27"/>
      <c r="Q38" s="27"/>
      <c r="R38" s="27"/>
    </row>
    <row r="39" spans="1:18" x14ac:dyDescent="0.2">
      <c r="A39" s="27"/>
      <c r="B39" s="27"/>
      <c r="C39" s="27"/>
      <c r="O39" s="27"/>
      <c r="P39" s="27"/>
      <c r="Q39" s="27"/>
      <c r="R39" s="27"/>
    </row>
    <row r="40" spans="1:18" x14ac:dyDescent="0.2">
      <c r="A40" s="27"/>
      <c r="B40" s="27"/>
      <c r="C40" s="27"/>
      <c r="O40" s="27"/>
      <c r="P40" s="27"/>
      <c r="Q40" s="27"/>
      <c r="R40" s="27"/>
    </row>
    <row r="41" spans="1:18" x14ac:dyDescent="0.2">
      <c r="A41" s="27"/>
      <c r="B41" s="27"/>
      <c r="C41" s="27"/>
      <c r="O41" s="27"/>
      <c r="P41" s="27"/>
      <c r="Q41" s="27"/>
      <c r="R41" s="27"/>
    </row>
    <row r="42" spans="1:18" x14ac:dyDescent="0.2">
      <c r="A42" s="27"/>
      <c r="B42" s="27"/>
      <c r="C42" s="27"/>
      <c r="O42" s="27"/>
      <c r="P42" s="27"/>
      <c r="Q42" s="27"/>
      <c r="R42" s="27"/>
    </row>
    <row r="43" spans="1:18" x14ac:dyDescent="0.2">
      <c r="A43" s="27"/>
      <c r="B43" s="27"/>
      <c r="C43" s="27"/>
      <c r="O43" s="27"/>
      <c r="P43" s="27"/>
      <c r="Q43" s="27"/>
      <c r="R43" s="27"/>
    </row>
    <row r="44" spans="1:18" x14ac:dyDescent="0.2">
      <c r="A44" s="27"/>
      <c r="B44" s="27"/>
      <c r="C44" s="27"/>
      <c r="O44" s="27"/>
      <c r="P44" s="27"/>
      <c r="Q44" s="27"/>
      <c r="R44" s="27"/>
    </row>
    <row r="45" spans="1:18" x14ac:dyDescent="0.2">
      <c r="A45" s="27"/>
      <c r="B45" s="27"/>
      <c r="C45" s="27"/>
      <c r="O45" s="27"/>
      <c r="P45" s="27"/>
      <c r="Q45" s="27"/>
      <c r="R45" s="27"/>
    </row>
    <row r="46" spans="1:18" x14ac:dyDescent="0.2">
      <c r="A46" s="27"/>
      <c r="B46" s="27"/>
      <c r="C46" s="27"/>
      <c r="O46" s="27"/>
      <c r="P46" s="27"/>
      <c r="Q46" s="27"/>
      <c r="R46" s="27"/>
    </row>
    <row r="47" spans="1:18" x14ac:dyDescent="0.2">
      <c r="A47" s="27"/>
      <c r="B47" s="27"/>
      <c r="C47" s="27"/>
      <c r="O47" s="27"/>
      <c r="P47" s="27"/>
      <c r="Q47" s="27"/>
      <c r="R47" s="27"/>
    </row>
    <row r="48" spans="1:18" x14ac:dyDescent="0.2">
      <c r="A48" s="27"/>
      <c r="B48" s="27"/>
      <c r="C48" s="27"/>
      <c r="O48" s="27"/>
      <c r="P48" s="27"/>
      <c r="R48" s="27"/>
    </row>
    <row r="49" spans="1:18" x14ac:dyDescent="0.2">
      <c r="A49" s="27"/>
      <c r="B49" s="27"/>
      <c r="C49" s="27"/>
      <c r="O49" s="27"/>
      <c r="P49" s="27"/>
      <c r="Q49" s="27"/>
      <c r="R49" s="27"/>
    </row>
    <row r="50" spans="1:18" x14ac:dyDescent="0.2">
      <c r="A50" s="27"/>
      <c r="B50" s="27"/>
      <c r="C50" s="27"/>
      <c r="O50" s="27"/>
      <c r="P50" s="27"/>
      <c r="Q50" s="27"/>
      <c r="R50" s="27"/>
    </row>
    <row r="51" spans="1:18" x14ac:dyDescent="0.2">
      <c r="A51" s="27"/>
      <c r="B51" s="27"/>
      <c r="C51" s="27"/>
      <c r="O51" s="27"/>
      <c r="P51" s="27"/>
      <c r="Q51" s="27"/>
      <c r="R51" s="27"/>
    </row>
    <row r="52" spans="1:18" x14ac:dyDescent="0.2">
      <c r="A52" s="27"/>
      <c r="B52" s="27"/>
      <c r="C52" s="27"/>
      <c r="O52" s="27"/>
      <c r="P52" s="27"/>
      <c r="Q52" s="27"/>
      <c r="R52" s="27"/>
    </row>
    <row r="53" spans="1:18" x14ac:dyDescent="0.2">
      <c r="A53" s="27"/>
      <c r="B53" s="27"/>
      <c r="C53" s="27"/>
      <c r="O53" s="27"/>
      <c r="P53" s="27"/>
      <c r="Q53" s="27"/>
      <c r="R53" s="27"/>
    </row>
    <row r="54" spans="1:18" x14ac:dyDescent="0.2">
      <c r="A54" s="27"/>
      <c r="B54" s="27"/>
      <c r="C54" s="27"/>
      <c r="O54" s="27"/>
      <c r="P54" s="27"/>
      <c r="Q54" s="27"/>
      <c r="R54" s="27"/>
    </row>
    <row r="55" spans="1:18" x14ac:dyDescent="0.2">
      <c r="A55" s="27"/>
      <c r="B55" s="27"/>
      <c r="C55" s="27"/>
      <c r="O55" s="27"/>
      <c r="P55" s="27"/>
      <c r="Q55" s="27"/>
      <c r="R55" s="27"/>
    </row>
    <row r="56" spans="1:18" x14ac:dyDescent="0.2">
      <c r="A56" s="27"/>
      <c r="B56" s="27"/>
      <c r="C56" s="27"/>
      <c r="O56" s="27"/>
      <c r="P56" s="27"/>
      <c r="Q56" s="27"/>
      <c r="R56" s="27"/>
    </row>
    <row r="57" spans="1:18" x14ac:dyDescent="0.2">
      <c r="A57" s="27"/>
      <c r="B57" s="27"/>
      <c r="C57" s="27"/>
      <c r="O57" s="27"/>
      <c r="P57" s="27"/>
      <c r="Q57" s="27"/>
      <c r="R57" s="27"/>
    </row>
    <row r="58" spans="1:18" x14ac:dyDescent="0.2">
      <c r="A58" s="27"/>
      <c r="B58" s="27"/>
      <c r="C58" s="27"/>
      <c r="O58" s="27"/>
      <c r="P58" s="27"/>
      <c r="Q58" s="27"/>
      <c r="R58" s="27"/>
    </row>
    <row r="59" spans="1:18" x14ac:dyDescent="0.2">
      <c r="A59" s="27"/>
      <c r="B59" s="27"/>
      <c r="C59" s="27"/>
      <c r="O59" s="27"/>
      <c r="P59" s="27"/>
      <c r="Q59" s="27"/>
      <c r="R59" s="27"/>
    </row>
    <row r="60" spans="1:18" x14ac:dyDescent="0.2">
      <c r="A60" s="27"/>
      <c r="B60" s="27"/>
      <c r="C60" s="27"/>
      <c r="O60" s="27"/>
      <c r="P60" s="27"/>
      <c r="Q60" s="27"/>
      <c r="R60" s="27"/>
    </row>
    <row r="61" spans="1:18" x14ac:dyDescent="0.2">
      <c r="A61" s="27"/>
      <c r="B61" s="27"/>
      <c r="C61" s="27"/>
      <c r="O61" s="27"/>
      <c r="P61" s="27"/>
      <c r="Q61" s="27"/>
      <c r="R61" s="27"/>
    </row>
    <row r="62" spans="1:18" x14ac:dyDescent="0.2">
      <c r="A62" s="27"/>
      <c r="B62" s="27"/>
      <c r="C62" s="27"/>
      <c r="O62" s="27"/>
      <c r="P62" s="27"/>
      <c r="Q62" s="27"/>
      <c r="R62" s="27"/>
    </row>
    <row r="63" spans="1:18" x14ac:dyDescent="0.2">
      <c r="A63" s="27"/>
      <c r="B63" s="27"/>
      <c r="C63" s="27"/>
      <c r="O63" s="27"/>
      <c r="P63" s="27"/>
      <c r="Q63" s="27"/>
      <c r="R63" s="27"/>
    </row>
    <row r="64" spans="1:18" x14ac:dyDescent="0.2">
      <c r="A64" s="27"/>
      <c r="B64" s="27"/>
      <c r="C64" s="27"/>
      <c r="O64" s="27"/>
      <c r="P64" s="27"/>
      <c r="Q64" s="27"/>
      <c r="R64" s="27"/>
    </row>
    <row r="65" spans="1:18" x14ac:dyDescent="0.2">
      <c r="A65" s="27"/>
      <c r="B65" s="27"/>
      <c r="C65" s="27"/>
      <c r="O65" s="27"/>
      <c r="P65" s="27"/>
      <c r="Q65" s="27"/>
      <c r="R65" s="27"/>
    </row>
    <row r="66" spans="1:18" x14ac:dyDescent="0.2">
      <c r="A66" s="27"/>
      <c r="B66" s="27"/>
      <c r="C66" s="27"/>
      <c r="O66" s="27"/>
      <c r="P66" s="27"/>
      <c r="Q66" s="27"/>
      <c r="R66" s="27"/>
    </row>
    <row r="67" spans="1:18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1:18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1:18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1:18" x14ac:dyDescent="0.2">
      <c r="A70" s="27"/>
      <c r="B70" s="27"/>
      <c r="C70" s="27"/>
    </row>
  </sheetData>
  <mergeCells count="24">
    <mergeCell ref="P10:Q10"/>
    <mergeCell ref="T13:U13"/>
    <mergeCell ref="M2:O3"/>
    <mergeCell ref="P2:Q7"/>
    <mergeCell ref="K2:K4"/>
    <mergeCell ref="F6:J8"/>
    <mergeCell ref="K6:K8"/>
    <mergeCell ref="F2:J4"/>
    <mergeCell ref="A9:C9"/>
    <mergeCell ref="A17:C17"/>
    <mergeCell ref="A8:C8"/>
    <mergeCell ref="A1:D3"/>
    <mergeCell ref="A4:C4"/>
    <mergeCell ref="A5:C5"/>
    <mergeCell ref="A6:C6"/>
    <mergeCell ref="A7:C7"/>
    <mergeCell ref="A18:C18"/>
    <mergeCell ref="A19:C19"/>
    <mergeCell ref="A11:C11"/>
    <mergeCell ref="A12:C12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0"/>
  <sheetViews>
    <sheetView showGridLines="0" zoomScale="68" zoomScaleNormal="99" workbookViewId="0">
      <selection activeCell="Q46" sqref="Q46"/>
    </sheetView>
  </sheetViews>
  <sheetFormatPr baseColWidth="10" defaultColWidth="9.109375" defaultRowHeight="14.4" x14ac:dyDescent="0.3"/>
  <cols>
    <col min="3" max="3" width="24.5546875" customWidth="1"/>
    <col min="4" max="4" width="19.44140625" customWidth="1"/>
    <col min="5" max="5" width="8.44140625" customWidth="1"/>
    <col min="6" max="6" width="15.109375" customWidth="1"/>
    <col min="7" max="10" width="15" customWidth="1"/>
    <col min="11" max="11" width="18.109375" customWidth="1"/>
    <col min="12" max="13" width="15" customWidth="1"/>
    <col min="14" max="14" width="12.109375" customWidth="1"/>
    <col min="17" max="17" width="15.6640625" customWidth="1"/>
    <col min="18" max="18" width="18.44140625" customWidth="1"/>
    <col min="19" max="19" width="15.44140625" customWidth="1"/>
    <col min="20" max="20" width="11.44140625" customWidth="1"/>
  </cols>
  <sheetData>
    <row r="1" spans="1:21" x14ac:dyDescent="0.3">
      <c r="A1" s="360" t="s">
        <v>2</v>
      </c>
      <c r="B1" s="361"/>
      <c r="C1" s="361"/>
      <c r="D1" s="36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1" x14ac:dyDescent="0.3">
      <c r="A2" s="363"/>
      <c r="B2" s="364"/>
      <c r="C2" s="364"/>
      <c r="D2" s="365"/>
      <c r="E2" s="5"/>
      <c r="F2" s="369"/>
      <c r="G2" s="369"/>
      <c r="H2" s="369"/>
      <c r="I2" s="369"/>
      <c r="J2" s="369"/>
      <c r="K2" s="370">
        <f>ROUNDUP(D8/(D6-D7), 0)</f>
        <v>16</v>
      </c>
      <c r="L2" s="5"/>
      <c r="M2" s="357" t="s">
        <v>103</v>
      </c>
      <c r="N2" s="357"/>
      <c r="O2" s="357"/>
      <c r="P2" s="357"/>
      <c r="Q2" s="358">
        <f>K6/'Estructura de Costos'!E62</f>
        <v>0.8</v>
      </c>
      <c r="R2" s="358"/>
      <c r="S2" s="5"/>
    </row>
    <row r="3" spans="1:21" x14ac:dyDescent="0.3">
      <c r="A3" s="366"/>
      <c r="B3" s="367"/>
      <c r="C3" s="367"/>
      <c r="D3" s="368"/>
      <c r="E3" s="5"/>
      <c r="F3" s="369"/>
      <c r="G3" s="369"/>
      <c r="H3" s="369"/>
      <c r="I3" s="369"/>
      <c r="J3" s="369"/>
      <c r="K3" s="370"/>
      <c r="L3" s="5"/>
      <c r="M3" s="357"/>
      <c r="N3" s="357"/>
      <c r="O3" s="357"/>
      <c r="P3" s="357"/>
      <c r="Q3" s="358"/>
      <c r="R3" s="358"/>
      <c r="S3" s="5"/>
    </row>
    <row r="4" spans="1:21" ht="21" x14ac:dyDescent="0.4">
      <c r="A4" s="371" t="s">
        <v>0</v>
      </c>
      <c r="B4" s="371"/>
      <c r="C4" s="371"/>
      <c r="D4" s="154">
        <v>0</v>
      </c>
      <c r="E4" s="5"/>
      <c r="F4" s="369"/>
      <c r="G4" s="369"/>
      <c r="H4" s="369"/>
      <c r="I4" s="369"/>
      <c r="J4" s="369"/>
      <c r="K4" s="370"/>
      <c r="L4" s="5"/>
      <c r="M4" s="228"/>
      <c r="N4" s="229"/>
      <c r="O4" s="229"/>
      <c r="P4" s="230"/>
      <c r="Q4" s="359"/>
      <c r="R4" s="358"/>
      <c r="S4" s="5"/>
    </row>
    <row r="5" spans="1:21" ht="21" x14ac:dyDescent="0.4">
      <c r="A5" s="371" t="s">
        <v>1</v>
      </c>
      <c r="B5" s="371"/>
      <c r="C5" s="371"/>
      <c r="D5" s="154">
        <v>4</v>
      </c>
      <c r="E5" s="5"/>
      <c r="F5" s="5"/>
      <c r="G5" s="5"/>
      <c r="H5" s="5"/>
      <c r="I5" s="5"/>
      <c r="J5" s="5"/>
      <c r="K5" s="5"/>
      <c r="L5" s="5"/>
      <c r="M5" s="228"/>
      <c r="N5" s="229"/>
      <c r="O5" s="229"/>
      <c r="P5" s="230"/>
      <c r="Q5" s="359"/>
      <c r="R5" s="358"/>
      <c r="S5" s="5"/>
    </row>
    <row r="6" spans="1:21" ht="21" x14ac:dyDescent="0.4">
      <c r="A6" s="371" t="s">
        <v>55</v>
      </c>
      <c r="B6" s="371"/>
      <c r="C6" s="371"/>
      <c r="D6" s="2">
        <f>'Estructura de Costos'!E63</f>
        <v>160.15</v>
      </c>
      <c r="E6" s="5"/>
      <c r="F6" s="372"/>
      <c r="G6" s="372"/>
      <c r="H6" s="372"/>
      <c r="I6" s="372"/>
      <c r="J6" s="372"/>
      <c r="K6" s="373">
        <f>+K2*D6</f>
        <v>2562.4</v>
      </c>
      <c r="L6" s="5"/>
      <c r="M6" s="228"/>
      <c r="N6" s="229"/>
      <c r="O6" s="229"/>
      <c r="P6" s="230"/>
      <c r="Q6" s="359"/>
      <c r="R6" s="358"/>
    </row>
    <row r="7" spans="1:21" ht="25.8" x14ac:dyDescent="0.5">
      <c r="A7" s="371" t="s">
        <v>4</v>
      </c>
      <c r="B7" s="371"/>
      <c r="C7" s="371"/>
      <c r="D7" s="2">
        <f>'Estructura de Costos'!E56/'Estructura de Costos'!I16</f>
        <v>17.55</v>
      </c>
      <c r="E7" s="6"/>
      <c r="F7" s="372"/>
      <c r="G7" s="372"/>
      <c r="H7" s="372"/>
      <c r="I7" s="372"/>
      <c r="J7" s="372"/>
      <c r="K7" s="373"/>
      <c r="L7" s="141"/>
      <c r="M7" s="231"/>
      <c r="N7" s="232"/>
      <c r="O7" s="232"/>
      <c r="P7" s="233"/>
      <c r="Q7" s="359"/>
      <c r="R7" s="358"/>
    </row>
    <row r="8" spans="1:21" ht="21" x14ac:dyDescent="0.4">
      <c r="A8" s="371" t="s">
        <v>3</v>
      </c>
      <c r="B8" s="371"/>
      <c r="C8" s="371"/>
      <c r="D8" s="2">
        <f>'Estructura de Costos'!D56</f>
        <v>2222</v>
      </c>
      <c r="E8" s="5"/>
      <c r="F8" s="372"/>
      <c r="G8" s="372"/>
      <c r="H8" s="372"/>
      <c r="I8" s="372"/>
      <c r="J8" s="372"/>
      <c r="K8" s="373"/>
      <c r="L8" s="5"/>
      <c r="O8" s="5"/>
      <c r="P8" s="5"/>
      <c r="Q8" s="5"/>
      <c r="R8" s="5"/>
    </row>
    <row r="9" spans="1:21" ht="21" x14ac:dyDescent="0.4">
      <c r="A9" s="371" t="s">
        <v>9</v>
      </c>
      <c r="B9" s="371"/>
      <c r="C9" s="371"/>
      <c r="D9" s="3">
        <v>0.245</v>
      </c>
      <c r="E9" s="5"/>
      <c r="F9" s="7"/>
      <c r="G9" s="7"/>
      <c r="H9" s="7"/>
      <c r="I9" s="7"/>
      <c r="J9" s="7"/>
      <c r="K9" s="8"/>
      <c r="L9" s="5"/>
      <c r="M9" s="5"/>
      <c r="N9" s="5"/>
      <c r="O9" s="5"/>
      <c r="P9" s="5"/>
      <c r="Q9" s="5"/>
      <c r="R9" s="5"/>
    </row>
    <row r="10" spans="1:2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348" t="s">
        <v>191</v>
      </c>
      <c r="Q10" s="348"/>
      <c r="R10" s="27"/>
    </row>
    <row r="11" spans="1:21" ht="21" customHeight="1" x14ac:dyDescent="0.4">
      <c r="A11" s="355" t="s">
        <v>5</v>
      </c>
      <c r="B11" s="355"/>
      <c r="C11" s="355"/>
      <c r="D11" s="4">
        <f>+D4</f>
        <v>0</v>
      </c>
      <c r="E11" s="4">
        <f>D11+D5</f>
        <v>4</v>
      </c>
      <c r="F11" s="4">
        <f>+E11+$D$5</f>
        <v>8</v>
      </c>
      <c r="G11" s="45">
        <v>16</v>
      </c>
      <c r="H11" s="4">
        <f>+G11+$D$5</f>
        <v>20</v>
      </c>
      <c r="I11" s="4">
        <f t="shared" ref="I11:L11" si="0">+H11+$D$5</f>
        <v>24</v>
      </c>
      <c r="J11" s="4">
        <f t="shared" si="0"/>
        <v>28</v>
      </c>
      <c r="K11" s="4">
        <f t="shared" si="0"/>
        <v>32</v>
      </c>
      <c r="L11" s="4">
        <f t="shared" si="0"/>
        <v>36</v>
      </c>
      <c r="M11" s="4">
        <v>40</v>
      </c>
      <c r="N11" s="45">
        <v>80</v>
      </c>
      <c r="O11" s="5"/>
      <c r="P11" s="151" t="s">
        <v>192</v>
      </c>
      <c r="Q11" s="152">
        <v>4</v>
      </c>
      <c r="R11" s="145"/>
    </row>
    <row r="12" spans="1:21" ht="21" x14ac:dyDescent="0.4">
      <c r="A12" s="355" t="s">
        <v>30</v>
      </c>
      <c r="B12" s="355"/>
      <c r="C12" s="355"/>
      <c r="D12" s="4">
        <f t="shared" ref="D12:N12" si="1">+D11*$D$6</f>
        <v>0</v>
      </c>
      <c r="E12" s="4">
        <f t="shared" si="1"/>
        <v>640.6</v>
      </c>
      <c r="F12" s="4">
        <f t="shared" si="1"/>
        <v>1281.2</v>
      </c>
      <c r="G12" s="45">
        <f t="shared" si="1"/>
        <v>2562.4</v>
      </c>
      <c r="H12" s="4">
        <f t="shared" si="1"/>
        <v>3203</v>
      </c>
      <c r="I12" s="4">
        <f t="shared" si="1"/>
        <v>3843.6000000000004</v>
      </c>
      <c r="J12" s="4">
        <f t="shared" si="1"/>
        <v>4484.2</v>
      </c>
      <c r="K12" s="4">
        <f t="shared" si="1"/>
        <v>5124.8</v>
      </c>
      <c r="L12" s="4">
        <f t="shared" si="1"/>
        <v>5765.4000000000005</v>
      </c>
      <c r="M12" s="4">
        <f t="shared" si="1"/>
        <v>6406</v>
      </c>
      <c r="N12" s="45">
        <f t="shared" si="1"/>
        <v>12812</v>
      </c>
      <c r="O12" s="5"/>
      <c r="P12" s="151" t="s">
        <v>193</v>
      </c>
      <c r="Q12" s="153">
        <f>D6*Q11</f>
        <v>640.6</v>
      </c>
      <c r="R12" s="155" t="s">
        <v>203</v>
      </c>
      <c r="S12" s="156" t="s">
        <v>206</v>
      </c>
      <c r="T12" s="28"/>
      <c r="U12" s="28"/>
    </row>
    <row r="13" spans="1:21" ht="21" x14ac:dyDescent="0.4">
      <c r="A13" s="355" t="s">
        <v>20</v>
      </c>
      <c r="B13" s="355"/>
      <c r="C13" s="355"/>
      <c r="D13" s="4">
        <f t="shared" ref="D13:N13" si="2">+D11*$D$7</f>
        <v>0</v>
      </c>
      <c r="E13" s="4">
        <f t="shared" si="2"/>
        <v>70.2</v>
      </c>
      <c r="F13" s="4">
        <f t="shared" si="2"/>
        <v>140.4</v>
      </c>
      <c r="G13" s="45">
        <f t="shared" si="2"/>
        <v>280.8</v>
      </c>
      <c r="H13" s="4">
        <f t="shared" si="2"/>
        <v>351</v>
      </c>
      <c r="I13" s="4">
        <f t="shared" si="2"/>
        <v>421.20000000000005</v>
      </c>
      <c r="J13" s="4">
        <f t="shared" si="2"/>
        <v>491.40000000000003</v>
      </c>
      <c r="K13" s="4">
        <f t="shared" si="2"/>
        <v>561.6</v>
      </c>
      <c r="L13" s="4">
        <f t="shared" si="2"/>
        <v>631.80000000000007</v>
      </c>
      <c r="M13" s="4">
        <f t="shared" si="2"/>
        <v>702</v>
      </c>
      <c r="N13" s="45">
        <f t="shared" si="2"/>
        <v>1404</v>
      </c>
      <c r="O13" s="5"/>
      <c r="P13" s="151" t="s">
        <v>195</v>
      </c>
      <c r="Q13" s="153">
        <f>D7*Q11</f>
        <v>70.2</v>
      </c>
      <c r="R13" s="155" t="s">
        <v>204</v>
      </c>
      <c r="S13" s="156" t="s">
        <v>206</v>
      </c>
      <c r="T13" s="349" t="s">
        <v>208</v>
      </c>
      <c r="U13" s="349"/>
    </row>
    <row r="14" spans="1:21" ht="21" x14ac:dyDescent="0.4">
      <c r="A14" s="355" t="s">
        <v>7</v>
      </c>
      <c r="B14" s="355"/>
      <c r="C14" s="355"/>
      <c r="D14" s="4">
        <f t="shared" ref="D14:N14" si="3">+D12-D13</f>
        <v>0</v>
      </c>
      <c r="E14" s="4">
        <f t="shared" si="3"/>
        <v>570.4</v>
      </c>
      <c r="F14" s="4">
        <f t="shared" si="3"/>
        <v>1140.8</v>
      </c>
      <c r="G14" s="45">
        <f t="shared" si="3"/>
        <v>2281.6</v>
      </c>
      <c r="H14" s="4">
        <f t="shared" si="3"/>
        <v>2852</v>
      </c>
      <c r="I14" s="4">
        <f t="shared" si="3"/>
        <v>3422.4000000000005</v>
      </c>
      <c r="J14" s="4">
        <f t="shared" si="3"/>
        <v>3992.7999999999997</v>
      </c>
      <c r="K14" s="4">
        <f t="shared" si="3"/>
        <v>4563.2</v>
      </c>
      <c r="L14" s="4">
        <f t="shared" si="3"/>
        <v>5133.6000000000004</v>
      </c>
      <c r="M14" s="4">
        <f t="shared" si="3"/>
        <v>5704</v>
      </c>
      <c r="N14" s="45">
        <f t="shared" si="3"/>
        <v>11408</v>
      </c>
      <c r="O14" s="5"/>
      <c r="P14" s="151" t="s">
        <v>194</v>
      </c>
      <c r="Q14" s="153">
        <f>Q12-Q13</f>
        <v>570.4</v>
      </c>
      <c r="R14" s="155" t="s">
        <v>205</v>
      </c>
      <c r="S14" s="156" t="s">
        <v>207</v>
      </c>
      <c r="T14" s="28"/>
      <c r="U14" s="28"/>
    </row>
    <row r="15" spans="1:21" ht="21" x14ac:dyDescent="0.4">
      <c r="A15" s="355" t="s">
        <v>19</v>
      </c>
      <c r="B15" s="355"/>
      <c r="C15" s="355"/>
      <c r="D15" s="4">
        <f t="shared" ref="D15:N15" si="4">+$D$8</f>
        <v>2222</v>
      </c>
      <c r="E15" s="4">
        <f t="shared" si="4"/>
        <v>2222</v>
      </c>
      <c r="F15" s="4">
        <f t="shared" si="4"/>
        <v>2222</v>
      </c>
      <c r="G15" s="45">
        <f t="shared" si="4"/>
        <v>2222</v>
      </c>
      <c r="H15" s="4">
        <f t="shared" si="4"/>
        <v>2222</v>
      </c>
      <c r="I15" s="4">
        <f t="shared" si="4"/>
        <v>2222</v>
      </c>
      <c r="J15" s="4">
        <f t="shared" si="4"/>
        <v>2222</v>
      </c>
      <c r="K15" s="4">
        <f t="shared" si="4"/>
        <v>2222</v>
      </c>
      <c r="L15" s="4">
        <f t="shared" si="4"/>
        <v>2222</v>
      </c>
      <c r="M15" s="4">
        <f t="shared" si="4"/>
        <v>2222</v>
      </c>
      <c r="N15" s="45">
        <f t="shared" si="4"/>
        <v>2222</v>
      </c>
      <c r="O15" s="5"/>
    </row>
    <row r="16" spans="1:21" ht="21" x14ac:dyDescent="0.4">
      <c r="A16" s="355" t="s">
        <v>104</v>
      </c>
      <c r="B16" s="355"/>
      <c r="C16" s="355"/>
      <c r="D16" s="4">
        <f>+D15+D13</f>
        <v>2222</v>
      </c>
      <c r="E16" s="4">
        <f t="shared" ref="E16:L16" si="5">+E15+E13</f>
        <v>2292.1999999999998</v>
      </c>
      <c r="F16" s="4">
        <f t="shared" si="5"/>
        <v>2362.4</v>
      </c>
      <c r="G16" s="45">
        <f t="shared" si="5"/>
        <v>2502.8000000000002</v>
      </c>
      <c r="H16" s="4">
        <f t="shared" si="5"/>
        <v>2573</v>
      </c>
      <c r="I16" s="4">
        <f t="shared" si="5"/>
        <v>2643.2</v>
      </c>
      <c r="J16" s="4">
        <f t="shared" si="5"/>
        <v>2713.4</v>
      </c>
      <c r="K16" s="4">
        <f t="shared" si="5"/>
        <v>2783.6</v>
      </c>
      <c r="L16" s="4">
        <f t="shared" si="5"/>
        <v>2853.8</v>
      </c>
      <c r="M16" s="4">
        <f>+M15+M13</f>
        <v>2924</v>
      </c>
      <c r="N16" s="45">
        <f>+N15+N13</f>
        <v>3626</v>
      </c>
      <c r="O16" s="5"/>
      <c r="P16" s="5"/>
      <c r="Q16" s="5"/>
      <c r="R16" s="5"/>
      <c r="S16" s="5"/>
    </row>
    <row r="17" spans="1:19" ht="21" x14ac:dyDescent="0.4">
      <c r="A17" s="355" t="s">
        <v>8</v>
      </c>
      <c r="B17" s="355"/>
      <c r="C17" s="355"/>
      <c r="D17" s="45">
        <f t="shared" ref="D17:N17" si="6">+D14-D15</f>
        <v>-2222</v>
      </c>
      <c r="E17" s="45">
        <f t="shared" si="6"/>
        <v>-1651.6</v>
      </c>
      <c r="F17" s="45">
        <f t="shared" si="6"/>
        <v>-1081.2</v>
      </c>
      <c r="G17" s="45">
        <f t="shared" si="6"/>
        <v>59.599999999999909</v>
      </c>
      <c r="H17" s="45">
        <f t="shared" si="6"/>
        <v>630</v>
      </c>
      <c r="I17" s="45">
        <f t="shared" si="6"/>
        <v>1200.4000000000005</v>
      </c>
      <c r="J17" s="45">
        <f t="shared" si="6"/>
        <v>1770.7999999999997</v>
      </c>
      <c r="K17" s="45">
        <f t="shared" si="6"/>
        <v>2341.1999999999998</v>
      </c>
      <c r="L17" s="45">
        <f t="shared" si="6"/>
        <v>2911.6000000000004</v>
      </c>
      <c r="M17" s="45">
        <f t="shared" si="6"/>
        <v>3482</v>
      </c>
      <c r="N17" s="45">
        <f t="shared" si="6"/>
        <v>9186</v>
      </c>
      <c r="O17" s="5"/>
      <c r="P17" s="5"/>
      <c r="Q17" s="5"/>
      <c r="R17" s="5"/>
      <c r="S17" s="5"/>
    </row>
    <row r="18" spans="1:19" x14ac:dyDescent="0.3">
      <c r="A18" s="356"/>
      <c r="B18" s="356"/>
      <c r="C18" s="35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3">
      <c r="A19" s="356"/>
      <c r="B19" s="356"/>
      <c r="C19" s="35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</sheetData>
  <mergeCells count="24">
    <mergeCell ref="P10:Q10"/>
    <mergeCell ref="T13:U13"/>
    <mergeCell ref="M2:P3"/>
    <mergeCell ref="Q2:R7"/>
    <mergeCell ref="A15:C15"/>
    <mergeCell ref="A1:D3"/>
    <mergeCell ref="F2:J4"/>
    <mergeCell ref="K2:K4"/>
    <mergeCell ref="A4:C4"/>
    <mergeCell ref="A5:C5"/>
    <mergeCell ref="A6:C6"/>
    <mergeCell ref="F6:J8"/>
    <mergeCell ref="K6:K8"/>
    <mergeCell ref="A7:C7"/>
    <mergeCell ref="A8:C8"/>
    <mergeCell ref="A9:C9"/>
    <mergeCell ref="A11:C11"/>
    <mergeCell ref="A12:C12"/>
    <mergeCell ref="A18:C18"/>
    <mergeCell ref="A19:C19"/>
    <mergeCell ref="A13:C13"/>
    <mergeCell ref="A14:C14"/>
    <mergeCell ref="A16:C16"/>
    <mergeCell ref="A17:C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27"/>
  <sheetViews>
    <sheetView zoomScale="85" zoomScaleNormal="85" workbookViewId="0">
      <selection activeCell="P5" sqref="P5:S7"/>
    </sheetView>
  </sheetViews>
  <sheetFormatPr baseColWidth="10" defaultColWidth="9.109375" defaultRowHeight="14.4" x14ac:dyDescent="0.3"/>
  <cols>
    <col min="8" max="8" width="14" customWidth="1"/>
  </cols>
  <sheetData>
    <row r="2" spans="1:19" x14ac:dyDescent="0.3">
      <c r="A2" s="374" t="s">
        <v>49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</row>
    <row r="3" spans="1:19" x14ac:dyDescent="0.3">
      <c r="A3" s="374"/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</row>
    <row r="4" spans="1:19" x14ac:dyDescent="0.3">
      <c r="A4" s="374" t="s">
        <v>50</v>
      </c>
      <c r="B4" s="375"/>
      <c r="C4" s="375"/>
      <c r="D4" s="375"/>
      <c r="E4" s="375"/>
      <c r="F4" s="375"/>
      <c r="G4" s="375"/>
      <c r="H4" s="375"/>
      <c r="K4" s="374" t="s">
        <v>51</v>
      </c>
      <c r="L4" s="374"/>
      <c r="M4" s="374"/>
      <c r="N4" s="374"/>
      <c r="O4" s="374"/>
      <c r="P4" s="374"/>
      <c r="Q4" s="374"/>
      <c r="R4" s="374"/>
      <c r="S4" s="374"/>
    </row>
    <row r="5" spans="1:19" ht="14.4" customHeight="1" x14ac:dyDescent="0.3">
      <c r="F5" s="382">
        <f>ROUNDUP(J5, 0)</f>
        <v>65</v>
      </c>
      <c r="G5" s="382"/>
      <c r="H5" s="382"/>
      <c r="J5" s="1">
        <f>'Estructura de Costos'!B56/('Estructura de Costos'!C63- ('Estructura de Costos'!C56/'Estructura de Costos'!I12))</f>
        <v>64.574039481961321</v>
      </c>
      <c r="P5" s="381">
        <f>ROUNDUP('Estructura de Costos'!D56/('Estructura de Costos'!E63 -('Estructura de Costos'!E56/'Estructura de Costos'!I16)), 0)</f>
        <v>16</v>
      </c>
      <c r="Q5" s="381"/>
      <c r="R5" s="381"/>
      <c r="S5" s="381"/>
    </row>
    <row r="6" spans="1:19" ht="14.4" customHeight="1" x14ac:dyDescent="0.3">
      <c r="F6" s="382"/>
      <c r="G6" s="382"/>
      <c r="H6" s="382"/>
      <c r="P6" s="381"/>
      <c r="Q6" s="381"/>
      <c r="R6" s="381"/>
      <c r="S6" s="381"/>
    </row>
    <row r="7" spans="1:19" ht="14.4" customHeight="1" x14ac:dyDescent="0.3">
      <c r="F7" s="382"/>
      <c r="G7" s="382"/>
      <c r="H7" s="382"/>
      <c r="P7" s="381"/>
      <c r="Q7" s="381"/>
      <c r="R7" s="381"/>
      <c r="S7" s="381"/>
    </row>
    <row r="9" spans="1:19" x14ac:dyDescent="0.3">
      <c r="A9" s="374" t="s">
        <v>53</v>
      </c>
      <c r="B9" s="374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</row>
    <row r="10" spans="1:19" x14ac:dyDescent="0.3">
      <c r="A10" s="374"/>
      <c r="B10" s="374"/>
      <c r="C10" s="374"/>
      <c r="D10" s="374"/>
      <c r="E10" s="374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374"/>
      <c r="S10" s="374"/>
    </row>
    <row r="11" spans="1:19" x14ac:dyDescent="0.3">
      <c r="A11" s="374" t="s">
        <v>50</v>
      </c>
      <c r="B11" s="375"/>
      <c r="C11" s="375"/>
      <c r="D11" s="375"/>
      <c r="E11" s="375"/>
      <c r="F11" s="375"/>
      <c r="G11" s="375"/>
      <c r="H11" s="375"/>
      <c r="K11" s="376" t="s">
        <v>51</v>
      </c>
      <c r="L11" s="376"/>
      <c r="M11" s="376"/>
      <c r="N11" s="376"/>
      <c r="O11" s="376"/>
      <c r="P11" s="376"/>
      <c r="Q11" s="376"/>
      <c r="R11" s="376"/>
      <c r="S11" s="376"/>
    </row>
    <row r="12" spans="1:19" x14ac:dyDescent="0.3">
      <c r="G12" s="383">
        <f>F5*'Estructura de Costos'!C63</f>
        <v>33602.400000000001</v>
      </c>
      <c r="H12" s="383"/>
      <c r="Q12" s="380">
        <f>P5*'Estructura de Costos'!E63</f>
        <v>2562.4</v>
      </c>
      <c r="R12" s="380"/>
      <c r="S12" s="380"/>
    </row>
    <row r="13" spans="1:19" x14ac:dyDescent="0.3">
      <c r="G13" s="383"/>
      <c r="H13" s="383"/>
      <c r="Q13" s="380"/>
      <c r="R13" s="380"/>
      <c r="S13" s="380"/>
    </row>
    <row r="14" spans="1:19" x14ac:dyDescent="0.3">
      <c r="G14" s="383"/>
      <c r="H14" s="383"/>
      <c r="Q14" s="380"/>
      <c r="R14" s="380"/>
      <c r="S14" s="380"/>
    </row>
    <row r="16" spans="1:19" x14ac:dyDescent="0.3">
      <c r="A16" s="374" t="s">
        <v>52</v>
      </c>
      <c r="B16" s="375"/>
      <c r="C16" s="375"/>
      <c r="D16" s="375"/>
      <c r="E16" s="375"/>
      <c r="F16" s="375"/>
      <c r="G16" s="375"/>
      <c r="H16" s="375"/>
      <c r="I16" s="375"/>
      <c r="J16" s="375"/>
      <c r="K16" s="375"/>
      <c r="L16" s="375"/>
      <c r="M16" s="375"/>
      <c r="N16" s="375"/>
      <c r="O16" s="375"/>
      <c r="P16" s="375"/>
      <c r="Q16" s="375"/>
      <c r="R16" s="375"/>
      <c r="S16" s="375"/>
    </row>
    <row r="17" spans="1:19" x14ac:dyDescent="0.3">
      <c r="A17" s="375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</row>
    <row r="24" spans="1:19" x14ac:dyDescent="0.3">
      <c r="A24" s="376" t="s">
        <v>50</v>
      </c>
      <c r="B24" s="376"/>
      <c r="C24" s="376"/>
      <c r="D24" s="376"/>
      <c r="E24" s="376"/>
      <c r="F24" s="376"/>
      <c r="G24" s="376"/>
      <c r="H24" s="376"/>
      <c r="K24" s="374" t="s">
        <v>51</v>
      </c>
      <c r="L24" s="374"/>
      <c r="M24" s="374"/>
      <c r="N24" s="374"/>
      <c r="O24" s="374"/>
      <c r="P24" s="374"/>
      <c r="Q24" s="374"/>
      <c r="R24" s="374"/>
      <c r="S24" s="374"/>
    </row>
    <row r="26" spans="1:19" x14ac:dyDescent="0.3">
      <c r="A26" s="377" t="s">
        <v>54</v>
      </c>
      <c r="B26" s="377"/>
      <c r="C26" s="378">
        <f>(100*G12)/'Estructura de Costos'!C62</f>
        <v>72.222843141469284</v>
      </c>
      <c r="D26" s="378"/>
      <c r="E26" s="378"/>
      <c r="F26" s="378"/>
      <c r="G26" s="378"/>
      <c r="H26" s="378"/>
      <c r="K26" s="379" t="s">
        <v>54</v>
      </c>
      <c r="L26" s="379"/>
      <c r="M26" s="378">
        <f>(100*Q12)/'Estructura de Costos'!E62</f>
        <v>80</v>
      </c>
      <c r="N26" s="378"/>
      <c r="O26" s="378"/>
      <c r="P26" s="378"/>
      <c r="Q26" s="378"/>
      <c r="R26" s="378"/>
    </row>
    <row r="27" spans="1:19" x14ac:dyDescent="0.3">
      <c r="A27" s="377"/>
      <c r="B27" s="377"/>
      <c r="C27" s="378"/>
      <c r="D27" s="378"/>
      <c r="E27" s="378"/>
      <c r="F27" s="378"/>
      <c r="G27" s="378"/>
      <c r="H27" s="378"/>
      <c r="K27" s="379"/>
      <c r="L27" s="379"/>
      <c r="M27" s="378"/>
      <c r="N27" s="378"/>
      <c r="O27" s="378"/>
      <c r="P27" s="378"/>
      <c r="Q27" s="378"/>
      <c r="R27" s="378"/>
    </row>
  </sheetData>
  <mergeCells count="17">
    <mergeCell ref="A2:S3"/>
    <mergeCell ref="Q12:S14"/>
    <mergeCell ref="K11:S11"/>
    <mergeCell ref="A4:H4"/>
    <mergeCell ref="A9:S10"/>
    <mergeCell ref="P5:S7"/>
    <mergeCell ref="K4:S4"/>
    <mergeCell ref="F5:H7"/>
    <mergeCell ref="G12:H14"/>
    <mergeCell ref="A11:H11"/>
    <mergeCell ref="A16:S17"/>
    <mergeCell ref="A24:H24"/>
    <mergeCell ref="K24:S24"/>
    <mergeCell ref="A26:B27"/>
    <mergeCell ref="C26:H27"/>
    <mergeCell ref="K26:L27"/>
    <mergeCell ref="M26:R2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D2CD56E5CB7E4B8AB7FADA6BEBA640" ma:contentTypeVersion="6" ma:contentTypeDescription="Crear nuevo documento." ma:contentTypeScope="" ma:versionID="d856b1589f84a44e1bf624e61a353c94">
  <xsd:schema xmlns:xsd="http://www.w3.org/2001/XMLSchema" xmlns:xs="http://www.w3.org/2001/XMLSchema" xmlns:p="http://schemas.microsoft.com/office/2006/metadata/properties" xmlns:ns2="c1bf4bf3-d6fc-4575-bcce-c3d4e42895f6" targetNamespace="http://schemas.microsoft.com/office/2006/metadata/properties" ma:root="true" ma:fieldsID="d56000a8bdb93d8ff1ffb864cb59ef8e" ns2:_="">
    <xsd:import namespace="c1bf4bf3-d6fc-4575-bcce-c3d4e42895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bf4bf3-d6fc-4575-bcce-c3d4e4289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A1E77-8115-4A32-AE96-9E76D2FCB4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A46154-520F-4747-B7AD-7167577804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866F65-D4F8-42C2-AEDE-5E56750E3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bf4bf3-d6fc-4575-bcce-c3d4e42895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Detalle de Costos</vt:lpstr>
      <vt:lpstr>Estructura de Costos</vt:lpstr>
      <vt:lpstr>ESTADOS</vt:lpstr>
      <vt:lpstr>PE Carteras</vt:lpstr>
      <vt:lpstr>PE Correa</vt:lpstr>
      <vt:lpstr>Punto Equilibrio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Brian Altamirano Rea</dc:creator>
  <cp:lastModifiedBy>Usuario</cp:lastModifiedBy>
  <dcterms:created xsi:type="dcterms:W3CDTF">2018-10-12T00:54:06Z</dcterms:created>
  <dcterms:modified xsi:type="dcterms:W3CDTF">2023-01-31T00:37:47Z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0x010100FDD2CD56E5CB7E4B8AB7FADA6BEBA640</vt:lpwstr>
  </property>
</Properties>
</file>