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de San Martin de Porres\Documentos\"/>
    </mc:Choice>
  </mc:AlternateContent>
  <xr:revisionPtr revIDLastSave="0" documentId="13_ncr:1_{4B8A8C7E-E2F2-46F2-88CB-9780607F7965}" xr6:coauthVersionLast="47" xr6:coauthVersionMax="47" xr10:uidLastSave="{00000000-0000-0000-0000-000000000000}"/>
  <bookViews>
    <workbookView xWindow="600" yWindow="0" windowWidth="19824" windowHeight="12240" firstSheet="4" activeTab="5" xr2:uid="{98A618DC-9C2E-4B72-8421-90D834A24AAC}"/>
  </bookViews>
  <sheets>
    <sheet name="Datos" sheetId="4" r:id="rId1"/>
    <sheet name="Histó. Vtas" sheetId="2" r:id="rId2"/>
    <sheet name="Pronóstico" sheetId="3" r:id="rId3"/>
    <sheet name="Sit. SP" sheetId="6" r:id="rId4"/>
    <sheet name="Planes" sheetId="5" r:id="rId5"/>
    <sheet name="Flujos" sheetId="13" r:id="rId6"/>
    <sheet name="Sit. CP" sheetId="8" r:id="rId7"/>
    <sheet name="Inversiones" sheetId="9" r:id="rId8"/>
    <sheet name="G.N.D. y V.R." sheetId="10" r:id="rId9"/>
    <sheet name="Financiam." sheetId="11" r:id="rId10"/>
    <sheet name="TD" sheetId="12" r:id="rId11"/>
    <sheet name="Escenarios" sheetId="30" r:id="rId12"/>
    <sheet name="ER" sheetId="20" r:id="rId13"/>
    <sheet name="ESF" sheetId="18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3" i="4" l="1"/>
  <c r="F25" i="8"/>
  <c r="E25" i="8"/>
  <c r="F42" i="4" l="1"/>
  <c r="F52" i="8" l="1"/>
  <c r="D171" i="5" l="1"/>
  <c r="D134" i="5"/>
  <c r="D217" i="8"/>
  <c r="D219" i="8"/>
  <c r="D220" i="8"/>
  <c r="E22" i="8"/>
  <c r="F22" i="8"/>
  <c r="G22" i="8"/>
  <c r="D22" i="8"/>
  <c r="E22" i="6"/>
  <c r="F22" i="6"/>
  <c r="G22" i="6"/>
  <c r="D22" i="6"/>
  <c r="D5" i="20" l="1"/>
  <c r="F5" i="20"/>
  <c r="D6" i="20"/>
  <c r="F6" i="20"/>
  <c r="C7" i="20"/>
  <c r="D7" i="20" s="1"/>
  <c r="E7" i="20"/>
  <c r="E13" i="20" s="1"/>
  <c r="F7" i="20"/>
  <c r="D8" i="20"/>
  <c r="F8" i="20"/>
  <c r="D9" i="20"/>
  <c r="F9" i="20"/>
  <c r="D10" i="20"/>
  <c r="F10" i="20"/>
  <c r="D11" i="20"/>
  <c r="F11" i="20"/>
  <c r="D12" i="20"/>
  <c r="F12" i="20"/>
  <c r="C13" i="20"/>
  <c r="C17" i="20" s="1"/>
  <c r="D13" i="20"/>
  <c r="D14" i="20"/>
  <c r="F14" i="20"/>
  <c r="D15" i="20"/>
  <c r="F15" i="20"/>
  <c r="D16" i="20"/>
  <c r="F16" i="20"/>
  <c r="E17" i="20" l="1"/>
  <c r="F13" i="20"/>
  <c r="D17" i="20"/>
  <c r="C18" i="20"/>
  <c r="D18" i="20" s="1"/>
  <c r="C19" i="20" l="1"/>
  <c r="F17" i="20"/>
  <c r="E18" i="20"/>
  <c r="F18" i="20" s="1"/>
  <c r="C20" i="20"/>
  <c r="D20" i="20" s="1"/>
  <c r="D19" i="20"/>
  <c r="C7" i="18"/>
  <c r="E7" i="18"/>
  <c r="C37" i="18"/>
  <c r="E37" i="18"/>
  <c r="C40" i="18"/>
  <c r="C49" i="18" s="1"/>
  <c r="E40" i="18"/>
  <c r="E49" i="18"/>
  <c r="C53" i="18"/>
  <c r="E53" i="18"/>
  <c r="E63" i="18"/>
  <c r="C72" i="18"/>
  <c r="E72" i="18"/>
  <c r="E74" i="18" s="1"/>
  <c r="E17" i="18" l="1"/>
  <c r="E51" i="18"/>
  <c r="C17" i="18"/>
  <c r="C19" i="18" s="1"/>
  <c r="E19" i="20"/>
  <c r="C74" i="18"/>
  <c r="D12" i="12" s="1"/>
  <c r="C63" i="18"/>
  <c r="C51" i="18"/>
  <c r="E19" i="18" l="1"/>
  <c r="E64" i="18"/>
  <c r="C38" i="18"/>
  <c r="D19" i="18" s="1"/>
  <c r="F19" i="20"/>
  <c r="E20" i="20"/>
  <c r="F20" i="20" s="1"/>
  <c r="C64" i="18"/>
  <c r="D11" i="12" s="1"/>
  <c r="K59" i="13"/>
  <c r="K58" i="13"/>
  <c r="M62" i="13"/>
  <c r="N62" i="13" s="1"/>
  <c r="O62" i="13" s="1"/>
  <c r="P62" i="13" s="1"/>
  <c r="Q62" i="13" s="1"/>
  <c r="R62" i="13" s="1"/>
  <c r="S62" i="13" s="1"/>
  <c r="K63" i="13"/>
  <c r="K43" i="13"/>
  <c r="K50" i="13"/>
  <c r="K51" i="13" s="1"/>
  <c r="K52" i="13" s="1"/>
  <c r="K53" i="13" s="1"/>
  <c r="K68" i="13" s="1"/>
  <c r="D116" i="5"/>
  <c r="D25" i="5"/>
  <c r="D9" i="5"/>
  <c r="D81" i="5"/>
  <c r="D79" i="5"/>
  <c r="D77" i="5"/>
  <c r="D76" i="5"/>
  <c r="D7" i="18" l="1"/>
  <c r="D12" i="18"/>
  <c r="D22" i="18"/>
  <c r="D30" i="18"/>
  <c r="D37" i="18"/>
  <c r="D13" i="18"/>
  <c r="D23" i="18"/>
  <c r="D31" i="18"/>
  <c r="D38" i="18"/>
  <c r="D5" i="18"/>
  <c r="D14" i="18"/>
  <c r="D24" i="18"/>
  <c r="D32" i="18"/>
  <c r="D6" i="18"/>
  <c r="D15" i="18"/>
  <c r="D25" i="18"/>
  <c r="D33" i="18"/>
  <c r="D8" i="18"/>
  <c r="D16" i="18"/>
  <c r="D26" i="18"/>
  <c r="D34" i="18"/>
  <c r="D9" i="18"/>
  <c r="D18" i="18"/>
  <c r="D27" i="18"/>
  <c r="D35" i="18"/>
  <c r="D10" i="18"/>
  <c r="D20" i="18"/>
  <c r="D28" i="18"/>
  <c r="D36" i="18"/>
  <c r="D11" i="18"/>
  <c r="D21" i="18"/>
  <c r="D29" i="18"/>
  <c r="D17" i="18"/>
  <c r="E38" i="18"/>
  <c r="E75" i="18"/>
  <c r="F64" i="18" s="1"/>
  <c r="C75" i="18"/>
  <c r="D64" i="18" s="1"/>
  <c r="K64" i="13"/>
  <c r="K67" i="13"/>
  <c r="K66" i="13"/>
  <c r="K65" i="13"/>
  <c r="M10" i="13"/>
  <c r="N10" i="13"/>
  <c r="O10" i="13"/>
  <c r="L10" i="13"/>
  <c r="E11" i="13"/>
  <c r="F11" i="13"/>
  <c r="G11" i="13"/>
  <c r="D11" i="13"/>
  <c r="E10" i="13"/>
  <c r="F10" i="13"/>
  <c r="G10" i="13"/>
  <c r="D10" i="13"/>
  <c r="F5" i="18" l="1"/>
  <c r="F15" i="18"/>
  <c r="F23" i="18"/>
  <c r="F31" i="18"/>
  <c r="F18" i="18"/>
  <c r="F29" i="18"/>
  <c r="F6" i="18"/>
  <c r="F9" i="18"/>
  <c r="F25" i="18"/>
  <c r="F33" i="18"/>
  <c r="F11" i="18"/>
  <c r="F27" i="18"/>
  <c r="F35" i="18"/>
  <c r="F13" i="18"/>
  <c r="F21" i="18"/>
  <c r="F34" i="18"/>
  <c r="F26" i="18"/>
  <c r="F16" i="18"/>
  <c r="F8" i="18"/>
  <c r="F24" i="18"/>
  <c r="F28" i="18"/>
  <c r="F32" i="18"/>
  <c r="F14" i="18"/>
  <c r="F36" i="18"/>
  <c r="F7" i="18"/>
  <c r="F38" i="18"/>
  <c r="F30" i="18"/>
  <c r="F22" i="18"/>
  <c r="F12" i="18"/>
  <c r="F10" i="18"/>
  <c r="F37" i="18"/>
  <c r="F20" i="18"/>
  <c r="F17" i="18"/>
  <c r="F19" i="18"/>
  <c r="F41" i="18"/>
  <c r="F46" i="18"/>
  <c r="F59" i="18"/>
  <c r="F65" i="18"/>
  <c r="F69" i="18"/>
  <c r="F72" i="18"/>
  <c r="F44" i="18"/>
  <c r="F48" i="18"/>
  <c r="F61" i="18"/>
  <c r="F67" i="18"/>
  <c r="F39" i="18"/>
  <c r="F42" i="18"/>
  <c r="F52" i="18"/>
  <c r="F55" i="18"/>
  <c r="F57" i="18"/>
  <c r="F71" i="18"/>
  <c r="F49" i="18"/>
  <c r="F74" i="18"/>
  <c r="F75" i="18"/>
  <c r="F66" i="18"/>
  <c r="F56" i="18"/>
  <c r="F45" i="18"/>
  <c r="F73" i="18"/>
  <c r="F54" i="18"/>
  <c r="F43" i="18"/>
  <c r="F68" i="18"/>
  <c r="F40" i="18"/>
  <c r="F62" i="18"/>
  <c r="F63" i="18"/>
  <c r="F70" i="18"/>
  <c r="F60" i="18"/>
  <c r="F50" i="18"/>
  <c r="F47" i="18"/>
  <c r="F53" i="18"/>
  <c r="F58" i="18"/>
  <c r="F51" i="18"/>
  <c r="D41" i="18"/>
  <c r="D43" i="18"/>
  <c r="D45" i="18"/>
  <c r="D47" i="18"/>
  <c r="D50" i="18"/>
  <c r="D54" i="18"/>
  <c r="D56" i="18"/>
  <c r="D58" i="18"/>
  <c r="D60" i="18"/>
  <c r="D62" i="18"/>
  <c r="D66" i="18"/>
  <c r="D68" i="18"/>
  <c r="D70" i="18"/>
  <c r="D73" i="18"/>
  <c r="D75" i="18"/>
  <c r="D39" i="18"/>
  <c r="D42" i="18"/>
  <c r="D46" i="18"/>
  <c r="D48" i="18"/>
  <c r="D52" i="18"/>
  <c r="D65" i="18"/>
  <c r="D67" i="18"/>
  <c r="D69" i="18"/>
  <c r="D71" i="18"/>
  <c r="D44" i="18"/>
  <c r="D55" i="18"/>
  <c r="D57" i="18"/>
  <c r="D59" i="18"/>
  <c r="D61" i="18"/>
  <c r="D53" i="18"/>
  <c r="D40" i="18"/>
  <c r="D72" i="18"/>
  <c r="D49" i="18"/>
  <c r="D51" i="18"/>
  <c r="D63" i="18"/>
  <c r="D74" i="18"/>
  <c r="D10" i="12"/>
  <c r="G16" i="13"/>
  <c r="F16" i="13"/>
  <c r="O15" i="13"/>
  <c r="L15" i="13"/>
  <c r="E15" i="13"/>
  <c r="D15" i="13"/>
  <c r="E16" i="13"/>
  <c r="D16" i="13"/>
  <c r="N15" i="13"/>
  <c r="M15" i="13"/>
  <c r="G15" i="13"/>
  <c r="F15" i="13"/>
  <c r="C48" i="4" l="1"/>
  <c r="H19" i="10" l="1"/>
  <c r="D13" i="12" l="1"/>
  <c r="D7" i="12" s="1"/>
  <c r="D6" i="12" s="1"/>
  <c r="F52" i="9"/>
  <c r="G52" i="9" s="1"/>
  <c r="F51" i="9"/>
  <c r="G51" i="9" s="1"/>
  <c r="F48" i="9"/>
  <c r="G48" i="9" s="1"/>
  <c r="F47" i="9"/>
  <c r="G47" i="9" s="1"/>
  <c r="F44" i="9"/>
  <c r="G44" i="9" s="1"/>
  <c r="F43" i="9"/>
  <c r="G43" i="9" s="1"/>
  <c r="F40" i="9"/>
  <c r="G40" i="9" s="1"/>
  <c r="F39" i="9"/>
  <c r="G39" i="9" s="1"/>
  <c r="F38" i="9"/>
  <c r="G38" i="9" s="1"/>
  <c r="F35" i="9"/>
  <c r="G35" i="9" s="1"/>
  <c r="F34" i="9"/>
  <c r="G34" i="9" s="1"/>
  <c r="F33" i="9"/>
  <c r="G33" i="9" s="1"/>
  <c r="F30" i="9"/>
  <c r="G30" i="9" s="1"/>
  <c r="F29" i="9"/>
  <c r="G29" i="9" s="1"/>
  <c r="F28" i="9"/>
  <c r="G28" i="9" s="1"/>
  <c r="F25" i="9"/>
  <c r="G25" i="9" s="1"/>
  <c r="F24" i="9"/>
  <c r="G24" i="9" s="1"/>
  <c r="F23" i="9"/>
  <c r="G23" i="9" s="1"/>
  <c r="F18" i="9"/>
  <c r="G18" i="9" s="1"/>
  <c r="F17" i="9"/>
  <c r="G17" i="9" s="1"/>
  <c r="F16" i="9"/>
  <c r="G16" i="9" s="1"/>
  <c r="F13" i="9"/>
  <c r="G13" i="9" s="1"/>
  <c r="F12" i="9"/>
  <c r="G12" i="9" s="1"/>
  <c r="F9" i="9"/>
  <c r="G9" i="9" s="1"/>
  <c r="E205" i="8"/>
  <c r="F205" i="8"/>
  <c r="G205" i="8"/>
  <c r="D205" i="8"/>
  <c r="E204" i="8"/>
  <c r="E203" i="8" s="1"/>
  <c r="F204" i="8"/>
  <c r="F203" i="8" s="1"/>
  <c r="G204" i="8"/>
  <c r="G203" i="8" s="1"/>
  <c r="D204" i="8"/>
  <c r="D203" i="8" s="1"/>
  <c r="E205" i="6"/>
  <c r="F205" i="6"/>
  <c r="G205" i="6"/>
  <c r="D205" i="6"/>
  <c r="E204" i="6"/>
  <c r="E203" i="6" s="1"/>
  <c r="F204" i="6"/>
  <c r="F203" i="6" s="1"/>
  <c r="G204" i="6"/>
  <c r="G203" i="6" s="1"/>
  <c r="D204" i="6"/>
  <c r="G12" i="10"/>
  <c r="F12" i="10"/>
  <c r="E12" i="10"/>
  <c r="D12" i="10"/>
  <c r="C12" i="10"/>
  <c r="E219" i="8"/>
  <c r="F219" i="8"/>
  <c r="G219" i="8"/>
  <c r="E211" i="8"/>
  <c r="F211" i="8"/>
  <c r="G211" i="8"/>
  <c r="D211" i="8"/>
  <c r="E217" i="8"/>
  <c r="F217" i="8"/>
  <c r="G217" i="8"/>
  <c r="D203" i="6" l="1"/>
  <c r="H7" i="10" l="1"/>
  <c r="G202" i="8" l="1"/>
  <c r="F202" i="8"/>
  <c r="E202" i="8"/>
  <c r="D202" i="8"/>
  <c r="G198" i="8"/>
  <c r="F198" i="8"/>
  <c r="E198" i="8"/>
  <c r="D198" i="8"/>
  <c r="D189" i="8"/>
  <c r="D186" i="8" s="1"/>
  <c r="E188" i="8"/>
  <c r="F188" i="8" s="1"/>
  <c r="G188" i="8" s="1"/>
  <c r="E187" i="8"/>
  <c r="E189" i="8" s="1"/>
  <c r="E186" i="8" s="1"/>
  <c r="G185" i="8"/>
  <c r="G182" i="8" s="1"/>
  <c r="F185" i="8"/>
  <c r="F182" i="8" s="1"/>
  <c r="E185" i="8"/>
  <c r="E182" i="8" s="1"/>
  <c r="D185" i="8"/>
  <c r="D182" i="8" s="1"/>
  <c r="G181" i="8"/>
  <c r="F181" i="8"/>
  <c r="E181" i="8"/>
  <c r="D181" i="8"/>
  <c r="D178" i="8" s="1"/>
  <c r="E180" i="8"/>
  <c r="F180" i="8" s="1"/>
  <c r="G180" i="8" s="1"/>
  <c r="G178" i="8" s="1"/>
  <c r="E176" i="8"/>
  <c r="F176" i="8" s="1"/>
  <c r="G176" i="8" s="1"/>
  <c r="G175" i="8"/>
  <c r="G177" i="8" s="1"/>
  <c r="F175" i="8"/>
  <c r="F177" i="8" s="1"/>
  <c r="E175" i="8"/>
  <c r="E177" i="8" s="1"/>
  <c r="D175" i="8"/>
  <c r="D177" i="8" s="1"/>
  <c r="D174" i="8" s="1"/>
  <c r="G159" i="8"/>
  <c r="F159" i="8"/>
  <c r="E159" i="8"/>
  <c r="D159" i="8"/>
  <c r="G158" i="8"/>
  <c r="F158" i="8"/>
  <c r="F157" i="8" s="1"/>
  <c r="E158" i="8"/>
  <c r="E157" i="8" s="1"/>
  <c r="D158" i="8"/>
  <c r="D157" i="8" s="1"/>
  <c r="G156" i="8"/>
  <c r="F156" i="8"/>
  <c r="E156" i="8"/>
  <c r="D156" i="8"/>
  <c r="G155" i="8"/>
  <c r="G154" i="8" s="1"/>
  <c r="F155" i="8"/>
  <c r="F154" i="8" s="1"/>
  <c r="E155" i="8"/>
  <c r="E154" i="8" s="1"/>
  <c r="D155" i="8"/>
  <c r="D154" i="8" s="1"/>
  <c r="G153" i="8"/>
  <c r="F153" i="8"/>
  <c r="E153" i="8"/>
  <c r="D153" i="8"/>
  <c r="G152" i="8"/>
  <c r="F152" i="8"/>
  <c r="E152" i="8"/>
  <c r="E151" i="8" s="1"/>
  <c r="D152" i="8"/>
  <c r="G151" i="8"/>
  <c r="G150" i="8"/>
  <c r="F150" i="8"/>
  <c r="E150" i="8"/>
  <c r="D150" i="8"/>
  <c r="G149" i="8"/>
  <c r="G148" i="8" s="1"/>
  <c r="F149" i="8"/>
  <c r="F148" i="8" s="1"/>
  <c r="E149" i="8"/>
  <c r="D149" i="8"/>
  <c r="D148" i="8" s="1"/>
  <c r="G147" i="8"/>
  <c r="F147" i="8"/>
  <c r="E147" i="8"/>
  <c r="D147" i="8"/>
  <c r="G146" i="8"/>
  <c r="F146" i="8"/>
  <c r="F145" i="8" s="1"/>
  <c r="E146" i="8"/>
  <c r="E145" i="8" s="1"/>
  <c r="D146" i="8"/>
  <c r="D145" i="8" s="1"/>
  <c r="G145" i="8"/>
  <c r="G144" i="8"/>
  <c r="F144" i="8"/>
  <c r="E144" i="8"/>
  <c r="D144" i="8"/>
  <c r="G143" i="8"/>
  <c r="G142" i="8" s="1"/>
  <c r="F143" i="8"/>
  <c r="F142" i="8" s="1"/>
  <c r="E143" i="8"/>
  <c r="E142" i="8" s="1"/>
  <c r="D143" i="8"/>
  <c r="D142" i="8" s="1"/>
  <c r="G141" i="8"/>
  <c r="F141" i="8"/>
  <c r="E141" i="8"/>
  <c r="D141" i="8"/>
  <c r="G140" i="8"/>
  <c r="F140" i="8"/>
  <c r="E140" i="8"/>
  <c r="E139" i="8" s="1"/>
  <c r="D140" i="8"/>
  <c r="D139" i="8" s="1"/>
  <c r="G139" i="8"/>
  <c r="F139" i="8"/>
  <c r="G138" i="8"/>
  <c r="F138" i="8"/>
  <c r="E138" i="8"/>
  <c r="D138" i="8"/>
  <c r="G137" i="8"/>
  <c r="F137" i="8"/>
  <c r="F136" i="8" s="1"/>
  <c r="E137" i="8"/>
  <c r="E136" i="8" s="1"/>
  <c r="D137" i="8"/>
  <c r="D136" i="8" s="1"/>
  <c r="G136" i="8"/>
  <c r="G135" i="8"/>
  <c r="F135" i="8"/>
  <c r="E135" i="8"/>
  <c r="D135" i="8"/>
  <c r="G134" i="8"/>
  <c r="G133" i="8" s="1"/>
  <c r="F134" i="8"/>
  <c r="F133" i="8" s="1"/>
  <c r="E134" i="8"/>
  <c r="E133" i="8" s="1"/>
  <c r="D134" i="8"/>
  <c r="D133" i="8" s="1"/>
  <c r="G132" i="8"/>
  <c r="F132" i="8"/>
  <c r="E132" i="8"/>
  <c r="D132" i="8"/>
  <c r="G131" i="8"/>
  <c r="G130" i="8" s="1"/>
  <c r="F131" i="8"/>
  <c r="F130" i="8" s="1"/>
  <c r="E131" i="8"/>
  <c r="E130" i="8" s="1"/>
  <c r="D131" i="8"/>
  <c r="D130" i="8" s="1"/>
  <c r="E115" i="8"/>
  <c r="G114" i="8"/>
  <c r="F114" i="8"/>
  <c r="E114" i="8"/>
  <c r="D114" i="8"/>
  <c r="C109" i="8"/>
  <c r="C110" i="8" s="1"/>
  <c r="E101" i="8"/>
  <c r="G100" i="8"/>
  <c r="F100" i="8"/>
  <c r="E100" i="8"/>
  <c r="D100" i="8"/>
  <c r="C95" i="8"/>
  <c r="C96" i="8" s="1"/>
  <c r="E87" i="8"/>
  <c r="G86" i="8"/>
  <c r="F86" i="8"/>
  <c r="E86" i="8"/>
  <c r="D86" i="8"/>
  <c r="C81" i="8"/>
  <c r="C82" i="8" s="1"/>
  <c r="G67" i="8"/>
  <c r="F67" i="8"/>
  <c r="E67" i="8"/>
  <c r="D67" i="8"/>
  <c r="G64" i="8"/>
  <c r="F64" i="8"/>
  <c r="E64" i="8"/>
  <c r="D64" i="8"/>
  <c r="G61" i="8"/>
  <c r="F61" i="8"/>
  <c r="E61" i="8"/>
  <c r="D61" i="8"/>
  <c r="G45" i="8"/>
  <c r="F45" i="8"/>
  <c r="E45" i="8"/>
  <c r="D45" i="8"/>
  <c r="E211" i="6"/>
  <c r="F211" i="6"/>
  <c r="G211" i="6"/>
  <c r="D211" i="6"/>
  <c r="E217" i="6"/>
  <c r="F217" i="6"/>
  <c r="G217" i="6"/>
  <c r="D217" i="6"/>
  <c r="D219" i="6"/>
  <c r="E219" i="6"/>
  <c r="F219" i="6"/>
  <c r="G219" i="6"/>
  <c r="E178" i="8" l="1"/>
  <c r="F151" i="8"/>
  <c r="F160" i="8" s="1"/>
  <c r="G157" i="8"/>
  <c r="G160" i="8" s="1"/>
  <c r="E148" i="8"/>
  <c r="E160" i="8" s="1"/>
  <c r="D151" i="8"/>
  <c r="D160" i="8" s="1"/>
  <c r="F115" i="8"/>
  <c r="G115" i="8" s="1"/>
  <c r="F101" i="8"/>
  <c r="D103" i="8"/>
  <c r="E103" i="8"/>
  <c r="E89" i="8"/>
  <c r="F89" i="8"/>
  <c r="D190" i="8"/>
  <c r="F178" i="8"/>
  <c r="F87" i="8"/>
  <c r="F187" i="8"/>
  <c r="E174" i="8"/>
  <c r="E190" i="8" s="1"/>
  <c r="F174" i="8"/>
  <c r="G117" i="8"/>
  <c r="F117" i="8"/>
  <c r="E117" i="8"/>
  <c r="D117" i="8"/>
  <c r="G174" i="8"/>
  <c r="G89" i="8"/>
  <c r="F103" i="8"/>
  <c r="D89" i="8"/>
  <c r="G103" i="8"/>
  <c r="G101" i="8" l="1"/>
  <c r="F189" i="8"/>
  <c r="F186" i="8" s="1"/>
  <c r="F190" i="8" s="1"/>
  <c r="G187" i="8"/>
  <c r="G189" i="8" s="1"/>
  <c r="G186" i="8" s="1"/>
  <c r="G190" i="8" s="1"/>
  <c r="G87" i="8"/>
  <c r="D194" i="5" l="1"/>
  <c r="D140" i="5"/>
  <c r="D102" i="5"/>
  <c r="D45" i="5"/>
  <c r="D83" i="5"/>
  <c r="D11" i="5"/>
  <c r="E67" i="6"/>
  <c r="F67" i="6"/>
  <c r="G67" i="6"/>
  <c r="D67" i="6"/>
  <c r="E64" i="6"/>
  <c r="F64" i="6"/>
  <c r="G64" i="6"/>
  <c r="D64" i="6"/>
  <c r="E61" i="6"/>
  <c r="F61" i="6"/>
  <c r="G61" i="6"/>
  <c r="D61" i="6"/>
  <c r="E202" i="6"/>
  <c r="F202" i="6"/>
  <c r="G202" i="6"/>
  <c r="D202" i="6"/>
  <c r="E198" i="6"/>
  <c r="F198" i="6"/>
  <c r="G198" i="6"/>
  <c r="D198" i="6"/>
  <c r="E159" i="6"/>
  <c r="F159" i="6"/>
  <c r="G159" i="6"/>
  <c r="D159" i="6"/>
  <c r="E156" i="6"/>
  <c r="F156" i="6"/>
  <c r="G156" i="6"/>
  <c r="D156" i="6"/>
  <c r="E153" i="6"/>
  <c r="F153" i="6"/>
  <c r="G153" i="6"/>
  <c r="D153" i="6"/>
  <c r="E150" i="6"/>
  <c r="F150" i="6"/>
  <c r="G150" i="6"/>
  <c r="D150" i="6"/>
  <c r="E147" i="6"/>
  <c r="F147" i="6"/>
  <c r="G147" i="6"/>
  <c r="D147" i="6"/>
  <c r="E144" i="6"/>
  <c r="F144" i="6"/>
  <c r="G144" i="6"/>
  <c r="D144" i="6"/>
  <c r="E141" i="6"/>
  <c r="F141" i="6"/>
  <c r="G141" i="6"/>
  <c r="D141" i="6"/>
  <c r="E138" i="6"/>
  <c r="F138" i="6"/>
  <c r="G138" i="6"/>
  <c r="D138" i="6"/>
  <c r="E135" i="6"/>
  <c r="F135" i="6"/>
  <c r="G135" i="6"/>
  <c r="D135" i="6"/>
  <c r="E132" i="6"/>
  <c r="F132" i="6"/>
  <c r="G132" i="6"/>
  <c r="D132" i="6"/>
  <c r="E45" i="6"/>
  <c r="F45" i="6"/>
  <c r="G45" i="6"/>
  <c r="D45" i="6"/>
  <c r="D87" i="5" l="1"/>
  <c r="F22" i="9"/>
  <c r="G22" i="9" s="1"/>
  <c r="H21" i="9" s="1"/>
  <c r="D198" i="5"/>
  <c r="F50" i="9"/>
  <c r="G50" i="9" s="1"/>
  <c r="H49" i="9" s="1"/>
  <c r="D49" i="5"/>
  <c r="F15" i="9"/>
  <c r="G15" i="9" s="1"/>
  <c r="H14" i="9" s="1"/>
  <c r="D106" i="5"/>
  <c r="F27" i="9"/>
  <c r="G27" i="9" s="1"/>
  <c r="H26" i="9" s="1"/>
  <c r="D15" i="5"/>
  <c r="F8" i="9"/>
  <c r="G8" i="9" s="1"/>
  <c r="H7" i="9" s="1"/>
  <c r="D144" i="5"/>
  <c r="F37" i="9"/>
  <c r="G37" i="9" s="1"/>
  <c r="H36" i="9" s="1"/>
  <c r="C81" i="6"/>
  <c r="C82" i="6" s="1"/>
  <c r="D86" i="6"/>
  <c r="E86" i="6"/>
  <c r="F86" i="6"/>
  <c r="G86" i="6"/>
  <c r="E87" i="6"/>
  <c r="C95" i="6"/>
  <c r="C96" i="6" s="1"/>
  <c r="D100" i="6"/>
  <c r="E100" i="6"/>
  <c r="F100" i="6"/>
  <c r="G100" i="6"/>
  <c r="E101" i="6"/>
  <c r="C109" i="6"/>
  <c r="C110" i="6" s="1"/>
  <c r="E117" i="6" s="1"/>
  <c r="D114" i="6"/>
  <c r="E114" i="6"/>
  <c r="F114" i="6"/>
  <c r="G114" i="6"/>
  <c r="E115" i="6"/>
  <c r="D131" i="6"/>
  <c r="E131" i="6"/>
  <c r="F131" i="6"/>
  <c r="G131" i="6"/>
  <c r="D134" i="6"/>
  <c r="E134" i="6"/>
  <c r="F134" i="6"/>
  <c r="G134" i="6"/>
  <c r="D137" i="6"/>
  <c r="E137" i="6"/>
  <c r="F137" i="6"/>
  <c r="G137" i="6"/>
  <c r="D140" i="6"/>
  <c r="E140" i="6"/>
  <c r="F140" i="6"/>
  <c r="G140" i="6"/>
  <c r="D143" i="6"/>
  <c r="E143" i="6"/>
  <c r="F143" i="6"/>
  <c r="G143" i="6"/>
  <c r="D146" i="6"/>
  <c r="E146" i="6"/>
  <c r="F146" i="6"/>
  <c r="G146" i="6"/>
  <c r="D149" i="6"/>
  <c r="E149" i="6"/>
  <c r="F149" i="6"/>
  <c r="G149" i="6"/>
  <c r="D152" i="6"/>
  <c r="E152" i="6"/>
  <c r="F152" i="6"/>
  <c r="G152" i="6"/>
  <c r="D155" i="6"/>
  <c r="E155" i="6"/>
  <c r="F155" i="6"/>
  <c r="G155" i="6"/>
  <c r="D158" i="6"/>
  <c r="E158" i="6"/>
  <c r="F158" i="6"/>
  <c r="G158" i="6"/>
  <c r="D175" i="6"/>
  <c r="D177" i="6" s="1"/>
  <c r="D174" i="6" s="1"/>
  <c r="E175" i="6"/>
  <c r="E177" i="6" s="1"/>
  <c r="F175" i="6"/>
  <c r="F177" i="6" s="1"/>
  <c r="G175" i="6"/>
  <c r="G177" i="6" s="1"/>
  <c r="E176" i="6"/>
  <c r="F176" i="6" s="1"/>
  <c r="E180" i="6"/>
  <c r="D181" i="6"/>
  <c r="D178" i="6" s="1"/>
  <c r="E181" i="6"/>
  <c r="F181" i="6"/>
  <c r="G181" i="6"/>
  <c r="D185" i="6"/>
  <c r="D182" i="6" s="1"/>
  <c r="E185" i="6"/>
  <c r="E182" i="6" s="1"/>
  <c r="F185" i="6"/>
  <c r="F182" i="6" s="1"/>
  <c r="G185" i="6"/>
  <c r="G182" i="6" s="1"/>
  <c r="E187" i="6"/>
  <c r="F187" i="6" s="1"/>
  <c r="E188" i="6"/>
  <c r="F188" i="6" s="1"/>
  <c r="G188" i="6" s="1"/>
  <c r="D189" i="6"/>
  <c r="D186" i="6" s="1"/>
  <c r="D28" i="5"/>
  <c r="D59" i="5"/>
  <c r="D120" i="5"/>
  <c r="D157" i="5"/>
  <c r="D174" i="5"/>
  <c r="D15" i="4"/>
  <c r="C16" i="4"/>
  <c r="D17" i="4"/>
  <c r="F17" i="4" s="1"/>
  <c r="D18" i="4"/>
  <c r="C19" i="4"/>
  <c r="D19" i="4"/>
  <c r="F23" i="4"/>
  <c r="F24" i="4"/>
  <c r="F25" i="4"/>
  <c r="F33" i="4"/>
  <c r="F34" i="4"/>
  <c r="F35" i="4"/>
  <c r="F36" i="4"/>
  <c r="F37" i="4"/>
  <c r="F38" i="4"/>
  <c r="F39" i="4"/>
  <c r="F40" i="4"/>
  <c r="F41" i="4"/>
  <c r="C59" i="4"/>
  <c r="C5" i="3"/>
  <c r="D18" i="8" s="1"/>
  <c r="D21" i="8" s="1"/>
  <c r="C9" i="3"/>
  <c r="E18" i="8" s="1"/>
  <c r="E21" i="8" s="1"/>
  <c r="C13" i="3"/>
  <c r="F18" i="8" s="1"/>
  <c r="F21" i="8" s="1"/>
  <c r="C17" i="3"/>
  <c r="G18" i="8" s="1"/>
  <c r="G21" i="8" s="1"/>
  <c r="I5" i="2"/>
  <c r="J5" i="2"/>
  <c r="K5" i="2"/>
  <c r="L5" i="2"/>
  <c r="M5" i="2"/>
  <c r="I6" i="2"/>
  <c r="I9" i="2" s="1"/>
  <c r="J6" i="2"/>
  <c r="K6" i="2"/>
  <c r="K9" i="2" s="1"/>
  <c r="L6" i="2"/>
  <c r="L9" i="2" s="1"/>
  <c r="M6" i="2"/>
  <c r="M9" i="2" s="1"/>
  <c r="I7" i="2"/>
  <c r="J7" i="2"/>
  <c r="K7" i="2"/>
  <c r="L7" i="2"/>
  <c r="M7" i="2"/>
  <c r="I8" i="2"/>
  <c r="J8" i="2"/>
  <c r="K8" i="2"/>
  <c r="L8" i="2"/>
  <c r="M8" i="2"/>
  <c r="J9" i="2"/>
  <c r="B17" i="2"/>
  <c r="C17" i="2"/>
  <c r="D17" i="2"/>
  <c r="E17" i="2"/>
  <c r="F17" i="2"/>
  <c r="G18" i="6" l="1"/>
  <c r="G21" i="6" s="1"/>
  <c r="E23" i="8"/>
  <c r="E218" i="8"/>
  <c r="E216" i="8" s="1"/>
  <c r="D23" i="8"/>
  <c r="D218" i="8"/>
  <c r="D216" i="8" s="1"/>
  <c r="F23" i="8"/>
  <c r="F218" i="8"/>
  <c r="F216" i="8" s="1"/>
  <c r="G23" i="8"/>
  <c r="G218" i="8"/>
  <c r="G216" i="8" s="1"/>
  <c r="D88" i="8"/>
  <c r="D102" i="8"/>
  <c r="G102" i="8"/>
  <c r="G88" i="8"/>
  <c r="F88" i="8"/>
  <c r="F102" i="8"/>
  <c r="E88" i="8"/>
  <c r="E102" i="8"/>
  <c r="F10" i="8"/>
  <c r="F19" i="8"/>
  <c r="F116" i="8"/>
  <c r="E10" i="8"/>
  <c r="E116" i="8"/>
  <c r="E19" i="8"/>
  <c r="F18" i="6"/>
  <c r="F21" i="6" s="1"/>
  <c r="D116" i="8"/>
  <c r="D10" i="8"/>
  <c r="D19" i="8"/>
  <c r="E18" i="6"/>
  <c r="E21" i="6" s="1"/>
  <c r="G10" i="8"/>
  <c r="G19" i="8"/>
  <c r="G116" i="8"/>
  <c r="D18" i="6"/>
  <c r="D21" i="6" s="1"/>
  <c r="F26" i="4"/>
  <c r="F35" i="8"/>
  <c r="E35" i="8"/>
  <c r="D35" i="8"/>
  <c r="G35" i="8"/>
  <c r="F51" i="8"/>
  <c r="E51" i="8"/>
  <c r="D51" i="8"/>
  <c r="G51" i="8"/>
  <c r="F54" i="8"/>
  <c r="G54" i="8"/>
  <c r="E54" i="8"/>
  <c r="D54" i="8"/>
  <c r="F48" i="8"/>
  <c r="G48" i="8"/>
  <c r="E48" i="8"/>
  <c r="D48" i="8"/>
  <c r="G20" i="8"/>
  <c r="G17" i="8" s="1"/>
  <c r="E20" i="8"/>
  <c r="E17" i="8" s="1"/>
  <c r="D20" i="8"/>
  <c r="D17" i="8" s="1"/>
  <c r="F20" i="8"/>
  <c r="F17" i="8" s="1"/>
  <c r="F15" i="4"/>
  <c r="F38" i="8"/>
  <c r="D38" i="8"/>
  <c r="G38" i="8"/>
  <c r="E38" i="8"/>
  <c r="D51" i="4"/>
  <c r="F16" i="4"/>
  <c r="D124" i="5"/>
  <c r="F32" i="9"/>
  <c r="G32" i="9" s="1"/>
  <c r="H31" i="9" s="1"/>
  <c r="D63" i="5"/>
  <c r="F20" i="9"/>
  <c r="G20" i="9" s="1"/>
  <c r="H19" i="9" s="1"/>
  <c r="D178" i="5"/>
  <c r="F46" i="9"/>
  <c r="G46" i="9" s="1"/>
  <c r="H45" i="9" s="1"/>
  <c r="D32" i="5"/>
  <c r="F11" i="9"/>
  <c r="G11" i="9" s="1"/>
  <c r="H10" i="9" s="1"/>
  <c r="D161" i="5"/>
  <c r="F42" i="9"/>
  <c r="G42" i="9" s="1"/>
  <c r="H41" i="9" s="1"/>
  <c r="G10" i="6"/>
  <c r="F115" i="6"/>
  <c r="F101" i="6"/>
  <c r="F35" i="6"/>
  <c r="G35" i="6"/>
  <c r="D35" i="6"/>
  <c r="E35" i="6"/>
  <c r="F43" i="4"/>
  <c r="F54" i="6"/>
  <c r="G54" i="6"/>
  <c r="D54" i="6"/>
  <c r="E54" i="6"/>
  <c r="F51" i="6"/>
  <c r="G51" i="6"/>
  <c r="D51" i="6"/>
  <c r="E51" i="6"/>
  <c r="F38" i="6"/>
  <c r="G38" i="6"/>
  <c r="D38" i="6"/>
  <c r="E38" i="6"/>
  <c r="F19" i="4"/>
  <c r="F48" i="6"/>
  <c r="G48" i="6"/>
  <c r="D48" i="6"/>
  <c r="E48" i="6"/>
  <c r="E20" i="6"/>
  <c r="F20" i="6"/>
  <c r="G20" i="6"/>
  <c r="G17" i="6" s="1"/>
  <c r="D20" i="6"/>
  <c r="F18" i="4"/>
  <c r="F14" i="4"/>
  <c r="D139" i="6"/>
  <c r="D154" i="6"/>
  <c r="D142" i="6"/>
  <c r="D133" i="6"/>
  <c r="E133" i="6"/>
  <c r="E174" i="6"/>
  <c r="E154" i="6"/>
  <c r="D145" i="6"/>
  <c r="E151" i="6"/>
  <c r="D103" i="6"/>
  <c r="D151" i="6"/>
  <c r="D130" i="6"/>
  <c r="E178" i="6"/>
  <c r="D190" i="6"/>
  <c r="F142" i="6"/>
  <c r="F157" i="6"/>
  <c r="E157" i="6"/>
  <c r="G145" i="6"/>
  <c r="F130" i="6"/>
  <c r="F189" i="6"/>
  <c r="F186" i="6" s="1"/>
  <c r="G187" i="6"/>
  <c r="F174" i="6"/>
  <c r="G176" i="6"/>
  <c r="G154" i="6"/>
  <c r="F154" i="6"/>
  <c r="F148" i="6"/>
  <c r="D148" i="6"/>
  <c r="E189" i="6"/>
  <c r="E186" i="6" s="1"/>
  <c r="F180" i="6"/>
  <c r="G180" i="6" s="1"/>
  <c r="D136" i="6"/>
  <c r="F133" i="6"/>
  <c r="D89" i="6"/>
  <c r="E89" i="6"/>
  <c r="F89" i="6"/>
  <c r="E139" i="6"/>
  <c r="G133" i="6"/>
  <c r="D157" i="6"/>
  <c r="F145" i="6"/>
  <c r="E145" i="6"/>
  <c r="E130" i="6"/>
  <c r="F117" i="6"/>
  <c r="G117" i="6"/>
  <c r="D117" i="6"/>
  <c r="F87" i="6"/>
  <c r="E148" i="6"/>
  <c r="E142" i="6"/>
  <c r="E103" i="6"/>
  <c r="F103" i="6"/>
  <c r="G103" i="6"/>
  <c r="G89" i="6"/>
  <c r="M11" i="2"/>
  <c r="I11" i="2"/>
  <c r="O9" i="2"/>
  <c r="J11" i="2" s="1"/>
  <c r="D113" i="8" l="1"/>
  <c r="D118" i="8" s="1"/>
  <c r="D119" i="8"/>
  <c r="D120" i="8" s="1"/>
  <c r="E85" i="8"/>
  <c r="E90" i="8" s="1"/>
  <c r="E92" i="8"/>
  <c r="E93" i="8" s="1"/>
  <c r="E113" i="8"/>
  <c r="E118" i="8" s="1"/>
  <c r="E119" i="8"/>
  <c r="E120" i="8" s="1"/>
  <c r="F85" i="8"/>
  <c r="F90" i="8" s="1"/>
  <c r="F92" i="8"/>
  <c r="F93" i="8" s="1"/>
  <c r="G85" i="8"/>
  <c r="G90" i="8" s="1"/>
  <c r="G92" i="8"/>
  <c r="G93" i="8" s="1"/>
  <c r="G113" i="8"/>
  <c r="G118" i="8" s="1"/>
  <c r="G119" i="8"/>
  <c r="G120" i="8" s="1"/>
  <c r="F113" i="8"/>
  <c r="F118" i="8" s="1"/>
  <c r="F119" i="8"/>
  <c r="F120" i="8" s="1"/>
  <c r="G99" i="8"/>
  <c r="G104" i="8" s="1"/>
  <c r="G106" i="8"/>
  <c r="G107" i="8" s="1"/>
  <c r="D99" i="8"/>
  <c r="D104" i="8" s="1"/>
  <c r="D106" i="8"/>
  <c r="D107" i="8" s="1"/>
  <c r="F99" i="8"/>
  <c r="F104" i="8" s="1"/>
  <c r="F106" i="8"/>
  <c r="F107" i="8" s="1"/>
  <c r="D85" i="8"/>
  <c r="D90" i="8" s="1"/>
  <c r="D92" i="8"/>
  <c r="D93" i="8" s="1"/>
  <c r="E99" i="8"/>
  <c r="E104" i="8" s="1"/>
  <c r="E106" i="8"/>
  <c r="E107" i="8" s="1"/>
  <c r="G218" i="6"/>
  <c r="G23" i="6"/>
  <c r="F218" i="6"/>
  <c r="F23" i="6"/>
  <c r="E218" i="6"/>
  <c r="E23" i="6"/>
  <c r="D102" i="6"/>
  <c r="D99" i="6" s="1"/>
  <c r="D104" i="6" s="1"/>
  <c r="D23" i="6"/>
  <c r="F88" i="6"/>
  <c r="F85" i="6" s="1"/>
  <c r="F90" i="6" s="1"/>
  <c r="D88" i="6"/>
  <c r="D85" i="6" s="1"/>
  <c r="D90" i="6" s="1"/>
  <c r="D218" i="6"/>
  <c r="F102" i="6"/>
  <c r="F99" i="6" s="1"/>
  <c r="F104" i="6" s="1"/>
  <c r="E66" i="6"/>
  <c r="E63" i="6"/>
  <c r="E60" i="6"/>
  <c r="E53" i="6"/>
  <c r="E50" i="6"/>
  <c r="E47" i="6"/>
  <c r="E44" i="6"/>
  <c r="E37" i="6"/>
  <c r="E34" i="6"/>
  <c r="E102" i="6"/>
  <c r="E99" i="6" s="1"/>
  <c r="E104" i="6" s="1"/>
  <c r="G66" i="6"/>
  <c r="G63" i="6"/>
  <c r="G60" i="6"/>
  <c r="G53" i="6"/>
  <c r="G50" i="6"/>
  <c r="G47" i="6"/>
  <c r="G44" i="6"/>
  <c r="G37" i="6"/>
  <c r="G34" i="6"/>
  <c r="E88" i="6"/>
  <c r="E85" i="6" s="1"/>
  <c r="E90" i="6" s="1"/>
  <c r="D66" i="6"/>
  <c r="D60" i="6"/>
  <c r="D50" i="6"/>
  <c r="D44" i="6"/>
  <c r="D34" i="6"/>
  <c r="D63" i="6"/>
  <c r="D53" i="6"/>
  <c r="D47" i="6"/>
  <c r="D37" i="6"/>
  <c r="F66" i="6"/>
  <c r="F65" i="6" s="1"/>
  <c r="F63" i="6"/>
  <c r="F60" i="6"/>
  <c r="F53" i="6"/>
  <c r="F50" i="6"/>
  <c r="F47" i="6"/>
  <c r="F44" i="6"/>
  <c r="F43" i="6" s="1"/>
  <c r="F37" i="6"/>
  <c r="F34" i="6"/>
  <c r="F10" i="6"/>
  <c r="F9" i="6" s="1"/>
  <c r="D17" i="6"/>
  <c r="D62" i="9" s="1"/>
  <c r="D61" i="9" s="1"/>
  <c r="D63" i="9" s="1"/>
  <c r="C20" i="13" s="1"/>
  <c r="C23" i="13" s="1"/>
  <c r="C24" i="13" s="1"/>
  <c r="E10" i="6"/>
  <c r="E9" i="6" s="1"/>
  <c r="D116" i="6"/>
  <c r="D113" i="6" s="1"/>
  <c r="D118" i="6" s="1"/>
  <c r="D19" i="6"/>
  <c r="D196" i="6" s="1"/>
  <c r="D197" i="6" s="1"/>
  <c r="D195" i="6" s="1"/>
  <c r="G19" i="6"/>
  <c r="F116" i="6"/>
  <c r="F113" i="6" s="1"/>
  <c r="F118" i="6" s="1"/>
  <c r="D10" i="6"/>
  <c r="D9" i="6" s="1"/>
  <c r="F17" i="6"/>
  <c r="F62" i="9" s="1"/>
  <c r="F61" i="9" s="1"/>
  <c r="E19" i="6"/>
  <c r="F19" i="6"/>
  <c r="D200" i="8"/>
  <c r="D196" i="8"/>
  <c r="E17" i="6"/>
  <c r="E248" i="6" s="1"/>
  <c r="E116" i="6"/>
  <c r="E113" i="6" s="1"/>
  <c r="E118" i="6" s="1"/>
  <c r="G9" i="6"/>
  <c r="G8" i="6"/>
  <c r="G62" i="9"/>
  <c r="G61" i="9" s="1"/>
  <c r="F71" i="9"/>
  <c r="F70" i="9" s="1"/>
  <c r="F8" i="8"/>
  <c r="F242" i="8"/>
  <c r="N9" i="13" s="1"/>
  <c r="F249" i="8"/>
  <c r="G8" i="8"/>
  <c r="G71" i="9"/>
  <c r="G70" i="9" s="1"/>
  <c r="G242" i="8"/>
  <c r="O9" i="13" s="1"/>
  <c r="G249" i="8"/>
  <c r="F20" i="4"/>
  <c r="F28" i="4" s="1"/>
  <c r="D8" i="8"/>
  <c r="D71" i="9"/>
  <c r="D70" i="9" s="1"/>
  <c r="D72" i="9" s="1"/>
  <c r="K20" i="13" s="1"/>
  <c r="D242" i="8"/>
  <c r="L9" i="13" s="1"/>
  <c r="D249" i="8"/>
  <c r="G9" i="8"/>
  <c r="F9" i="8"/>
  <c r="D9" i="8"/>
  <c r="E9" i="8"/>
  <c r="E71" i="9"/>
  <c r="E70" i="9" s="1"/>
  <c r="E242" i="8"/>
  <c r="M9" i="13" s="1"/>
  <c r="E249" i="8"/>
  <c r="E8" i="8"/>
  <c r="H6" i="9"/>
  <c r="K19" i="13" s="1"/>
  <c r="G115" i="6"/>
  <c r="G101" i="6"/>
  <c r="G248" i="6"/>
  <c r="G241" i="6"/>
  <c r="G9" i="13" s="1"/>
  <c r="G157" i="6"/>
  <c r="G148" i="6"/>
  <c r="G142" i="6"/>
  <c r="F151" i="6"/>
  <c r="F139" i="6"/>
  <c r="G151" i="6"/>
  <c r="E190" i="6"/>
  <c r="F178" i="6"/>
  <c r="F190" i="6" s="1"/>
  <c r="G130" i="6"/>
  <c r="G139" i="6"/>
  <c r="G87" i="6"/>
  <c r="F136" i="6"/>
  <c r="E136" i="6"/>
  <c r="E160" i="6" s="1"/>
  <c r="G178" i="6"/>
  <c r="G189" i="6"/>
  <c r="G186" i="6" s="1"/>
  <c r="D160" i="6"/>
  <c r="G174" i="6"/>
  <c r="L11" i="2"/>
  <c r="K11" i="2"/>
  <c r="E94" i="8" l="1"/>
  <c r="F122" i="8"/>
  <c r="D122" i="8"/>
  <c r="G122" i="8"/>
  <c r="E122" i="8"/>
  <c r="E108" i="8"/>
  <c r="E123" i="8"/>
  <c r="H53" i="9"/>
  <c r="K23" i="13"/>
  <c r="K24" i="13" s="1"/>
  <c r="C26" i="13" s="1"/>
  <c r="C27" i="13" s="1"/>
  <c r="C28" i="13" s="1"/>
  <c r="F248" i="6"/>
  <c r="F249" i="6" s="1"/>
  <c r="D8" i="6"/>
  <c r="D7" i="6" s="1"/>
  <c r="D5" i="13" s="1"/>
  <c r="D241" i="6"/>
  <c r="D9" i="13" s="1"/>
  <c r="D248" i="6"/>
  <c r="D249" i="6" s="1"/>
  <c r="E196" i="6"/>
  <c r="E197" i="6" s="1"/>
  <c r="E195" i="6" s="1"/>
  <c r="D200" i="6"/>
  <c r="D201" i="6" s="1"/>
  <c r="D199" i="6" s="1"/>
  <c r="D206" i="6" s="1"/>
  <c r="F46" i="6"/>
  <c r="F216" i="6"/>
  <c r="F8" i="6"/>
  <c r="F7" i="6" s="1"/>
  <c r="F5" i="13" s="1"/>
  <c r="F241" i="6"/>
  <c r="F9" i="13" s="1"/>
  <c r="F49" i="6"/>
  <c r="F59" i="6"/>
  <c r="F52" i="6"/>
  <c r="F33" i="6"/>
  <c r="F36" i="6"/>
  <c r="F62" i="6"/>
  <c r="E7" i="8"/>
  <c r="M5" i="13" s="1"/>
  <c r="E241" i="6"/>
  <c r="E9" i="13" s="1"/>
  <c r="E8" i="6"/>
  <c r="E7" i="6" s="1"/>
  <c r="E5" i="13" s="1"/>
  <c r="E62" i="9"/>
  <c r="E61" i="9" s="1"/>
  <c r="F63" i="9" s="1"/>
  <c r="E20" i="13" s="1"/>
  <c r="E23" i="13" s="1"/>
  <c r="D65" i="8"/>
  <c r="D46" i="8"/>
  <c r="D62" i="8"/>
  <c r="D43" i="8"/>
  <c r="D52" i="8"/>
  <c r="D36" i="8"/>
  <c r="D59" i="8"/>
  <c r="D49" i="8"/>
  <c r="D33" i="8"/>
  <c r="E52" i="8"/>
  <c r="E36" i="8"/>
  <c r="E59" i="8"/>
  <c r="E49" i="8"/>
  <c r="E33" i="8"/>
  <c r="E65" i="8"/>
  <c r="E46" i="8"/>
  <c r="E62" i="8"/>
  <c r="E43" i="8"/>
  <c r="F65" i="8"/>
  <c r="F46" i="8"/>
  <c r="F62" i="8"/>
  <c r="F43" i="8"/>
  <c r="F36" i="8"/>
  <c r="F59" i="8"/>
  <c r="F49" i="8"/>
  <c r="F33" i="8"/>
  <c r="G52" i="8"/>
  <c r="G36" i="8"/>
  <c r="G59" i="8"/>
  <c r="G49" i="8"/>
  <c r="G33" i="8"/>
  <c r="G65" i="8"/>
  <c r="G46" i="8"/>
  <c r="G62" i="8"/>
  <c r="G43" i="8"/>
  <c r="E196" i="8"/>
  <c r="D197" i="8"/>
  <c r="D195" i="8" s="1"/>
  <c r="E200" i="8"/>
  <c r="D201" i="8"/>
  <c r="D199" i="8" s="1"/>
  <c r="G7" i="6"/>
  <c r="G5" i="13" s="1"/>
  <c r="E72" i="9"/>
  <c r="L20" i="13" s="1"/>
  <c r="L23" i="13" s="1"/>
  <c r="D250" i="8"/>
  <c r="L8" i="13"/>
  <c r="E250" i="8"/>
  <c r="M8" i="13"/>
  <c r="F250" i="8"/>
  <c r="N8" i="13"/>
  <c r="G250" i="8"/>
  <c r="O8" i="13"/>
  <c r="G249" i="6"/>
  <c r="G8" i="13"/>
  <c r="E249" i="6"/>
  <c r="E8" i="13"/>
  <c r="G59" i="6"/>
  <c r="G65" i="6"/>
  <c r="G62" i="6"/>
  <c r="G52" i="6"/>
  <c r="G49" i="6"/>
  <c r="G46" i="6"/>
  <c r="G43" i="6"/>
  <c r="G36" i="6"/>
  <c r="G33" i="6"/>
  <c r="E59" i="6"/>
  <c r="E65" i="6"/>
  <c r="E62" i="6"/>
  <c r="E52" i="6"/>
  <c r="E49" i="6"/>
  <c r="E46" i="6"/>
  <c r="E43" i="6"/>
  <c r="E36" i="6"/>
  <c r="E33" i="6"/>
  <c r="D59" i="6"/>
  <c r="D65" i="6"/>
  <c r="D62" i="6"/>
  <c r="D52" i="6"/>
  <c r="D49" i="6"/>
  <c r="D46" i="6"/>
  <c r="D43" i="6"/>
  <c r="D36" i="6"/>
  <c r="D33" i="6"/>
  <c r="G72" i="9"/>
  <c r="N20" i="13" s="1"/>
  <c r="N23" i="13" s="1"/>
  <c r="G63" i="9"/>
  <c r="F20" i="13" s="1"/>
  <c r="F23" i="13" s="1"/>
  <c r="C26" i="10"/>
  <c r="E256" i="8"/>
  <c r="E257" i="8" s="1"/>
  <c r="E243" i="8"/>
  <c r="D256" i="8"/>
  <c r="D257" i="8" s="1"/>
  <c r="D243" i="8"/>
  <c r="F7" i="8"/>
  <c r="N5" i="13" s="1"/>
  <c r="G243" i="8"/>
  <c r="G256" i="8"/>
  <c r="G257" i="8" s="1"/>
  <c r="F72" i="9"/>
  <c r="M20" i="13" s="1"/>
  <c r="M23" i="13" s="1"/>
  <c r="D7" i="8"/>
  <c r="L5" i="13" s="1"/>
  <c r="G7" i="8"/>
  <c r="O5" i="13" s="1"/>
  <c r="F243" i="8"/>
  <c r="F256" i="8"/>
  <c r="F257" i="8" s="1"/>
  <c r="G102" i="6"/>
  <c r="G99" i="6" s="1"/>
  <c r="G104" i="6" s="1"/>
  <c r="G116" i="6"/>
  <c r="G113" i="6" s="1"/>
  <c r="G118" i="6" s="1"/>
  <c r="G88" i="6"/>
  <c r="G85" i="6" s="1"/>
  <c r="G90" i="6" s="1"/>
  <c r="D216" i="6"/>
  <c r="G216" i="6"/>
  <c r="E216" i="6"/>
  <c r="D122" i="6"/>
  <c r="F160" i="6"/>
  <c r="G242" i="6"/>
  <c r="G255" i="6"/>
  <c r="G256" i="6" s="1"/>
  <c r="E122" i="6"/>
  <c r="G190" i="6"/>
  <c r="F122" i="6"/>
  <c r="G136" i="6"/>
  <c r="G160" i="6" s="1"/>
  <c r="F255" i="6" l="1"/>
  <c r="F256" i="6" s="1"/>
  <c r="F39" i="6"/>
  <c r="F40" i="6" s="1"/>
  <c r="F8" i="13"/>
  <c r="D206" i="8"/>
  <c r="D225" i="8" s="1"/>
  <c r="D226" i="8" s="1"/>
  <c r="D242" i="6"/>
  <c r="D224" i="6"/>
  <c r="D225" i="6" s="1"/>
  <c r="G68" i="8"/>
  <c r="G69" i="8" s="1"/>
  <c r="D255" i="6"/>
  <c r="D256" i="6" s="1"/>
  <c r="D8" i="13"/>
  <c r="F196" i="6"/>
  <c r="G196" i="6" s="1"/>
  <c r="G197" i="6" s="1"/>
  <c r="G195" i="6" s="1"/>
  <c r="E255" i="6"/>
  <c r="E256" i="6" s="1"/>
  <c r="F55" i="6"/>
  <c r="F56" i="6" s="1"/>
  <c r="F242" i="6"/>
  <c r="E200" i="6"/>
  <c r="E201" i="6" s="1"/>
  <c r="E199" i="6" s="1"/>
  <c r="E206" i="6" s="1"/>
  <c r="E224" i="6" s="1"/>
  <c r="E225" i="6" s="1"/>
  <c r="F68" i="6"/>
  <c r="F69" i="6" s="1"/>
  <c r="G39" i="8"/>
  <c r="G40" i="8" s="1"/>
  <c r="E63" i="9"/>
  <c r="D20" i="13" s="1"/>
  <c r="D23" i="13" s="1"/>
  <c r="E242" i="6"/>
  <c r="F200" i="8"/>
  <c r="E201" i="8"/>
  <c r="E199" i="8" s="1"/>
  <c r="F39" i="8"/>
  <c r="E55" i="8"/>
  <c r="E56" i="8" s="1"/>
  <c r="E39" i="8"/>
  <c r="D68" i="8"/>
  <c r="D69" i="8" s="1"/>
  <c r="D55" i="8"/>
  <c r="D56" i="8" s="1"/>
  <c r="E197" i="8"/>
  <c r="E195" i="8" s="1"/>
  <c r="F196" i="8"/>
  <c r="G55" i="8"/>
  <c r="F68" i="8"/>
  <c r="F69" i="8" s="1"/>
  <c r="F55" i="8"/>
  <c r="F56" i="8" s="1"/>
  <c r="E68" i="8"/>
  <c r="E69" i="8" s="1"/>
  <c r="D39" i="8"/>
  <c r="E39" i="6"/>
  <c r="E40" i="6" s="1"/>
  <c r="D55" i="6"/>
  <c r="D56" i="6" s="1"/>
  <c r="D39" i="6"/>
  <c r="D40" i="6" s="1"/>
  <c r="E55" i="6"/>
  <c r="E56" i="6" s="1"/>
  <c r="G39" i="6"/>
  <c r="G40" i="6" s="1"/>
  <c r="G55" i="6"/>
  <c r="G56" i="6" s="1"/>
  <c r="D68" i="6"/>
  <c r="D69" i="6" s="1"/>
  <c r="E68" i="6"/>
  <c r="E69" i="6" s="1"/>
  <c r="G68" i="6"/>
  <c r="G69" i="6" s="1"/>
  <c r="E26" i="10"/>
  <c r="F26" i="10"/>
  <c r="G26" i="10"/>
  <c r="D26" i="10"/>
  <c r="H73" i="9"/>
  <c r="O21" i="13" s="1"/>
  <c r="O23" i="13" s="1"/>
  <c r="C24" i="10"/>
  <c r="G122" i="6"/>
  <c r="F197" i="6" l="1"/>
  <c r="F195" i="6" s="1"/>
  <c r="E24" i="10"/>
  <c r="M11" i="13"/>
  <c r="M16" i="13" s="1"/>
  <c r="D24" i="10"/>
  <c r="L11" i="13"/>
  <c r="L16" i="13" s="1"/>
  <c r="G24" i="10"/>
  <c r="O11" i="13"/>
  <c r="O16" i="13" s="1"/>
  <c r="F24" i="10"/>
  <c r="N11" i="13"/>
  <c r="N16" i="13" s="1"/>
  <c r="E206" i="8"/>
  <c r="E225" i="8" s="1"/>
  <c r="E226" i="8" s="1"/>
  <c r="F200" i="6"/>
  <c r="G200" i="6" s="1"/>
  <c r="G201" i="6" s="1"/>
  <c r="G199" i="6" s="1"/>
  <c r="G206" i="6" s="1"/>
  <c r="G224" i="6" s="1"/>
  <c r="G225" i="6" s="1"/>
  <c r="F73" i="6"/>
  <c r="E73" i="6"/>
  <c r="E232" i="6" s="1"/>
  <c r="E233" i="6" s="1"/>
  <c r="H64" i="9"/>
  <c r="G21" i="13" s="1"/>
  <c r="G23" i="13" s="1"/>
  <c r="G56" i="8"/>
  <c r="G73" i="8"/>
  <c r="F197" i="8"/>
  <c r="F195" i="8" s="1"/>
  <c r="G196" i="8"/>
  <c r="G197" i="8" s="1"/>
  <c r="G195" i="8" s="1"/>
  <c r="E40" i="8"/>
  <c r="E73" i="8"/>
  <c r="G200" i="8"/>
  <c r="G201" i="8" s="1"/>
  <c r="G199" i="8" s="1"/>
  <c r="F201" i="8"/>
  <c r="F199" i="8" s="1"/>
  <c r="D40" i="8"/>
  <c r="D73" i="8"/>
  <c r="D233" i="8" s="1"/>
  <c r="F40" i="8"/>
  <c r="F73" i="8"/>
  <c r="D73" i="6"/>
  <c r="D232" i="6" s="1"/>
  <c r="D233" i="6" s="1"/>
  <c r="G73" i="6"/>
  <c r="F206" i="8" l="1"/>
  <c r="F225" i="8" s="1"/>
  <c r="F226" i="8" s="1"/>
  <c r="F201" i="6"/>
  <c r="F199" i="6" s="1"/>
  <c r="F206" i="6" s="1"/>
  <c r="F224" i="6" s="1"/>
  <c r="F225" i="6" s="1"/>
  <c r="E233" i="8"/>
  <c r="D263" i="8"/>
  <c r="D264" i="8" s="1"/>
  <c r="D270" i="8" s="1"/>
  <c r="D234" i="8"/>
  <c r="L6" i="13"/>
  <c r="L7" i="13" s="1"/>
  <c r="L12" i="13" s="1"/>
  <c r="G232" i="6"/>
  <c r="G233" i="6" s="1"/>
  <c r="G206" i="8"/>
  <c r="G225" i="8" s="1"/>
  <c r="G226" i="8" s="1"/>
  <c r="D262" i="6"/>
  <c r="D263" i="6" s="1"/>
  <c r="D269" i="6" s="1"/>
  <c r="D6" i="13"/>
  <c r="D7" i="13" s="1"/>
  <c r="D12" i="13" s="1"/>
  <c r="E6" i="13"/>
  <c r="E7" i="13" s="1"/>
  <c r="E12" i="13" s="1"/>
  <c r="E262" i="6"/>
  <c r="E263" i="6" s="1"/>
  <c r="E269" i="6" s="1"/>
  <c r="F233" i="8" l="1"/>
  <c r="N6" i="13" s="1"/>
  <c r="N7" i="13" s="1"/>
  <c r="N12" i="13" s="1"/>
  <c r="N13" i="13" s="1"/>
  <c r="N14" i="13" s="1"/>
  <c r="N17" i="13" s="1"/>
  <c r="N24" i="13" s="1"/>
  <c r="F232" i="6"/>
  <c r="F233" i="6" s="1"/>
  <c r="D13" i="13"/>
  <c r="D14" i="13" s="1"/>
  <c r="D17" i="13" s="1"/>
  <c r="D24" i="13" s="1"/>
  <c r="E13" i="13"/>
  <c r="E14" i="13" s="1"/>
  <c r="E17" i="13" s="1"/>
  <c r="E24" i="13" s="1"/>
  <c r="L13" i="13"/>
  <c r="L14" i="13" s="1"/>
  <c r="L17" i="13" s="1"/>
  <c r="L24" i="13" s="1"/>
  <c r="G233" i="8"/>
  <c r="E263" i="8"/>
  <c r="E264" i="8" s="1"/>
  <c r="E270" i="8" s="1"/>
  <c r="E234" i="8"/>
  <c r="M6" i="13"/>
  <c r="M7" i="13" s="1"/>
  <c r="M12" i="13" s="1"/>
  <c r="G262" i="6"/>
  <c r="G263" i="6" s="1"/>
  <c r="G269" i="6" s="1"/>
  <c r="G6" i="13"/>
  <c r="G7" i="13" s="1"/>
  <c r="G12" i="13" s="1"/>
  <c r="F263" i="8" l="1"/>
  <c r="F264" i="8" s="1"/>
  <c r="F270" i="8" s="1"/>
  <c r="F234" i="8"/>
  <c r="F262" i="6"/>
  <c r="F263" i="6" s="1"/>
  <c r="F269" i="6" s="1"/>
  <c r="F6" i="13"/>
  <c r="F7" i="13" s="1"/>
  <c r="F12" i="13" s="1"/>
  <c r="F13" i="13" s="1"/>
  <c r="F14" i="13" s="1"/>
  <c r="F17" i="13" s="1"/>
  <c r="F24" i="13" s="1"/>
  <c r="F26" i="13" s="1"/>
  <c r="F27" i="13" s="1"/>
  <c r="D26" i="13"/>
  <c r="M13" i="13"/>
  <c r="M14" i="13" s="1"/>
  <c r="M17" i="13" s="1"/>
  <c r="M24" i="13" s="1"/>
  <c r="E26" i="13" s="1"/>
  <c r="E27" i="13" s="1"/>
  <c r="G263" i="8"/>
  <c r="G264" i="8" s="1"/>
  <c r="G270" i="8" s="1"/>
  <c r="G234" i="8"/>
  <c r="O6" i="13"/>
  <c r="O7" i="13" s="1"/>
  <c r="O12" i="13" s="1"/>
  <c r="G13" i="13"/>
  <c r="G14" i="13" s="1"/>
  <c r="G17" i="13" s="1"/>
  <c r="G24" i="13" s="1"/>
  <c r="D27" i="13" l="1"/>
  <c r="O13" i="13"/>
  <c r="O14" i="13" s="1"/>
  <c r="O17" i="13" s="1"/>
  <c r="O24" i="13" s="1"/>
  <c r="G26" i="13" s="1"/>
  <c r="C35" i="13" s="1"/>
  <c r="C33" i="13" l="1"/>
  <c r="G27" i="13"/>
  <c r="N47" i="13"/>
  <c r="D28" i="13"/>
  <c r="D29" i="13" s="1"/>
  <c r="C34" i="13"/>
  <c r="M47" i="13" s="1"/>
  <c r="E28" i="13" l="1"/>
  <c r="E29" i="13" s="1"/>
  <c r="L47" i="13"/>
  <c r="K62" i="13"/>
  <c r="F28" i="13" l="1"/>
  <c r="F29" i="13" s="1"/>
  <c r="G28" i="13" l="1"/>
  <c r="G29" i="13" s="1"/>
  <c r="C36" i="13" s="1"/>
  <c r="O47" i="13" s="1"/>
</calcChain>
</file>

<file path=xl/sharedStrings.xml><?xml version="1.0" encoding="utf-8"?>
<sst xmlns="http://schemas.openxmlformats.org/spreadsheetml/2006/main" count="1318" uniqueCount="534">
  <si>
    <t>Pijama Basic</t>
  </si>
  <si>
    <t>Fecha</t>
  </si>
  <si>
    <t>Part (%)</t>
  </si>
  <si>
    <t>Particip. (%)</t>
  </si>
  <si>
    <t>=</t>
  </si>
  <si>
    <t>Trimestre 4</t>
  </si>
  <si>
    <t>Trimestre 3</t>
  </si>
  <si>
    <t>Trimestre 2</t>
  </si>
  <si>
    <t>Trimestre 1</t>
  </si>
  <si>
    <t>Vestidos Niña</t>
  </si>
  <si>
    <t>Enterizo</t>
  </si>
  <si>
    <t>Pijama Vivo</t>
  </si>
  <si>
    <t>Bata Dama</t>
  </si>
  <si>
    <t>Enterizo Bebé</t>
  </si>
  <si>
    <t>Ventas (Prendas)</t>
  </si>
  <si>
    <t>Ventas (Pijamas)</t>
  </si>
  <si>
    <t>Pronóstico por Suavización Exponencial</t>
  </si>
  <si>
    <t>Empresa</t>
  </si>
  <si>
    <t>Días / Mes</t>
  </si>
  <si>
    <t>Turnos / Día</t>
  </si>
  <si>
    <t>Horas / Turno</t>
  </si>
  <si>
    <t>Cantidad de operarios Total / Turno</t>
  </si>
  <si>
    <t>Cantidad de operarios Acabado / Turno</t>
  </si>
  <si>
    <t>Cantidad de operarios Confección / Turno</t>
  </si>
  <si>
    <t>Cantidad de operarios Corte / Turno</t>
  </si>
  <si>
    <t>% Gastos de Adm / Ingresos</t>
  </si>
  <si>
    <t>% Gastos de Vtas / Ingresos</t>
  </si>
  <si>
    <t>Tipo de Cambio (Dólares)</t>
  </si>
  <si>
    <t>https://orientacion.sunat.gob.pe/sites/default/files/inline-files/NuevoRegimenGeneral_02.20.pdf</t>
  </si>
  <si>
    <t>Impuesto a la Renta</t>
  </si>
  <si>
    <t>Soles / Unidad Vendida</t>
  </si>
  <si>
    <t>Drawback (Beneficio / Unidad Vendida)</t>
  </si>
  <si>
    <t>https://www.sedapal.com.pe/storage/objects/1-estructura-tarifaria-agua-potable-y-alcantarillado-web-rcd-079-26122021-20220421103935.pdf</t>
  </si>
  <si>
    <t>Precio (Soles/m3)</t>
  </si>
  <si>
    <t>https://es.globalpetrolprices.com/Peru/electricity_prices/</t>
  </si>
  <si>
    <t>Precio (Soles/KWh)</t>
  </si>
  <si>
    <t>Dólares / Unidad</t>
  </si>
  <si>
    <t>Precio de Venta (Soles / Unidad)</t>
  </si>
  <si>
    <t>Valores</t>
  </si>
  <si>
    <t>Otros datos</t>
  </si>
  <si>
    <t>Otros Datos</t>
  </si>
  <si>
    <t>Costo de Materiales Indirectos (Soles/Trimestre)</t>
  </si>
  <si>
    <t>Soles / Caja</t>
  </si>
  <si>
    <t>Soles / Rollo</t>
  </si>
  <si>
    <t>Strech Film 20" (rollo)</t>
  </si>
  <si>
    <t>Soles / Lt</t>
  </si>
  <si>
    <t>Vinagre blanco (Lt)</t>
  </si>
  <si>
    <t>Soles / Gl</t>
  </si>
  <si>
    <t>Desmanchador industrial (Gl)</t>
  </si>
  <si>
    <t>Alcohol (Lt)</t>
  </si>
  <si>
    <t>Soles / Und</t>
  </si>
  <si>
    <t>Cartulinas para moldes (und)</t>
  </si>
  <si>
    <t>Faja afiladora de cuchilla (und)</t>
  </si>
  <si>
    <t>Cuchilla de corte (und)</t>
  </si>
  <si>
    <t>Agujas de máquinas (und)</t>
  </si>
  <si>
    <t>Papel para plotter y corte (rollo)</t>
  </si>
  <si>
    <t>Total por Trimestre</t>
  </si>
  <si>
    <t>Unidad</t>
  </si>
  <si>
    <t>Precio</t>
  </si>
  <si>
    <t>Consumos por Trimestre</t>
  </si>
  <si>
    <t>Materiales</t>
  </si>
  <si>
    <t>Material Indirecto</t>
  </si>
  <si>
    <t>Costo Total de Materiales Directos (Soles/Prenda)</t>
  </si>
  <si>
    <t>Costo de Embalaje (Soles/Prenda)</t>
  </si>
  <si>
    <t>Caja doble corrugada 60 x 40 x 40 cm</t>
  </si>
  <si>
    <t>Sticker Bolsa</t>
  </si>
  <si>
    <t>Bolsa con Brillo 12" x 18" x 2</t>
  </si>
  <si>
    <t>Total por Prenda</t>
  </si>
  <si>
    <t>Cantidad por Prenda</t>
  </si>
  <si>
    <t>Envase Materiales</t>
  </si>
  <si>
    <t>Costo de Materiales (Soles/Prenda)</t>
  </si>
  <si>
    <t>Botones sin borde 18 L, 2H (5 + 1 repuesto) (Gruesas)</t>
  </si>
  <si>
    <t>Etiqueta de Talla/Instrucciones (Und)</t>
  </si>
  <si>
    <t>Etiqueta de Marca (Und)</t>
  </si>
  <si>
    <t>Soles / Cono</t>
  </si>
  <si>
    <t>Hilos de coser (Conos de 5000 yardas)</t>
  </si>
  <si>
    <t>Soles / Mts</t>
  </si>
  <si>
    <t>Tricot (Metros)</t>
  </si>
  <si>
    <t>Soles / Kg</t>
  </si>
  <si>
    <t>Tela Gamuza 100% algodón pima (Kg)</t>
  </si>
  <si>
    <t>Consumos por Prenda</t>
  </si>
  <si>
    <t>Material Directo</t>
  </si>
  <si>
    <t>Unitario</t>
  </si>
  <si>
    <t>Set (Mant+Bab+Gor+Ent)</t>
  </si>
  <si>
    <t>Set (Chaq+Pant)</t>
  </si>
  <si>
    <t>Presentación</t>
  </si>
  <si>
    <t>Productos</t>
  </si>
  <si>
    <t>Datos Relevantes</t>
  </si>
  <si>
    <t>HH necesarias por colaborador</t>
  </si>
  <si>
    <t>Cantidad de colaboradores</t>
  </si>
  <si>
    <t>Superficie total requerida (m2)</t>
  </si>
  <si>
    <t>Con Plan</t>
  </si>
  <si>
    <t>Sit. Actual</t>
  </si>
  <si>
    <t>Características:</t>
  </si>
  <si>
    <t xml:space="preserve">Mejorar y optimizar los tiempos de las tareas operacionales de la empresa economizando los recursos humanos </t>
  </si>
  <si>
    <t>PLAN DE MEJORA DE LAS 5'S</t>
  </si>
  <si>
    <t>PLAN DE MEJORA DE ESTUDIO DE TIEMPOS</t>
  </si>
  <si>
    <t>Ordenar los espacios necesarios para el movimiento del material, almacenamiento, equipos, maquinaria, productos, administración, servicios para el personal, entre otros.</t>
  </si>
  <si>
    <t>PLAN DE MEJORA DE REDISTRIBUCION DE PLANTA</t>
  </si>
  <si>
    <t>Implementar y mantener el Sistema de Gestión de Seguridad y Salud en el trabajo, garantizando un ambiente de trabajo seguro y saludable para los colaboradores en el desarrollo de sus actividades</t>
  </si>
  <si>
    <t>PLAN DE MEJORA DE SEGURIDAD Y SALUD EN EL TRABAJO</t>
  </si>
  <si>
    <t xml:space="preserve">Establecer un ambiente y clima laboral agradable con la finalidad de mejorar el rendimiento de los trabajadores en sus actividades </t>
  </si>
  <si>
    <t>PLAN DE MEJORA DEL CLIMA LABORAL</t>
  </si>
  <si>
    <t xml:space="preserve">Costo promedio mensual de mantenimiento </t>
  </si>
  <si>
    <t>Eliminar las pérdidas de producción, manteniendo las máquinas en su máxima capacidad y evitar las paradas no programadas</t>
  </si>
  <si>
    <t xml:space="preserve">PLAN DE MEJORA DE MANTENIMIENTO </t>
  </si>
  <si>
    <t>% Productos defectuosos</t>
  </si>
  <si>
    <t>Establecer metodologías de control estadístico para un adecuado control de calidad</t>
  </si>
  <si>
    <t>PLAN DE MEJORA DE CONTROL DE CALIDAD</t>
  </si>
  <si>
    <t>Establecer un sistema de control de producción adecuado en la producción de las prendas</t>
  </si>
  <si>
    <t>Establecer un sistema de planeamiento adecuado en la producción de las prendas</t>
  </si>
  <si>
    <t>Aumentar los resultados de la empresa, consiguiendo niveles alto de satisfaccion del cliente frente a nuestros productos, logrando asi un incremento de la productividad.</t>
  </si>
  <si>
    <t>PLAN DE MEJORA DE LA GESTION POR PROCESOS</t>
  </si>
  <si>
    <t xml:space="preserve">Establecer la estrategia de la empresa considerando el planeamiento estratégico y el BSC para el alcance de la visión con el cumplimiento de los objetivos estratégicos </t>
  </si>
  <si>
    <t>PLAN DE MEJORA DE LA GESTION ESTRATEGICA</t>
  </si>
  <si>
    <t>Margen EBITDA</t>
  </si>
  <si>
    <t>Proyección de Gastos Administrativos</t>
  </si>
  <si>
    <t>Proyección de Gastos de Ventas</t>
  </si>
  <si>
    <t>Proyección de Gastos de Operación</t>
  </si>
  <si>
    <t>Costo Ventas Unitario (Soles/Pijamas)</t>
  </si>
  <si>
    <t>Costo de Ventas (Soles/trim)</t>
  </si>
  <si>
    <t>Trimestre 0</t>
  </si>
  <si>
    <t>Costo Unitario CIF (Soles/Pijamas)</t>
  </si>
  <si>
    <t>Costo CIF (Soles/trim)</t>
  </si>
  <si>
    <t>Otros CIF (soles/trim)</t>
  </si>
  <si>
    <t>Otros CIF</t>
  </si>
  <si>
    <t>Costo Repuestos</t>
  </si>
  <si>
    <t>Costo Servicios (Soles/trim)</t>
  </si>
  <si>
    <t>Consumo Prorrateado (m3/mes)</t>
  </si>
  <si>
    <t>Consumo Agua (m3/mes)</t>
  </si>
  <si>
    <t>Costo Agua (soles/trim)</t>
  </si>
  <si>
    <t>Consumo Prorrateado (KWh/mes)</t>
  </si>
  <si>
    <t>Consumo (KWh/mes)</t>
  </si>
  <si>
    <t>Costo Energético (soles/trim)</t>
  </si>
  <si>
    <t>Costo Servicios</t>
  </si>
  <si>
    <t>Costo Mano de Obra Indirecta (Soles/trim)</t>
  </si>
  <si>
    <t>Costo Prorrateado</t>
  </si>
  <si>
    <t>Cantidad de Personal</t>
  </si>
  <si>
    <t>Sueldo Mensual</t>
  </si>
  <si>
    <t>Costo Asist. de Dis. y Des. del Prod. (soles/año)</t>
  </si>
  <si>
    <t>Costo Jefe de Dis y Des del Prod (soles/año)</t>
  </si>
  <si>
    <t>Costo Jefe de Calidad (soles/año)</t>
  </si>
  <si>
    <t>Costo Jefe de Prod y PCP (soles/trimestre)</t>
  </si>
  <si>
    <t>Mano de Obra Indirecta</t>
  </si>
  <si>
    <t>ESSALUD (9% RP)</t>
  </si>
  <si>
    <t>CTS (1/12 RP)</t>
  </si>
  <si>
    <t>Remuneración Promedio(RP)</t>
  </si>
  <si>
    <t>Gratificación (1/6 RPA)</t>
  </si>
  <si>
    <t>Remuneración Personal Anual (RPA)</t>
  </si>
  <si>
    <t>Factor de Beneficios Laborales</t>
  </si>
  <si>
    <t>Beneficios Laborales</t>
  </si>
  <si>
    <t>Costo Material Indirecto (Soles/trim)</t>
  </si>
  <si>
    <t>Precio (Soles/caja)</t>
  </si>
  <si>
    <t>Requerimiento (caja/trim)</t>
  </si>
  <si>
    <t>Costo Centrimetro (soles/trim)</t>
  </si>
  <si>
    <t>Precio (Soles/rollo)</t>
  </si>
  <si>
    <t>Requerimiento (rollo/trim)</t>
  </si>
  <si>
    <t>Costo Strech Film 20" (soles/trim)</t>
  </si>
  <si>
    <t>Precio (Soles/Lt)</t>
  </si>
  <si>
    <t>Requerimiento (Lt/trim)</t>
  </si>
  <si>
    <t>Costo Vinagre blanco (soles/trim)</t>
  </si>
  <si>
    <t>Precio (Soles/Gl)</t>
  </si>
  <si>
    <t>Requerimiento (Gl/trim)</t>
  </si>
  <si>
    <t>Costo Desmanchador industrial (soles/trim)</t>
  </si>
  <si>
    <t>Costo Alcohol (soles/trim)</t>
  </si>
  <si>
    <t>Precio (Soles/unid)</t>
  </si>
  <si>
    <t>Requerimiento (unid/trim)</t>
  </si>
  <si>
    <t>Costo Cartulinas para moldes (soles/trim)</t>
  </si>
  <si>
    <t>Costo Faja afiladora de cuchilla (soles/trim)</t>
  </si>
  <si>
    <t>Costo Cuchilla de corte (soles/trim)</t>
  </si>
  <si>
    <t>Costo Agujas de máquinas (soles/trim)</t>
  </si>
  <si>
    <t>Costo Papel para plotter y corte (soles/trim)</t>
  </si>
  <si>
    <t>Proyección de Costos Indirectos de Fabricación</t>
  </si>
  <si>
    <t>PROCESO DE CONFECCIÓN</t>
  </si>
  <si>
    <t>PROCESO DE CORTE</t>
  </si>
  <si>
    <t>Costo MOD Total (Soles/trim)</t>
  </si>
  <si>
    <t>Costo Unitario MOD en Acabado (Soles/pijama)</t>
  </si>
  <si>
    <t>Costo por HH</t>
  </si>
  <si>
    <t>Cantidad de HH Totales de Pijamas</t>
  </si>
  <si>
    <t>Tiempo Estandar (HH/pijama)</t>
  </si>
  <si>
    <t>Cantidad de HH Totales</t>
  </si>
  <si>
    <t>Costo MOD (Soles/trim)</t>
  </si>
  <si>
    <t>PROCESO DE ACABADO</t>
  </si>
  <si>
    <t>HH Teóricas por Operario al mes 2021</t>
  </si>
  <si>
    <t>Costo Mensual Operario Acabado 2021</t>
  </si>
  <si>
    <t>Costo Unitario MOD en Conf. (Soles/pijama)</t>
  </si>
  <si>
    <t>Costo Mensual Operario Confección 2021</t>
  </si>
  <si>
    <t>Costo Unitario MOD en Corte (Soles/pijama)</t>
  </si>
  <si>
    <t>Costo Mensual Operario Corte 2021</t>
  </si>
  <si>
    <t>Proyección de Costos de Mano de Obra Directa</t>
  </si>
  <si>
    <t>Costo Caja doble corrugada (soles/trim)</t>
  </si>
  <si>
    <t>Costo Sticker Bolsa (soles/trim)</t>
  </si>
  <si>
    <t>Costo Bolsa con Brillo (soles/trim)</t>
  </si>
  <si>
    <t>Costo Botones (soles/trim)</t>
  </si>
  <si>
    <t>Precio (Soles/Unidad)</t>
  </si>
  <si>
    <t>Requerimiento (und/trim)</t>
  </si>
  <si>
    <t>Costo Etiqueta de Talla (soles/trim)</t>
  </si>
  <si>
    <t>Precio (Soles/und)</t>
  </si>
  <si>
    <t>Costo Etiqueta de Marca (soles/trim)</t>
  </si>
  <si>
    <t>Precio (Soles/cono)</t>
  </si>
  <si>
    <t>Requerimiento (cono/trim)</t>
  </si>
  <si>
    <t>Costo Hilos de Coser (soles/trim)</t>
  </si>
  <si>
    <t>Precio (Soles/mts)</t>
  </si>
  <si>
    <t>Requerimiento (mts/trim)</t>
  </si>
  <si>
    <t>Costo Tricot (soles/trim)</t>
  </si>
  <si>
    <t>Precio (Soles/kg)</t>
  </si>
  <si>
    <t>Requerimiento (kg/trim)</t>
  </si>
  <si>
    <t>Costo Tela Gamuza (soles/trim)</t>
  </si>
  <si>
    <t>Proyección de Costo de Ventas</t>
  </si>
  <si>
    <t>Proyección de Costos</t>
  </si>
  <si>
    <t>Capacidad Instalada (%)</t>
  </si>
  <si>
    <t>Capacidad Instalada (Pijama/Trim)</t>
  </si>
  <si>
    <t>Precio (Soles/Pijama)</t>
  </si>
  <si>
    <t>Variación</t>
  </si>
  <si>
    <t>Volumen de ventas (Pijama/trim)</t>
  </si>
  <si>
    <t>Ventas (soles/año)</t>
  </si>
  <si>
    <t>Proyección de Ventas</t>
  </si>
  <si>
    <t>Proyección de Costos de Ventas</t>
  </si>
  <si>
    <t>Soles / Gruesas</t>
  </si>
  <si>
    <t>Requerimiento (gruesas/trim)</t>
  </si>
  <si>
    <t>Precio (Soles/gruesas)</t>
  </si>
  <si>
    <t>Gastos de Ventas (Soles/trim)</t>
  </si>
  <si>
    <t>Gasto Ventas Unitario (Soles/Pijamas)</t>
  </si>
  <si>
    <t>Gasto Administrativo Unitario (Soles/Pijamas)</t>
  </si>
  <si>
    <t>Gastos de Administración (Soles/trim)</t>
  </si>
  <si>
    <t>Gastos de Operación (Soles/trim)</t>
  </si>
  <si>
    <t>Gasto Operación Unitario (Soles/Pijamas)</t>
  </si>
  <si>
    <t>Costos Total de lo Vendido (Soles/trim)</t>
  </si>
  <si>
    <t>Costo Total Unitario (Soles/Pijamas)</t>
  </si>
  <si>
    <t>Inversion HH en la implementacion del plan</t>
  </si>
  <si>
    <t>% Reprocesos en Corte</t>
  </si>
  <si>
    <t>% Reprocesos en Confeccion</t>
  </si>
  <si>
    <t>% Reprocesos en Acabado</t>
  </si>
  <si>
    <t>Costo prom de Reprocesos por prenda en Corte</t>
  </si>
  <si>
    <t>Costo prom de Reprocesos por prenda en Confeccion</t>
  </si>
  <si>
    <t>Costo prom de Reprocesos por prenda en Acabado</t>
  </si>
  <si>
    <t>INVERSION TOTAL</t>
  </si>
  <si>
    <t>HH perdidas por operario</t>
  </si>
  <si>
    <t>Costo de HH prom de personal involucrado</t>
  </si>
  <si>
    <t>Elaboracion de la guia rapida de fallas de las maquinas</t>
  </si>
  <si>
    <t>Evaluar, medir y calcular los factores necesarios para el plan</t>
  </si>
  <si>
    <t>Elaboración y evaluacion de la distribucion por detalle de la planta</t>
  </si>
  <si>
    <t>Diagnóstico de la evaluacion de tiempos</t>
  </si>
  <si>
    <t>Capacitación metodología 5’s</t>
  </si>
  <si>
    <t>Análisis de las impertinencias y retrasos encontrados</t>
  </si>
  <si>
    <t>Costo promedio mensual de repuestos</t>
  </si>
  <si>
    <t>Costo Repuestos (soles/trim)</t>
  </si>
  <si>
    <t>Costo de MTTO de máquinas (soles/trim)</t>
  </si>
  <si>
    <t>Costo de Reprocesos (soles/trim)</t>
  </si>
  <si>
    <t>Costo promedio por limpieza y reciclaje de mermas (mensual)</t>
  </si>
  <si>
    <t>Proyección de Costo Total de lo Vendido</t>
  </si>
  <si>
    <t>Proyección Margen EBITDA</t>
  </si>
  <si>
    <t>Proyección de ingresos</t>
  </si>
  <si>
    <t>Ventas (soles/trim)</t>
  </si>
  <si>
    <t>Capacidad Instalada (Pijama/trim)</t>
  </si>
  <si>
    <t>Ingresos (soles/trim)</t>
  </si>
  <si>
    <t>Inversión en Activos Tangibles e Intangibles</t>
  </si>
  <si>
    <t>ÍTEM</t>
  </si>
  <si>
    <t>PARTIDA</t>
  </si>
  <si>
    <t>CANTIDAD</t>
  </si>
  <si>
    <t>UNIDAD</t>
  </si>
  <si>
    <t>PARCIAL S/.</t>
  </si>
  <si>
    <t>SUB TOTAL S/.</t>
  </si>
  <si>
    <t>und</t>
  </si>
  <si>
    <t>Activos Intangibles</t>
  </si>
  <si>
    <t>TOTAL S/.</t>
  </si>
  <si>
    <t>Inversión en Capital de Trabajo</t>
  </si>
  <si>
    <t>Capital de Trabajo Sin Proyecto</t>
  </si>
  <si>
    <t>Capital de Trabajo Con Proyecto</t>
  </si>
  <si>
    <t>Cálculo de los Gastos No Desembolsables</t>
  </si>
  <si>
    <t>Depreciación y Amortización Sin Proyecto</t>
  </si>
  <si>
    <t>Depreciación (soles/año)</t>
  </si>
  <si>
    <t>Amortización (soles/año)</t>
  </si>
  <si>
    <t>Depreciación y Amortización Con Proyecto</t>
  </si>
  <si>
    <t>Activos Intangibles (Proyecto)</t>
  </si>
  <si>
    <t>Valor Residual</t>
  </si>
  <si>
    <t>Plan de mejora de la Gestion Estrategica</t>
  </si>
  <si>
    <t>Elaboración y revisión del direccionamiento y control de los objetivos</t>
  </si>
  <si>
    <t>Plan de mejora de la Gestion por Procesos</t>
  </si>
  <si>
    <t>Costo por limpieza y reciclaje de mermas (soles/trim)</t>
  </si>
  <si>
    <t>Elaboración de manuales y procedimientos de los procesos</t>
  </si>
  <si>
    <t>Creación, evaluación y comparación de los indicadores</t>
  </si>
  <si>
    <t>Plan de mejora del Planeamiento de la Producción</t>
  </si>
  <si>
    <t>PLAN DE MEJORA DEL PLANEAMIENTO DE LA PRODUCCION</t>
  </si>
  <si>
    <t>PLAN DE MEJORA DEL CONTROL DE LA PRODUCCION</t>
  </si>
  <si>
    <t>Elaboracion del MRP y Plan Agregado de la Produccion</t>
  </si>
  <si>
    <t>Establecer del Sistema de Pronostico de la Demanda</t>
  </si>
  <si>
    <t>Elaboracion e Implementacion del Sistema Kardex</t>
  </si>
  <si>
    <t>Plan de mejora del Control de la Producción</t>
  </si>
  <si>
    <t>Plan de mejora de Control de Calidad</t>
  </si>
  <si>
    <t>Desarrollo de formatos y encuestas</t>
  </si>
  <si>
    <t>Seguimiento de la produccion</t>
  </si>
  <si>
    <t>Evaluacion de los reprocesos</t>
  </si>
  <si>
    <t>Plan de mejora de Mantenimiento</t>
  </si>
  <si>
    <t>Capacitación en el manejo de máquinas</t>
  </si>
  <si>
    <t>Evaluacion del mantenimiento y la elaboracion de los indicadores</t>
  </si>
  <si>
    <t>Plan de mejora del Clima Laboral</t>
  </si>
  <si>
    <t>Evaluacion del GTH</t>
  </si>
  <si>
    <t>Implementacion de programas</t>
  </si>
  <si>
    <t>Capacitaciones</t>
  </si>
  <si>
    <t>Plan de mejora de Seguridad y Salud en el Trabajo</t>
  </si>
  <si>
    <t>Evaluacion de peligros y riesgos</t>
  </si>
  <si>
    <t>Diagnostico y adaptación de la gestión de SST</t>
  </si>
  <si>
    <t>Plan de mejora de Redistribucion de la Planta</t>
  </si>
  <si>
    <t>Plan de mejora de Estudio de Tiempos</t>
  </si>
  <si>
    <t>Plan de mejora de las 5's</t>
  </si>
  <si>
    <t>Establecimiento de la metodología 5’s</t>
  </si>
  <si>
    <t>Costo de Alquiler Mensual por Piso</t>
  </si>
  <si>
    <t>Metro cuadrado por Piso</t>
  </si>
  <si>
    <t>Costo Alquiler (soles/trim)</t>
  </si>
  <si>
    <t>Pisos requeridos</t>
  </si>
  <si>
    <t>Costo de Alquiler Mensual (soles/piso)</t>
  </si>
  <si>
    <t>1.1.1</t>
  </si>
  <si>
    <t>1.1.2</t>
  </si>
  <si>
    <t>P. U. S/.</t>
  </si>
  <si>
    <t>Días promedio Cuentas por cobrar</t>
  </si>
  <si>
    <t>Inversión CT - Cuentas x cobrar (soles/trim)</t>
  </si>
  <si>
    <t>Inversión en CT (soles/trim)</t>
  </si>
  <si>
    <t>Incremental en CT (soles/trim)</t>
  </si>
  <si>
    <t>Recuperación de CT (soles/trim)</t>
  </si>
  <si>
    <t>V. Libros Trim 4</t>
  </si>
  <si>
    <t>Depreciación (soles/trim)</t>
  </si>
  <si>
    <t>Activos Tangibles al Trim.0</t>
  </si>
  <si>
    <t>Activos Intangibles al Trim.0</t>
  </si>
  <si>
    <t>Financiamiento (Servicio a la Deuda)</t>
  </si>
  <si>
    <t>Tasa de Descuento</t>
  </si>
  <si>
    <t>Método CAPM</t>
  </si>
  <si>
    <t>COK</t>
  </si>
  <si>
    <t>rf + bap (r m - rf) + Spread riesgo país (Rp)</t>
  </si>
  <si>
    <t>rf</t>
  </si>
  <si>
    <t>http://finance.yahoo.com/bonds</t>
  </si>
  <si>
    <t>b desap</t>
  </si>
  <si>
    <t>http://people.stern.nyu.edu/adamodar/New_Home_Page/datafile/Betas.html</t>
  </si>
  <si>
    <t>IR</t>
  </si>
  <si>
    <t>Pasivo</t>
  </si>
  <si>
    <t>Balance general empresa</t>
  </si>
  <si>
    <t>Patrimonio</t>
  </si>
  <si>
    <t>b ap</t>
  </si>
  <si>
    <t>b x ( 1 + (1 – t ) * Pasivo / patrimonio)</t>
  </si>
  <si>
    <t>rm-rf</t>
  </si>
  <si>
    <t>http://people.stern.nyu.edu/adamodar/New_Home_Page/datafile/histretSP.html</t>
  </si>
  <si>
    <t>Rp (EMBI)</t>
  </si>
  <si>
    <t>Costo de equipos de SST</t>
  </si>
  <si>
    <t>Seguridad en la planta (anual)</t>
  </si>
  <si>
    <t>Materiales y EPP'S (anual)</t>
  </si>
  <si>
    <t>1.2.1</t>
  </si>
  <si>
    <t>1.2.2</t>
  </si>
  <si>
    <t>1.2.3</t>
  </si>
  <si>
    <t>1.3.1</t>
  </si>
  <si>
    <t>1.3.2</t>
  </si>
  <si>
    <t>1.3.3</t>
  </si>
  <si>
    <t>1.3.4</t>
  </si>
  <si>
    <t>1.4.1</t>
  </si>
  <si>
    <t>1.5.1</t>
  </si>
  <si>
    <t>1.5.2</t>
  </si>
  <si>
    <t>1.5.3</t>
  </si>
  <si>
    <t>1.5.4</t>
  </si>
  <si>
    <t>1.6.1</t>
  </si>
  <si>
    <t>1.6.2</t>
  </si>
  <si>
    <t>1.6.3</t>
  </si>
  <si>
    <t>1.6.4</t>
  </si>
  <si>
    <t>1.7.1</t>
  </si>
  <si>
    <t>1.7.2</t>
  </si>
  <si>
    <t>1.7.3</t>
  </si>
  <si>
    <t>1.7.4</t>
  </si>
  <si>
    <t>1.8.1</t>
  </si>
  <si>
    <t>1.8.2</t>
  </si>
  <si>
    <t>1.8.3</t>
  </si>
  <si>
    <t>1.8.4</t>
  </si>
  <si>
    <t>1.9.1</t>
  </si>
  <si>
    <t>1.9.2</t>
  </si>
  <si>
    <t>1.9.3</t>
  </si>
  <si>
    <t>1.10.1</t>
  </si>
  <si>
    <t>1.10.2</t>
  </si>
  <si>
    <t>1.10.3</t>
  </si>
  <si>
    <t>1.10</t>
  </si>
  <si>
    <t>1.11.1</t>
  </si>
  <si>
    <t>1.11.2</t>
  </si>
  <si>
    <t>1.11.3</t>
  </si>
  <si>
    <t>Costo de Oportunidad</t>
  </si>
  <si>
    <t>Flujo de Caja Económico Incremental</t>
  </si>
  <si>
    <t>Ingresos</t>
  </si>
  <si>
    <t>Costos de Fab. (Sin Depr)</t>
  </si>
  <si>
    <t>Utilidad Bruta</t>
  </si>
  <si>
    <t>G. Administración</t>
  </si>
  <si>
    <t>G. Ventas</t>
  </si>
  <si>
    <t>Depreciación</t>
  </si>
  <si>
    <t>Amortizaci.</t>
  </si>
  <si>
    <t>Utilidad Operativa (EBIT)</t>
  </si>
  <si>
    <t>Impuesto Renta (29.5%)</t>
  </si>
  <si>
    <t>Utilidad Neta</t>
  </si>
  <si>
    <t>F.C. Operativo</t>
  </si>
  <si>
    <t>Inv. Tangibles</t>
  </si>
  <si>
    <t>Inv. Intangibles</t>
  </si>
  <si>
    <t>Inv. Capital de Trabajo</t>
  </si>
  <si>
    <t>Recuperación de CT</t>
  </si>
  <si>
    <t>V.R.</t>
  </si>
  <si>
    <t>F.C. de Inversiones</t>
  </si>
  <si>
    <t>F.C. Económico Sin Proy.</t>
  </si>
  <si>
    <t>F.C. Económico Con Proy.</t>
  </si>
  <si>
    <t>F.C. Eco. Incremental</t>
  </si>
  <si>
    <t>VA</t>
  </si>
  <si>
    <t>VA Acumulado</t>
  </si>
  <si>
    <t>Evaluación de Proyectos (Nivel I) - Indicadores de Evaluación</t>
  </si>
  <si>
    <t>VANE</t>
  </si>
  <si>
    <t>TIRE</t>
  </si>
  <si>
    <t>B/C E</t>
  </si>
  <si>
    <t>Payback Económico</t>
  </si>
  <si>
    <t>Evaluación de Proyectos (Nivel II) - Análisis de Escenarios</t>
  </si>
  <si>
    <t>Variables Independientes</t>
  </si>
  <si>
    <t>E. Moderado</t>
  </si>
  <si>
    <t>Cuenta</t>
  </si>
  <si>
    <t>%</t>
  </si>
  <si>
    <t>Efectivo y Equivalentes al Efectivo</t>
  </si>
  <si>
    <t>Otros Activos Financieros</t>
  </si>
  <si>
    <t>Cuentas por Cobrar Comerciales y Otras Cuentas por Cobrar</t>
  </si>
  <si>
    <t>Cuentas por Cobrar Comerciales</t>
  </si>
  <si>
    <t>Cuentas por Cobrar a Entidades Relacionadas</t>
  </si>
  <si>
    <t>Otras Cuentas por Cobrar</t>
  </si>
  <si>
    <t>Anticipos</t>
  </si>
  <si>
    <t>Inventarios</t>
  </si>
  <si>
    <t>Activos Biológicos</t>
  </si>
  <si>
    <t>Activos por Impuestos a las Ganancias</t>
  </si>
  <si>
    <t>Otros Activos no Financieros</t>
  </si>
  <si>
    <t>Activos Corrientes Distintos al Efectivo Pignorados como Garantía Colateral</t>
  </si>
  <si>
    <t>Total Activos Corrientes Distintos de los Activos no Corrientes o Grupos de Activos para su Disposición Clasificados como Mantenidos para la Venta o para Distribuir a los Propietarios</t>
  </si>
  <si>
    <t>Activos no Corrientes o Grupos de Activos para su Disposición Clasificados como Mantenidos para la Venta o como Mantenidos para Distribuir a los Propietarios</t>
  </si>
  <si>
    <t>Total Activos Corrientes</t>
  </si>
  <si>
    <t>Inversiones Contabilizadas Aplicando el Método de la Participación</t>
  </si>
  <si>
    <t>Propiedades de Inversión</t>
  </si>
  <si>
    <t>Propiedades, Planta y Equipo</t>
  </si>
  <si>
    <t>Activos Intangibles Distintos de la Plusvalía</t>
  </si>
  <si>
    <t>Activos por Impuestos Corrientes, no Corrientes</t>
  </si>
  <si>
    <t>Plusvalía</t>
  </si>
  <si>
    <t>Activos no Corrientes Distintos al Efectivo Pignorados como Garantía Colateral</t>
  </si>
  <si>
    <t>Total Activos No Corrientes</t>
  </si>
  <si>
    <t>TOTAL ACTIVOS</t>
  </si>
  <si>
    <t>Otros Pasivos Financieros</t>
  </si>
  <si>
    <t>Cuentas por Pagar Comerciales y Otras Cuentas por Pagar</t>
  </si>
  <si>
    <t>Cuentas por Pagar Comerciales</t>
  </si>
  <si>
    <t>Cuentas por Pagar a Entidades Relacionadas</t>
  </si>
  <si>
    <t>Otras Cuentas por Pagar</t>
  </si>
  <si>
    <t>Ingresos Diferidos</t>
  </si>
  <si>
    <t>Provisión por Beneficios a los Empleados</t>
  </si>
  <si>
    <t>Otras Provisiones</t>
  </si>
  <si>
    <t>Pasivos por Impuestos a las Ganancias</t>
  </si>
  <si>
    <t>Otros Pasivos no Financieros</t>
  </si>
  <si>
    <t>Total Pasivos Corrientes Distintos de Pasivos Incluidos en Grupos de Activos para su Disposición Clasificados como Mantenidos para la Venta</t>
  </si>
  <si>
    <t>Pasivos incluidos en Grupos de Activos para su Disposición Clasificados como Mantenidos para la Venta</t>
  </si>
  <si>
    <t>Total Pasivos Corrientes</t>
  </si>
  <si>
    <t>Pasivos por Impuestos Diferidos</t>
  </si>
  <si>
    <t>Pasivos por Impuestos Corrientes, no Corriente</t>
  </si>
  <si>
    <t>Total Pasivos No Corrientes</t>
  </si>
  <si>
    <t>Total Pasivos</t>
  </si>
  <si>
    <t>Capital Emitido</t>
  </si>
  <si>
    <t>Primas de Emisión</t>
  </si>
  <si>
    <t>Acciones de Inversión</t>
  </si>
  <si>
    <t>Acciones Propias en Cartera</t>
  </si>
  <si>
    <t>Otras Reservas de Capital</t>
  </si>
  <si>
    <t>Resultados Acumulados</t>
  </si>
  <si>
    <t>Otras Reservas de Patrimonio</t>
  </si>
  <si>
    <t>Patrimonio Atribuible a los Propietarios de la Controladora</t>
  </si>
  <si>
    <t>Participaciones no Controladoras</t>
  </si>
  <si>
    <t>Total Patrimonio</t>
  </si>
  <si>
    <t>TOTAL PASIVOS Y PATRIMONIO</t>
  </si>
  <si>
    <t>https://gestion.pe/economia/riesgo-pais-de-peru-baja-12-puntos-y-cierra-en-163-puntos-porcentuales-economia-noticia/</t>
  </si>
  <si>
    <t>Costos Indirectos de Fabricación</t>
  </si>
  <si>
    <t>Capacidad de Planta (Pijamas Mensual)</t>
  </si>
  <si>
    <t>HH perdidas GE</t>
  </si>
  <si>
    <t>HH perdidas GP</t>
  </si>
  <si>
    <t>HH perdidas Clima Laboral</t>
  </si>
  <si>
    <t>HH perdidas SST</t>
  </si>
  <si>
    <t>HH perdidas ET</t>
  </si>
  <si>
    <t xml:space="preserve">Análisis de Sensibilidad Univariado </t>
  </si>
  <si>
    <t>VAN del Proyecto</t>
  </si>
  <si>
    <t>TIR del Proyecto</t>
  </si>
  <si>
    <t>B/C del Proyecto</t>
  </si>
  <si>
    <t>Payback del Proyecto</t>
  </si>
  <si>
    <t>Productos defectuosos</t>
  </si>
  <si>
    <t>Análisis de Sensibilidad Multivariado</t>
  </si>
  <si>
    <t>Reprocesos en Confeccion</t>
  </si>
  <si>
    <t>WACC</t>
  </si>
  <si>
    <t>Conversión de COK a Tasa Trimestral</t>
  </si>
  <si>
    <t>No existe financiamiento externo</t>
  </si>
  <si>
    <t>Pesimista</t>
  </si>
  <si>
    <t>Moderado</t>
  </si>
  <si>
    <t>Optimista</t>
  </si>
  <si>
    <t>Resumen del escenario</t>
  </si>
  <si>
    <t>Celdas cambiantes:</t>
  </si>
  <si>
    <t>Valores actuales:</t>
  </si>
  <si>
    <t>Celdas de resultado:</t>
  </si>
  <si>
    <t>Notas: La columna de valores actuales representa los valores de las celdas cambiantes</t>
  </si>
  <si>
    <t>en el momento en que se creó el Informe resumen de escenario. Las celdas cambiantes de</t>
  </si>
  <si>
    <t>cada escenario se muestran en gris.</t>
  </si>
  <si>
    <t>Ingresos de Actividades Ordinarias</t>
  </si>
  <si>
    <t>Costo de Ventas</t>
  </si>
  <si>
    <t>Ganancia (Pérdida) Bruta</t>
  </si>
  <si>
    <t>Gastos de Administración</t>
  </si>
  <si>
    <t>Otros Ingresos Operativos</t>
  </si>
  <si>
    <t>Otros Gastos Operativos</t>
  </si>
  <si>
    <t>Otras Ganancias (Pérdidas)</t>
  </si>
  <si>
    <t>Ganancia (Pérdida) Operativa</t>
  </si>
  <si>
    <t>Ingresos Financieros</t>
  </si>
  <si>
    <t>Gastos Financieros</t>
  </si>
  <si>
    <t>Diferencias de Cambio Neto</t>
  </si>
  <si>
    <t>Ganancia (Pérdida) antes de Impuestos</t>
  </si>
  <si>
    <t>Ingreso (Gasto) por Impuesto</t>
  </si>
  <si>
    <t>Ganancia (Pérdida) Neta de Operaciones Continuadas</t>
  </si>
  <si>
    <t>Ganancia (Pérdida) Neta del Ejercicio</t>
  </si>
  <si>
    <t xml:space="preserve">Activos por Impuestos Diferidos </t>
  </si>
  <si>
    <t>Junio - Agosto 2021</t>
  </si>
  <si>
    <t>Setiembre - Noviembre 2021</t>
  </si>
  <si>
    <t xml:space="preserve">Gastos de Ventas </t>
  </si>
  <si>
    <t xml:space="preserve">Estado de Resultados de la empresa Texmaya </t>
  </si>
  <si>
    <t xml:space="preserve">Estado de Situacion Financiera de la empresa Texmaya </t>
  </si>
  <si>
    <t>Capacidad Total (Pijama/trim)</t>
  </si>
  <si>
    <t>Capacidad Total (Pijama/Trim)</t>
  </si>
  <si>
    <t>Proyección de Costos de Material Directo</t>
  </si>
  <si>
    <t>Costo MD en Corte (Soles/trim)</t>
  </si>
  <si>
    <t>Costo Unitario MD en Corte (Soles/Pijama)</t>
  </si>
  <si>
    <t>Costo MD en Conf. (Soles/trim)</t>
  </si>
  <si>
    <t>Costo Unitario MD en Conf. (Soles/Pijama)</t>
  </si>
  <si>
    <t>Costo MD en Acabado (Soles/trim)</t>
  </si>
  <si>
    <t>Costo Unitario MD en Acabado (Soles/Pijama)</t>
  </si>
  <si>
    <t>Costo MD Total (Soles/trim)</t>
  </si>
  <si>
    <t>Creado por Usuario el 8/06/2022
Modificado por Usuario el 8/06/2022</t>
  </si>
  <si>
    <t>Centimetro (caja de 12 unidades)</t>
  </si>
  <si>
    <t>https://www.gob.pe/7021-drawback-tramitar-el-drawback</t>
  </si>
  <si>
    <t>Julio</t>
  </si>
  <si>
    <t>Jul-Set 2022</t>
  </si>
  <si>
    <t>Oct-Dic 2022</t>
  </si>
  <si>
    <t>Ene-Mar 2022</t>
  </si>
  <si>
    <t>Abr-Jun 2023</t>
  </si>
  <si>
    <t>Abr-Jun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</si>
</sst>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&quot;S/&quot;\ #,##0.00"/>
    <numFmt numFmtId="165" formatCode="0.000"/>
    <numFmt numFmtId="166" formatCode="0.0000"/>
    <numFmt numFmtId="167" formatCode="#,##0.000"/>
    <numFmt numFmtId="168" formatCode="0.0%"/>
    <numFmt numFmtId="169" formatCode="_ * #,##0.00_ ;_ * \-#,##0.00_ ;_ * &quot;-&quot;??_ ;_ @_ "/>
    <numFmt numFmtId="170" formatCode="0.000%"/>
    <numFmt numFmtId="171" formatCode="_ &quot;S.&quot;\ * #,##0.00_ ;_ &quot;S.&quot;\ * \-#,##0.00_ ;_ &quot;S.&quot;\ * &quot;-&quot;??_ ;_ @_ "/>
    <numFmt numFmtId="172" formatCode="&quot;S/&quot;#,##0.00;[Red]&quot;S/&quot;#,##0.00"/>
    <numFmt numFmtId="173" formatCode="&quot;S/&quot;\ #,##0.00;[Red]&quot;S/&quot;\ #,##0.00"/>
    <numFmt numFmtId="174" formatCode="&quot;S/&quot;\ #,##0;[Red]&quot;S/&quot;\ #,##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0"/>
      <color theme="1"/>
      <name val="Trebuchet MS"/>
      <family val="2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0"/>
      <color theme="0"/>
      <name val="Trebuchet MS"/>
      <family val="2"/>
    </font>
    <font>
      <sz val="8"/>
      <name val="Arial"/>
      <family val="2"/>
    </font>
    <font>
      <i/>
      <sz val="10"/>
      <color theme="0"/>
      <name val="Trebuchet MS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9"/>
      <color theme="0"/>
      <name val="Trebuchet MS"/>
      <family val="2"/>
    </font>
    <font>
      <sz val="9"/>
      <color theme="1"/>
      <name val="Trebuchet MS"/>
      <family val="2"/>
    </font>
    <font>
      <b/>
      <sz val="9"/>
      <name val="Trebuchet MS"/>
      <family val="2"/>
    </font>
    <font>
      <sz val="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u/>
      <sz val="9"/>
      <color theme="1"/>
      <name val="Trebuchet MS"/>
      <family val="2"/>
    </font>
    <font>
      <b/>
      <sz val="8"/>
      <color rgb="FFFFFFFF"/>
      <name val="Trebuchet MS"/>
      <family val="2"/>
    </font>
    <font>
      <sz val="8"/>
      <color theme="1"/>
      <name val="Trebuchet MS"/>
      <family val="2"/>
    </font>
    <font>
      <sz val="8"/>
      <color rgb="FF000000"/>
      <name val="Trebuchet MS"/>
      <family val="2"/>
    </font>
    <font>
      <b/>
      <sz val="8"/>
      <color theme="0"/>
      <name val="Trebuchet MS"/>
      <family val="2"/>
    </font>
    <font>
      <b/>
      <sz val="8"/>
      <color theme="1"/>
      <name val="Trebuchet MS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337AB6"/>
        <bgColor indexed="64"/>
      </patternFill>
    </fill>
    <fill>
      <patternFill patternType="solid">
        <fgColor rgb="FFBDBDBD"/>
        <bgColor indexed="64"/>
      </patternFill>
    </fill>
  </fills>
  <borders count="3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6" fillId="0" borderId="0"/>
    <xf numFmtId="169" fontId="18" fillId="0" borderId="0" applyFont="0" applyFill="0" applyBorder="0" applyAlignment="0" applyProtection="0"/>
    <xf numFmtId="0" fontId="16" fillId="0" borderId="0"/>
    <xf numFmtId="171" fontId="18" fillId="0" borderId="0">
      <protection locked="0"/>
    </xf>
  </cellStyleXfs>
  <cellXfs count="279">
    <xf numFmtId="0" fontId="0" fillId="0" borderId="0" xfId="0"/>
    <xf numFmtId="3" fontId="0" fillId="0" borderId="0" xfId="0" applyNumberFormat="1"/>
    <xf numFmtId="3" fontId="0" fillId="2" borderId="1" xfId="0" applyNumberFormat="1" applyFill="1" applyBorder="1" applyAlignment="1">
      <alignment horizontal="center"/>
    </xf>
    <xf numFmtId="17" fontId="0" fillId="3" borderId="1" xfId="0" applyNumberForma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9" fontId="2" fillId="5" borderId="1" xfId="1" applyFont="1" applyFill="1" applyBorder="1" applyAlignment="1">
      <alignment horizontal="center"/>
    </xf>
    <xf numFmtId="0" fontId="2" fillId="5" borderId="1" xfId="0" applyFont="1" applyFill="1" applyBorder="1"/>
    <xf numFmtId="3" fontId="0" fillId="6" borderId="0" xfId="0" applyNumberFormat="1" applyFill="1" applyAlignment="1">
      <alignment horizontal="center"/>
    </xf>
    <xf numFmtId="3" fontId="0" fillId="7" borderId="0" xfId="0" applyNumberFormat="1" applyFill="1" applyAlignment="1">
      <alignment horizontal="center"/>
    </xf>
    <xf numFmtId="3" fontId="0" fillId="8" borderId="1" xfId="0" applyNumberFormat="1" applyFill="1" applyBorder="1" applyAlignment="1">
      <alignment horizontal="center"/>
    </xf>
    <xf numFmtId="3" fontId="0" fillId="9" borderId="1" xfId="0" applyNumberFormat="1" applyFill="1" applyBorder="1" applyAlignment="1">
      <alignment horizontal="center"/>
    </xf>
    <xf numFmtId="9" fontId="3" fillId="10" borderId="2" xfId="1" applyFont="1" applyFill="1" applyBorder="1" applyAlignment="1">
      <alignment horizontal="center"/>
    </xf>
    <xf numFmtId="9" fontId="3" fillId="10" borderId="3" xfId="1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0" fillId="0" borderId="0" xfId="0" quotePrefix="1" applyAlignment="1">
      <alignment horizontal="center"/>
    </xf>
    <xf numFmtId="3" fontId="3" fillId="0" borderId="5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left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0" xfId="2"/>
    <xf numFmtId="0" fontId="2" fillId="16" borderId="1" xfId="0" applyFont="1" applyFill="1" applyBorder="1"/>
    <xf numFmtId="10" fontId="0" fillId="2" borderId="1" xfId="1" applyNumberFormat="1" applyFont="1" applyFill="1" applyBorder="1" applyAlignment="1">
      <alignment horizontal="center"/>
    </xf>
    <xf numFmtId="4" fontId="0" fillId="2" borderId="1" xfId="0" applyNumberFormat="1" applyFill="1" applyBorder="1" applyAlignment="1">
      <alignment horizontal="center"/>
    </xf>
    <xf numFmtId="0" fontId="6" fillId="2" borderId="1" xfId="0" applyFont="1" applyFill="1" applyBorder="1"/>
    <xf numFmtId="0" fontId="2" fillId="4" borderId="0" xfId="0" applyFont="1" applyFill="1" applyAlignment="1">
      <alignment horizontal="center"/>
    </xf>
    <xf numFmtId="2" fontId="0" fillId="0" borderId="0" xfId="0" applyNumberFormat="1"/>
    <xf numFmtId="0" fontId="7" fillId="0" borderId="0" xfId="0" applyFont="1"/>
    <xf numFmtId="164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4" borderId="1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65" fontId="0" fillId="2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8" fillId="2" borderId="1" xfId="0" applyNumberFormat="1" applyFon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1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5" borderId="0" xfId="0" applyFont="1" applyFill="1"/>
    <xf numFmtId="0" fontId="9" fillId="0" borderId="0" xfId="0" applyFont="1"/>
    <xf numFmtId="4" fontId="11" fillId="2" borderId="11" xfId="0" applyNumberFormat="1" applyFont="1" applyFill="1" applyBorder="1"/>
    <xf numFmtId="167" fontId="11" fillId="2" borderId="11" xfId="0" applyNumberFormat="1" applyFont="1" applyFill="1" applyBorder="1"/>
    <xf numFmtId="0" fontId="10" fillId="18" borderId="1" xfId="0" applyFont="1" applyFill="1" applyBorder="1"/>
    <xf numFmtId="2" fontId="11" fillId="2" borderId="11" xfId="0" applyNumberFormat="1" applyFont="1" applyFill="1" applyBorder="1"/>
    <xf numFmtId="2" fontId="11" fillId="2" borderId="11" xfId="1" applyNumberFormat="1" applyFont="1" applyFill="1" applyBorder="1"/>
    <xf numFmtId="0" fontId="10" fillId="18" borderId="1" xfId="0" applyFont="1" applyFill="1" applyBorder="1" applyAlignment="1">
      <alignment horizontal="center"/>
    </xf>
    <xf numFmtId="0" fontId="11" fillId="0" borderId="0" xfId="0" applyFont="1"/>
    <xf numFmtId="0" fontId="12" fillId="0" borderId="0" xfId="0" applyFont="1"/>
    <xf numFmtId="9" fontId="11" fillId="2" borderId="11" xfId="1" applyFont="1" applyFill="1" applyBorder="1"/>
    <xf numFmtId="9" fontId="11" fillId="2" borderId="11" xfId="0" applyNumberFormat="1" applyFont="1" applyFill="1" applyBorder="1"/>
    <xf numFmtId="1" fontId="11" fillId="2" borderId="11" xfId="1" applyNumberFormat="1" applyFont="1" applyFill="1" applyBorder="1"/>
    <xf numFmtId="1" fontId="11" fillId="2" borderId="11" xfId="0" applyNumberFormat="1" applyFont="1" applyFill="1" applyBorder="1"/>
    <xf numFmtId="10" fontId="11" fillId="2" borderId="11" xfId="1" applyNumberFormat="1" applyFont="1" applyFill="1" applyBorder="1"/>
    <xf numFmtId="10" fontId="11" fillId="2" borderId="11" xfId="0" applyNumberFormat="1" applyFont="1" applyFill="1" applyBorder="1"/>
    <xf numFmtId="168" fontId="11" fillId="2" borderId="11" xfId="1" applyNumberFormat="1" applyFont="1" applyFill="1" applyBorder="1"/>
    <xf numFmtId="10" fontId="12" fillId="0" borderId="14" xfId="1" applyNumberFormat="1" applyFont="1" applyBorder="1" applyAlignment="1">
      <alignment horizontal="center"/>
    </xf>
    <xf numFmtId="0" fontId="12" fillId="0" borderId="15" xfId="0" applyFont="1" applyBorder="1"/>
    <xf numFmtId="0" fontId="10" fillId="4" borderId="1" xfId="0" applyFont="1" applyFill="1" applyBorder="1" applyAlignment="1">
      <alignment horizontal="center"/>
    </xf>
    <xf numFmtId="4" fontId="13" fillId="19" borderId="1" xfId="0" applyNumberFormat="1" applyFont="1" applyFill="1" applyBorder="1" applyAlignment="1">
      <alignment horizontal="center"/>
    </xf>
    <xf numFmtId="0" fontId="14" fillId="19" borderId="1" xfId="0" applyFont="1" applyFill="1" applyBorder="1" applyAlignment="1">
      <alignment horizontal="center"/>
    </xf>
    <xf numFmtId="0" fontId="13" fillId="19" borderId="1" xfId="0" applyFont="1" applyFill="1" applyBorder="1"/>
    <xf numFmtId="4" fontId="10" fillId="16" borderId="1" xfId="0" applyNumberFormat="1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0" fontId="10" fillId="16" borderId="1" xfId="0" applyFont="1" applyFill="1" applyBorder="1"/>
    <xf numFmtId="4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/>
    <xf numFmtId="4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4" fontId="11" fillId="20" borderId="1" xfId="0" applyNumberFormat="1" applyFont="1" applyFill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12" fillId="20" borderId="1" xfId="0" applyFont="1" applyFill="1" applyBorder="1"/>
    <xf numFmtId="0" fontId="11" fillId="2" borderId="1" xfId="0" applyFont="1" applyFill="1" applyBorder="1" applyAlignment="1">
      <alignment horizontal="left" indent="1"/>
    </xf>
    <xf numFmtId="4" fontId="11" fillId="0" borderId="0" xfId="0" applyNumberFormat="1" applyFont="1"/>
    <xf numFmtId="3" fontId="11" fillId="2" borderId="1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5" fillId="17" borderId="1" xfId="0" applyFont="1" applyFill="1" applyBorder="1" applyAlignment="1">
      <alignment horizontal="center"/>
    </xf>
    <xf numFmtId="4" fontId="11" fillId="2" borderId="1" xfId="0" applyNumberFormat="1" applyFont="1" applyFill="1" applyBorder="1" applyAlignment="1">
      <alignment horizontal="right"/>
    </xf>
    <xf numFmtId="0" fontId="11" fillId="2" borderId="1" xfId="0" applyFont="1" applyFill="1" applyBorder="1"/>
    <xf numFmtId="0" fontId="11" fillId="21" borderId="0" xfId="0" applyFont="1" applyFill="1"/>
    <xf numFmtId="4" fontId="13" fillId="20" borderId="1" xfId="3" applyNumberFormat="1" applyFont="1" applyFill="1" applyBorder="1" applyAlignment="1">
      <alignment horizontal="right" vertical="center"/>
    </xf>
    <xf numFmtId="0" fontId="13" fillId="20" borderId="1" xfId="3" applyFont="1" applyFill="1" applyBorder="1" applyAlignment="1">
      <alignment horizontal="left" vertical="center"/>
    </xf>
    <xf numFmtId="0" fontId="11" fillId="0" borderId="0" xfId="0" applyFont="1" applyAlignment="1">
      <alignment horizontal="center"/>
    </xf>
    <xf numFmtId="4" fontId="11" fillId="0" borderId="0" xfId="0" applyNumberFormat="1" applyFont="1" applyAlignment="1">
      <alignment horizontal="center"/>
    </xf>
    <xf numFmtId="10" fontId="17" fillId="12" borderId="1" xfId="1" applyNumberFormat="1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0" fontId="17" fillId="12" borderId="1" xfId="0" applyFont="1" applyFill="1" applyBorder="1"/>
    <xf numFmtId="4" fontId="11" fillId="7" borderId="1" xfId="0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1" fillId="7" borderId="1" xfId="0" applyFont="1" applyFill="1" applyBorder="1"/>
    <xf numFmtId="10" fontId="11" fillId="2" borderId="1" xfId="1" applyNumberFormat="1" applyFont="1" applyFill="1" applyBorder="1" applyAlignment="1">
      <alignment horizontal="center"/>
    </xf>
    <xf numFmtId="0" fontId="15" fillId="22" borderId="1" xfId="0" applyFont="1" applyFill="1" applyBorder="1" applyAlignment="1">
      <alignment horizontal="center"/>
    </xf>
    <xf numFmtId="164" fontId="11" fillId="2" borderId="11" xfId="0" applyNumberFormat="1" applyFont="1" applyFill="1" applyBorder="1"/>
    <xf numFmtId="164" fontId="11" fillId="2" borderId="11" xfId="1" applyNumberFormat="1" applyFont="1" applyFill="1" applyBorder="1"/>
    <xf numFmtId="0" fontId="10" fillId="18" borderId="1" xfId="0" applyFont="1" applyFill="1" applyBorder="1" applyAlignment="1">
      <alignment wrapText="1"/>
    </xf>
    <xf numFmtId="164" fontId="11" fillId="2" borderId="11" xfId="0" applyNumberFormat="1" applyFont="1" applyFill="1" applyBorder="1" applyAlignment="1">
      <alignment vertical="center"/>
    </xf>
    <xf numFmtId="0" fontId="13" fillId="19" borderId="17" xfId="0" applyFont="1" applyFill="1" applyBorder="1" applyAlignment="1">
      <alignment horizontal="center"/>
    </xf>
    <xf numFmtId="1" fontId="11" fillId="2" borderId="11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4" borderId="1" xfId="3" applyFont="1" applyFill="1" applyBorder="1" applyAlignment="1">
      <alignment horizontal="center" vertical="center"/>
    </xf>
    <xf numFmtId="0" fontId="10" fillId="4" borderId="1" xfId="3" applyFont="1" applyFill="1" applyBorder="1" applyAlignment="1">
      <alignment horizontal="center" vertical="center" wrapText="1"/>
    </xf>
    <xf numFmtId="0" fontId="13" fillId="20" borderId="1" xfId="3" applyFont="1" applyFill="1" applyBorder="1" applyAlignment="1">
      <alignment horizontal="center" vertical="center"/>
    </xf>
    <xf numFmtId="0" fontId="13" fillId="20" borderId="1" xfId="3" applyFont="1" applyFill="1" applyBorder="1" applyAlignment="1">
      <alignment vertical="center"/>
    </xf>
    <xf numFmtId="4" fontId="13" fillId="20" borderId="1" xfId="4" applyNumberFormat="1" applyFont="1" applyFill="1" applyBorder="1" applyAlignment="1">
      <alignment horizontal="right" vertical="center"/>
    </xf>
    <xf numFmtId="2" fontId="14" fillId="2" borderId="1" xfId="3" applyNumberFormat="1" applyFont="1" applyFill="1" applyBorder="1" applyAlignment="1">
      <alignment horizontal="center" vertical="center"/>
    </xf>
    <xf numFmtId="0" fontId="14" fillId="2" borderId="1" xfId="5" applyFont="1" applyFill="1" applyBorder="1" applyAlignment="1">
      <alignment vertical="center"/>
    </xf>
    <xf numFmtId="0" fontId="14" fillId="2" borderId="1" xfId="3" applyFont="1" applyFill="1" applyBorder="1" applyAlignment="1">
      <alignment horizontal="center" vertical="center"/>
    </xf>
    <xf numFmtId="4" fontId="14" fillId="2" borderId="1" xfId="4" applyNumberFormat="1" applyFont="1" applyFill="1" applyBorder="1" applyAlignment="1">
      <alignment horizontal="right" vertical="center"/>
    </xf>
    <xf numFmtId="0" fontId="10" fillId="16" borderId="1" xfId="0" applyFont="1" applyFill="1" applyBorder="1" applyAlignment="1">
      <alignment horizontal="center"/>
    </xf>
    <xf numFmtId="2" fontId="14" fillId="2" borderId="1" xfId="3" applyNumberFormat="1" applyFont="1" applyFill="1" applyBorder="1" applyAlignment="1">
      <alignment horizontal="left" vertical="center"/>
    </xf>
    <xf numFmtId="0" fontId="10" fillId="16" borderId="1" xfId="0" applyFont="1" applyFill="1" applyBorder="1" applyAlignment="1">
      <alignment horizontal="left"/>
    </xf>
    <xf numFmtId="4" fontId="13" fillId="20" borderId="1" xfId="3" applyNumberFormat="1" applyFont="1" applyFill="1" applyBorder="1" applyAlignment="1">
      <alignment vertical="center"/>
    </xf>
    <xf numFmtId="4" fontId="13" fillId="23" borderId="1" xfId="3" applyNumberFormat="1" applyFont="1" applyFill="1" applyBorder="1" applyAlignment="1">
      <alignment vertical="center" wrapText="1"/>
    </xf>
    <xf numFmtId="3" fontId="11" fillId="2" borderId="1" xfId="0" applyNumberFormat="1" applyFont="1" applyFill="1" applyBorder="1"/>
    <xf numFmtId="4" fontId="11" fillId="2" borderId="1" xfId="0" applyNumberFormat="1" applyFont="1" applyFill="1" applyBorder="1"/>
    <xf numFmtId="0" fontId="14" fillId="24" borderId="1" xfId="3" applyFont="1" applyFill="1" applyBorder="1" applyAlignment="1">
      <alignment vertical="center"/>
    </xf>
    <xf numFmtId="0" fontId="14" fillId="24" borderId="1" xfId="3" applyFont="1" applyFill="1" applyBorder="1" applyAlignment="1">
      <alignment horizontal="center" vertical="center"/>
    </xf>
    <xf numFmtId="4" fontId="14" fillId="24" borderId="1" xfId="3" applyNumberFormat="1" applyFont="1" applyFill="1" applyBorder="1" applyAlignment="1">
      <alignment vertical="center"/>
    </xf>
    <xf numFmtId="0" fontId="14" fillId="2" borderId="1" xfId="5" applyFont="1" applyFill="1" applyBorder="1" applyAlignment="1">
      <alignment horizontal="center" vertical="center"/>
    </xf>
    <xf numFmtId="0" fontId="14" fillId="2" borderId="1" xfId="5" applyFont="1" applyFill="1" applyBorder="1" applyAlignment="1">
      <alignment horizontal="left" vertical="center"/>
    </xf>
    <xf numFmtId="0" fontId="14" fillId="2" borderId="1" xfId="5" applyFont="1" applyFill="1" applyBorder="1" applyAlignment="1">
      <alignment horizontal="left" vertical="center" wrapText="1"/>
    </xf>
    <xf numFmtId="0" fontId="14" fillId="2" borderId="1" xfId="5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indent="1"/>
    </xf>
    <xf numFmtId="3" fontId="11" fillId="2" borderId="1" xfId="0" applyNumberFormat="1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4" fillId="0" borderId="0" xfId="0" applyFont="1"/>
    <xf numFmtId="4" fontId="13" fillId="2" borderId="1" xfId="0" applyNumberFormat="1" applyFont="1" applyFill="1" applyBorder="1"/>
    <xf numFmtId="0" fontId="20" fillId="0" borderId="0" xfId="0" applyFont="1"/>
    <xf numFmtId="0" fontId="21" fillId="0" borderId="0" xfId="0" applyFont="1"/>
    <xf numFmtId="10" fontId="10" fillId="18" borderId="1" xfId="1" applyNumberFormat="1" applyFont="1" applyFill="1" applyBorder="1"/>
    <xf numFmtId="10" fontId="13" fillId="2" borderId="1" xfId="1" applyNumberFormat="1" applyFont="1" applyFill="1" applyBorder="1"/>
    <xf numFmtId="0" fontId="14" fillId="24" borderId="1" xfId="3" quotePrefix="1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vertical="center"/>
    </xf>
    <xf numFmtId="3" fontId="23" fillId="2" borderId="1" xfId="0" applyNumberFormat="1" applyFont="1" applyFill="1" applyBorder="1" applyAlignment="1">
      <alignment vertical="center"/>
    </xf>
    <xf numFmtId="0" fontId="24" fillId="20" borderId="1" xfId="3" applyFont="1" applyFill="1" applyBorder="1" applyAlignment="1">
      <alignment horizontal="left" vertical="center"/>
    </xf>
    <xf numFmtId="3" fontId="24" fillId="20" borderId="1" xfId="3" applyNumberFormat="1" applyFont="1" applyFill="1" applyBorder="1" applyAlignment="1">
      <alignment vertical="center"/>
    </xf>
    <xf numFmtId="0" fontId="22" fillId="16" borderId="16" xfId="0" applyFont="1" applyFill="1" applyBorder="1" applyAlignment="1">
      <alignment horizontal="left" vertical="center"/>
    </xf>
    <xf numFmtId="3" fontId="22" fillId="16" borderId="16" xfId="0" applyNumberFormat="1" applyFont="1" applyFill="1" applyBorder="1" applyAlignment="1">
      <alignment horizontal="center" vertical="center"/>
    </xf>
    <xf numFmtId="0" fontId="22" fillId="4" borderId="16" xfId="0" applyFont="1" applyFill="1" applyBorder="1" applyAlignment="1">
      <alignment horizontal="left" vertical="center"/>
    </xf>
    <xf numFmtId="3" fontId="22" fillId="4" borderId="16" xfId="0" applyNumberFormat="1" applyFont="1" applyFill="1" applyBorder="1" applyAlignment="1">
      <alignment horizontal="center" vertical="center"/>
    </xf>
    <xf numFmtId="3" fontId="23" fillId="0" borderId="0" xfId="0" applyNumberFormat="1" applyFont="1" applyAlignment="1">
      <alignment vertical="center"/>
    </xf>
    <xf numFmtId="4" fontId="23" fillId="0" borderId="0" xfId="0" applyNumberFormat="1" applyFont="1" applyAlignment="1">
      <alignment vertical="center"/>
    </xf>
    <xf numFmtId="9" fontId="23" fillId="0" borderId="0" xfId="0" applyNumberFormat="1" applyFont="1" applyAlignment="1">
      <alignment vertical="center"/>
    </xf>
    <xf numFmtId="0" fontId="22" fillId="4" borderId="1" xfId="0" applyFont="1" applyFill="1" applyBorder="1" applyAlignment="1">
      <alignment horizontal="left" vertical="center"/>
    </xf>
    <xf numFmtId="4" fontId="23" fillId="2" borderId="1" xfId="0" applyNumberFormat="1" applyFont="1" applyFill="1" applyBorder="1" applyAlignment="1">
      <alignment horizontal="right" vertical="center"/>
    </xf>
    <xf numFmtId="0" fontId="24" fillId="20" borderId="13" xfId="3" applyFont="1" applyFill="1" applyBorder="1" applyAlignment="1">
      <alignment vertical="center"/>
    </xf>
    <xf numFmtId="0" fontId="24" fillId="20" borderId="20" xfId="3" applyFont="1" applyFill="1" applyBorder="1" applyAlignment="1">
      <alignment vertical="center"/>
    </xf>
    <xf numFmtId="170" fontId="13" fillId="2" borderId="1" xfId="1" applyNumberFormat="1" applyFont="1" applyFill="1" applyBorder="1"/>
    <xf numFmtId="10" fontId="20" fillId="0" borderId="0" xfId="0" applyNumberFormat="1" applyFont="1"/>
    <xf numFmtId="2" fontId="23" fillId="2" borderId="1" xfId="1" applyNumberFormat="1" applyFont="1" applyFill="1" applyBorder="1" applyAlignment="1">
      <alignment horizontal="center" vertical="center"/>
    </xf>
    <xf numFmtId="10" fontId="23" fillId="2" borderId="1" xfId="1" applyNumberFormat="1" applyFont="1" applyFill="1" applyBorder="1" applyAlignment="1">
      <alignment horizontal="center" vertical="center"/>
    </xf>
    <xf numFmtId="168" fontId="23" fillId="2" borderId="1" xfId="1" applyNumberFormat="1" applyFont="1" applyFill="1" applyBorder="1" applyAlignment="1">
      <alignment horizontal="right" vertical="center"/>
    </xf>
    <xf numFmtId="10" fontId="23" fillId="0" borderId="14" xfId="0" applyNumberFormat="1" applyFont="1" applyBorder="1" applyAlignment="1">
      <alignment horizontal="center" vertical="center"/>
    </xf>
    <xf numFmtId="10" fontId="23" fillId="0" borderId="0" xfId="1" applyNumberFormat="1" applyFont="1" applyAlignment="1">
      <alignment vertical="center"/>
    </xf>
    <xf numFmtId="0" fontId="22" fillId="4" borderId="1" xfId="0" applyFont="1" applyFill="1" applyBorder="1" applyAlignment="1">
      <alignment horizontal="center" vertical="center" wrapText="1"/>
    </xf>
    <xf numFmtId="4" fontId="23" fillId="0" borderId="23" xfId="0" applyNumberFormat="1" applyFont="1" applyBorder="1" applyAlignment="1">
      <alignment vertical="center"/>
    </xf>
    <xf numFmtId="0" fontId="22" fillId="4" borderId="20" xfId="0" applyFont="1" applyFill="1" applyBorder="1" applyAlignment="1">
      <alignment horizontal="center" vertical="center" wrapText="1"/>
    </xf>
    <xf numFmtId="0" fontId="23" fillId="0" borderId="25" xfId="0" applyFont="1" applyBorder="1" applyAlignment="1">
      <alignment vertical="center"/>
    </xf>
    <xf numFmtId="0" fontId="23" fillId="0" borderId="26" xfId="0" applyFont="1" applyBorder="1" applyAlignment="1">
      <alignment vertical="center"/>
    </xf>
    <xf numFmtId="10" fontId="23" fillId="0" borderId="25" xfId="0" applyNumberFormat="1" applyFont="1" applyBorder="1" applyAlignment="1">
      <alignment vertical="center"/>
    </xf>
    <xf numFmtId="10" fontId="23" fillId="0" borderId="25" xfId="1" applyNumberFormat="1" applyFont="1" applyBorder="1" applyAlignment="1">
      <alignment vertical="center"/>
    </xf>
    <xf numFmtId="10" fontId="23" fillId="0" borderId="23" xfId="0" applyNumberFormat="1" applyFont="1" applyBorder="1" applyAlignment="1">
      <alignment vertical="center"/>
    </xf>
    <xf numFmtId="2" fontId="23" fillId="0" borderId="0" xfId="0" applyNumberFormat="1" applyFont="1" applyAlignment="1">
      <alignment vertical="center"/>
    </xf>
    <xf numFmtId="3" fontId="23" fillId="0" borderId="23" xfId="0" applyNumberFormat="1" applyFont="1" applyBorder="1" applyAlignment="1">
      <alignment vertical="center"/>
    </xf>
    <xf numFmtId="0" fontId="23" fillId="0" borderId="15" xfId="0" applyFont="1" applyBorder="1" applyAlignment="1">
      <alignment vertical="center"/>
    </xf>
    <xf numFmtId="0" fontId="30" fillId="0" borderId="0" xfId="0" applyFont="1" applyAlignment="1">
      <alignment vertical="center"/>
    </xf>
    <xf numFmtId="4" fontId="23" fillId="0" borderId="25" xfId="0" applyNumberFormat="1" applyFont="1" applyBorder="1" applyAlignment="1">
      <alignment vertical="center"/>
    </xf>
    <xf numFmtId="10" fontId="23" fillId="0" borderId="27" xfId="0" applyNumberFormat="1" applyFont="1" applyBorder="1" applyAlignment="1">
      <alignment vertical="center"/>
    </xf>
    <xf numFmtId="3" fontId="23" fillId="0" borderId="0" xfId="1" applyNumberFormat="1" applyFont="1" applyAlignment="1">
      <alignment vertical="center"/>
    </xf>
    <xf numFmtId="10" fontId="23" fillId="0" borderId="28" xfId="0" applyNumberFormat="1" applyFont="1" applyBorder="1" applyAlignment="1">
      <alignment vertical="center"/>
    </xf>
    <xf numFmtId="10" fontId="23" fillId="0" borderId="29" xfId="0" applyNumberFormat="1" applyFont="1" applyBorder="1" applyAlignment="1">
      <alignment vertical="center"/>
    </xf>
    <xf numFmtId="10" fontId="23" fillId="0" borderId="24" xfId="0" applyNumberFormat="1" applyFont="1" applyBorder="1" applyAlignment="1">
      <alignment vertical="center"/>
    </xf>
    <xf numFmtId="10" fontId="23" fillId="0" borderId="31" xfId="0" applyNumberFormat="1" applyFont="1" applyBorder="1" applyAlignment="1">
      <alignment vertical="center"/>
    </xf>
    <xf numFmtId="4" fontId="23" fillId="0" borderId="0" xfId="0" applyNumberFormat="1" applyFont="1" applyAlignment="1">
      <alignment horizontal="right" vertical="center"/>
    </xf>
    <xf numFmtId="10" fontId="23" fillId="0" borderId="30" xfId="0" applyNumberFormat="1" applyFont="1" applyBorder="1" applyAlignment="1">
      <alignment vertical="center"/>
    </xf>
    <xf numFmtId="10" fontId="0" fillId="0" borderId="0" xfId="0" applyNumberFormat="1"/>
    <xf numFmtId="4" fontId="0" fillId="0" borderId="0" xfId="0" applyNumberFormat="1"/>
    <xf numFmtId="4" fontId="0" fillId="0" borderId="21" xfId="0" applyNumberFormat="1" applyBorder="1"/>
    <xf numFmtId="0" fontId="0" fillId="0" borderId="24" xfId="0" applyBorder="1"/>
    <xf numFmtId="0" fontId="26" fillId="27" borderId="21" xfId="0" applyFont="1" applyFill="1" applyBorder="1" applyAlignment="1">
      <alignment horizontal="left"/>
    </xf>
    <xf numFmtId="0" fontId="27" fillId="26" borderId="22" xfId="0" applyFont="1" applyFill="1" applyBorder="1" applyAlignment="1">
      <alignment horizontal="right"/>
    </xf>
    <xf numFmtId="0" fontId="27" fillId="26" borderId="23" xfId="0" applyFont="1" applyFill="1" applyBorder="1" applyAlignment="1">
      <alignment horizontal="right"/>
    </xf>
    <xf numFmtId="10" fontId="0" fillId="28" borderId="0" xfId="0" applyNumberFormat="1" applyFill="1"/>
    <xf numFmtId="0" fontId="25" fillId="0" borderId="0" xfId="0" applyFont="1" applyAlignment="1">
      <alignment vertical="top" wrapText="1"/>
    </xf>
    <xf numFmtId="0" fontId="28" fillId="26" borderId="23" xfId="0" applyFont="1" applyFill="1" applyBorder="1" applyAlignment="1">
      <alignment horizontal="left"/>
    </xf>
    <xf numFmtId="0" fontId="26" fillId="27" borderId="0" xfId="0" applyFont="1" applyFill="1" applyAlignment="1">
      <alignment horizontal="left"/>
    </xf>
    <xf numFmtId="168" fontId="0" fillId="0" borderId="0" xfId="0" applyNumberFormat="1"/>
    <xf numFmtId="172" fontId="0" fillId="0" borderId="0" xfId="0" applyNumberFormat="1"/>
    <xf numFmtId="172" fontId="0" fillId="21" borderId="0" xfId="0" applyNumberFormat="1" applyFill="1" applyAlignment="1">
      <alignment horizontal="right" vertical="center"/>
    </xf>
    <xf numFmtId="0" fontId="0" fillId="21" borderId="0" xfId="0" applyFill="1"/>
    <xf numFmtId="0" fontId="31" fillId="29" borderId="1" xfId="0" applyFont="1" applyFill="1" applyBorder="1" applyAlignment="1">
      <alignment horizontal="center" vertical="center" wrapText="1"/>
    </xf>
    <xf numFmtId="0" fontId="32" fillId="0" borderId="0" xfId="0" applyFont="1"/>
    <xf numFmtId="0" fontId="32" fillId="30" borderId="1" xfId="0" applyFont="1" applyFill="1" applyBorder="1" applyAlignment="1">
      <alignment horizontal="right" vertical="center" wrapText="1"/>
    </xf>
    <xf numFmtId="0" fontId="33" fillId="25" borderId="1" xfId="0" applyFont="1" applyFill="1" applyBorder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31" fillId="29" borderId="1" xfId="0" applyFont="1" applyFill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33" fillId="30" borderId="1" xfId="0" applyFont="1" applyFill="1" applyBorder="1" applyAlignment="1">
      <alignment horizontal="right" vertical="center" wrapText="1"/>
    </xf>
    <xf numFmtId="9" fontId="32" fillId="0" borderId="1" xfId="1" applyFont="1" applyBorder="1" applyAlignment="1">
      <alignment horizontal="center" vertical="center"/>
    </xf>
    <xf numFmtId="9" fontId="33" fillId="25" borderId="1" xfId="1" applyFont="1" applyFill="1" applyBorder="1" applyAlignment="1">
      <alignment horizontal="center" vertical="center"/>
    </xf>
    <xf numFmtId="9" fontId="32" fillId="30" borderId="1" xfId="1" applyFont="1" applyFill="1" applyBorder="1" applyAlignment="1">
      <alignment horizontal="center" vertical="center"/>
    </xf>
    <xf numFmtId="9" fontId="33" fillId="30" borderId="1" xfId="1" applyFont="1" applyFill="1" applyBorder="1" applyAlignment="1">
      <alignment horizontal="center" vertical="center"/>
    </xf>
    <xf numFmtId="173" fontId="32" fillId="0" borderId="1" xfId="0" applyNumberFormat="1" applyFont="1" applyBorder="1" applyAlignment="1">
      <alignment vertical="center"/>
    </xf>
    <xf numFmtId="173" fontId="33" fillId="25" borderId="1" xfId="0" applyNumberFormat="1" applyFont="1" applyFill="1" applyBorder="1" applyAlignment="1">
      <alignment vertical="center"/>
    </xf>
    <xf numFmtId="173" fontId="32" fillId="30" borderId="1" xfId="0" applyNumberFormat="1" applyFont="1" applyFill="1" applyBorder="1" applyAlignment="1">
      <alignment horizontal="right" vertical="center"/>
    </xf>
    <xf numFmtId="173" fontId="33" fillId="30" borderId="1" xfId="0" applyNumberFormat="1" applyFont="1" applyFill="1" applyBorder="1" applyAlignment="1">
      <alignment horizontal="right" vertical="center"/>
    </xf>
    <xf numFmtId="10" fontId="33" fillId="25" borderId="1" xfId="1" applyNumberFormat="1" applyFont="1" applyFill="1" applyBorder="1" applyAlignment="1">
      <alignment horizontal="center" vertical="center"/>
    </xf>
    <xf numFmtId="10" fontId="32" fillId="0" borderId="1" xfId="1" applyNumberFormat="1" applyFont="1" applyBorder="1" applyAlignment="1">
      <alignment horizontal="center" vertical="center"/>
    </xf>
    <xf numFmtId="174" fontId="32" fillId="30" borderId="1" xfId="0" applyNumberFormat="1" applyFont="1" applyFill="1" applyBorder="1" applyAlignment="1">
      <alignment horizontal="right" vertical="center"/>
    </xf>
    <xf numFmtId="174" fontId="33" fillId="25" borderId="1" xfId="0" applyNumberFormat="1" applyFont="1" applyFill="1" applyBorder="1" applyAlignment="1">
      <alignment vertical="center"/>
    </xf>
    <xf numFmtId="174" fontId="32" fillId="0" borderId="1" xfId="0" applyNumberFormat="1" applyFont="1" applyBorder="1" applyAlignment="1">
      <alignment vertical="center"/>
    </xf>
    <xf numFmtId="0" fontId="11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vertical="center"/>
    </xf>
    <xf numFmtId="0" fontId="29" fillId="27" borderId="24" xfId="0" applyFont="1" applyFill="1" applyBorder="1" applyAlignment="1">
      <alignment horizontal="left"/>
    </xf>
    <xf numFmtId="0" fontId="28" fillId="26" borderId="22" xfId="0" applyFont="1" applyFill="1" applyBorder="1" applyAlignment="1">
      <alignment horizontal="left"/>
    </xf>
    <xf numFmtId="164" fontId="0" fillId="0" borderId="0" xfId="0" applyNumberFormat="1"/>
    <xf numFmtId="4" fontId="5" fillId="2" borderId="1" xfId="2" applyNumberFormat="1" applyFill="1" applyBorder="1"/>
    <xf numFmtId="0" fontId="0" fillId="0" borderId="0" xfId="0" applyAlignment="1">
      <alignment horizontal="right"/>
    </xf>
    <xf numFmtId="4" fontId="11" fillId="0" borderId="0" xfId="0" applyNumberFormat="1" applyFont="1" applyAlignment="1">
      <alignment horizontal="right" vertical="center"/>
    </xf>
    <xf numFmtId="0" fontId="25" fillId="0" borderId="0" xfId="0" applyFont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10" fillId="17" borderId="6" xfId="0" applyFont="1" applyFill="1" applyBorder="1" applyAlignment="1">
      <alignment horizontal="center"/>
    </xf>
    <xf numFmtId="0" fontId="10" fillId="17" borderId="0" xfId="0" applyFont="1" applyFill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10" fontId="13" fillId="20" borderId="18" xfId="3" applyNumberFormat="1" applyFont="1" applyFill="1" applyBorder="1" applyAlignment="1">
      <alignment horizontal="center" vertical="center"/>
    </xf>
    <xf numFmtId="10" fontId="13" fillId="20" borderId="17" xfId="3" applyNumberFormat="1" applyFont="1" applyFill="1" applyBorder="1" applyAlignment="1">
      <alignment horizontal="center" vertical="center"/>
    </xf>
    <xf numFmtId="10" fontId="13" fillId="20" borderId="16" xfId="3" applyNumberFormat="1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10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17" borderId="13" xfId="0" applyFont="1" applyFill="1" applyBorder="1" applyAlignment="1">
      <alignment horizontal="center"/>
    </xf>
    <xf numFmtId="0" fontId="10" fillId="17" borderId="12" xfId="0" applyFont="1" applyFill="1" applyBorder="1" applyAlignment="1">
      <alignment horizontal="center"/>
    </xf>
    <xf numFmtId="0" fontId="11" fillId="19" borderId="6" xfId="0" quotePrefix="1" applyFont="1" applyFill="1" applyBorder="1" applyAlignment="1">
      <alignment horizontal="center" vertical="center" wrapText="1"/>
    </xf>
    <xf numFmtId="0" fontId="11" fillId="19" borderId="0" xfId="0" quotePrefix="1" applyFont="1" applyFill="1" applyAlignment="1">
      <alignment horizontal="center" vertical="center" wrapText="1"/>
    </xf>
    <xf numFmtId="0" fontId="22" fillId="17" borderId="6" xfId="0" applyFont="1" applyFill="1" applyBorder="1" applyAlignment="1">
      <alignment horizontal="center" vertical="center"/>
    </xf>
    <xf numFmtId="0" fontId="22" fillId="17" borderId="0" xfId="0" applyFont="1" applyFill="1" applyAlignment="1">
      <alignment horizontal="center" vertical="center"/>
    </xf>
    <xf numFmtId="0" fontId="22" fillId="4" borderId="1" xfId="0" applyFont="1" applyFill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/>
    </xf>
    <xf numFmtId="0" fontId="12" fillId="10" borderId="0" xfId="0" applyFont="1" applyFill="1" applyAlignment="1">
      <alignment horizontal="center"/>
    </xf>
    <xf numFmtId="0" fontId="10" fillId="18" borderId="9" xfId="0" applyFont="1" applyFill="1" applyBorder="1" applyAlignment="1">
      <alignment horizontal="left"/>
    </xf>
    <xf numFmtId="0" fontId="10" fillId="18" borderId="8" xfId="0" applyFont="1" applyFill="1" applyBorder="1" applyAlignment="1">
      <alignment horizontal="left"/>
    </xf>
    <xf numFmtId="0" fontId="34" fillId="17" borderId="6" xfId="0" applyFont="1" applyFill="1" applyBorder="1" applyAlignment="1">
      <alignment horizontal="center" vertical="center"/>
    </xf>
    <xf numFmtId="0" fontId="34" fillId="17" borderId="0" xfId="0" applyFont="1" applyFill="1" applyAlignment="1">
      <alignment horizontal="center" vertical="center"/>
    </xf>
  </cellXfs>
  <cellStyles count="7">
    <cellStyle name="Hipervínculo" xfId="2" builtinId="8"/>
    <cellStyle name="Millares_Api Botella esterilizada" xfId="4" xr:uid="{717D4C84-8B1B-43B9-897E-3FF9F97B049C}"/>
    <cellStyle name="Normal" xfId="0" builtinId="0"/>
    <cellStyle name="Normal 11 2" xfId="5" xr:uid="{D9EDFD8A-2D69-4F2F-9C30-54A0DDF6C960}"/>
    <cellStyle name="Normal_Hoja" xfId="3" xr:uid="{39C3248C-E922-4831-AA23-57C195B0E790}"/>
    <cellStyle name="Porcentaje" xfId="1" builtinId="5"/>
    <cellStyle name="Porcentaje 2 2" xfId="6" xr:uid="{5B8CF95D-5C26-44FB-A1A4-BE8C6B1037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1246096</xdr:colOff>
      <xdr:row>21</xdr:row>
      <xdr:rowOff>98613</xdr:rowOff>
    </xdr:from>
    <xdr:to>
      <xdr:col>4</xdr:col>
      <xdr:colOff>753036</xdr:colOff>
      <xdr:row>29</xdr:row>
      <xdr:rowOff>26894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7B097B9-3409-4FAE-B49D-BFFD6A8C5FD5}"/>
            </a:ext>
          </a:extLst>
        </xdr:cNvPr>
        <xdr:cNvSpPr/>
      </xdr:nvSpPr>
      <xdr:spPr>
        <a:xfrm>
          <a:off x="2373856" y="3939093"/>
          <a:ext cx="1549100" cy="139132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PE" sz="1100"/>
            <a:t>Se determino el</a:t>
          </a:r>
          <a:r>
            <a:rPr lang="es-PE" sz="1100" baseline="0"/>
            <a:t> porcentaje de participación según las prendas vendidas con la información accesible por parte de la Empresa.</a:t>
          </a:r>
          <a:endParaRPr lang="es-PE" sz="1100"/>
        </a:p>
      </xdr:txBody>
    </xdr:sp>
    <xdr:clientData/>
  </xdr:twoCellAnchor>
  <xdr:twoCellAnchor editAs="oneCell">
    <xdr:from>
      <xdr:col>8</xdr:col>
      <xdr:colOff>44823</xdr:colOff>
      <xdr:row>20</xdr:row>
      <xdr:rowOff>134469</xdr:rowOff>
    </xdr:from>
    <xdr:to>
      <xdr:col>9</xdr:col>
      <xdr:colOff>62753</xdr:colOff>
      <xdr:row>40</xdr:row>
      <xdr:rowOff>89391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1056F9-3D3D-4B41-8C19-8FD847F52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9129" y="3738281"/>
          <a:ext cx="1210236" cy="35408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753037</xdr:colOff>
      <xdr:row>20</xdr:row>
      <xdr:rowOff>161365</xdr:rowOff>
    </xdr:from>
    <xdr:to>
      <xdr:col>11</xdr:col>
      <xdr:colOff>178775</xdr:colOff>
      <xdr:row>39</xdr:row>
      <xdr:rowOff>35859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6901A171-4BD6-4AE1-94E0-B1A2468BE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999" t="14037" r="39162"/>
        <a:stretch>
          <a:fillRect/>
        </a:stretch>
      </xdr:blipFill>
      <xdr:spPr bwMode="auto">
        <a:xfrm>
          <a:off x="11519649" y="3765177"/>
          <a:ext cx="1415903" cy="32810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708213</xdr:colOff>
      <xdr:row>21</xdr:row>
      <xdr:rowOff>8964</xdr:rowOff>
    </xdr:from>
    <xdr:to>
      <xdr:col>13</xdr:col>
      <xdr:colOff>493059</xdr:colOff>
      <xdr:row>27</xdr:row>
      <xdr:rowOff>152399</xdr:rowOff>
    </xdr:to>
    <xdr:pic>
      <xdr:nvPicPr>
        <xdr:cNvPr id="5" name="Imagen 3">
          <a:extLst>
            <a:ext uri="{FF2B5EF4-FFF2-40B4-BE49-F238E27FC236}">
              <a16:creationId xmlns:a16="http://schemas.microsoft.com/office/drawing/2014/main" id="{7A69D9D5-B69E-4DA4-8E02-2B7F9513E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4989" y="3792070"/>
          <a:ext cx="1828799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811396</xdr:colOff>
      <xdr:row>32</xdr:row>
      <xdr:rowOff>71717</xdr:rowOff>
    </xdr:from>
    <xdr:to>
      <xdr:col>14</xdr:col>
      <xdr:colOff>159572</xdr:colOff>
      <xdr:row>39</xdr:row>
      <xdr:rowOff>89647</xdr:rowOff>
    </xdr:to>
    <xdr:pic>
      <xdr:nvPicPr>
        <xdr:cNvPr id="6" name="Imagen 4">
          <a:extLst>
            <a:ext uri="{FF2B5EF4-FFF2-40B4-BE49-F238E27FC236}">
              <a16:creationId xmlns:a16="http://schemas.microsoft.com/office/drawing/2014/main" id="{31C9BCBB-3A45-41A4-A208-BE1A13277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8172" y="5827058"/>
          <a:ext cx="1912082" cy="12729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1308849</xdr:colOff>
      <xdr:row>20</xdr:row>
      <xdr:rowOff>152401</xdr:rowOff>
    </xdr:from>
    <xdr:to>
      <xdr:col>7</xdr:col>
      <xdr:colOff>108856</xdr:colOff>
      <xdr:row>40</xdr:row>
      <xdr:rowOff>71718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CB6B694-DB00-3836-46F7-808450DD1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1720" y="3756213"/>
          <a:ext cx="1220477" cy="3505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784860</xdr:colOff>
      <xdr:row>7</xdr:row>
      <xdr:rowOff>129540</xdr:rowOff>
    </xdr:from>
    <xdr:to>
      <xdr:col>7</xdr:col>
      <xdr:colOff>38100</xdr:colOff>
      <xdr:row>13</xdr:row>
      <xdr:rowOff>129540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02FDC27-01E8-4E9A-8E4A-47B730928887}"/>
            </a:ext>
          </a:extLst>
        </xdr:cNvPr>
        <xdr:cNvSpPr/>
      </xdr:nvSpPr>
      <xdr:spPr>
        <a:xfrm>
          <a:off x="3299460" y="1409700"/>
          <a:ext cx="2423160" cy="1097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Se determinó</a:t>
          </a:r>
          <a:r>
            <a:rPr lang="es-PE" sz="1100" baseline="0"/>
            <a:t> el pronóstico y la determinación de periodos por trimestre debido a la flexibilidad del estudio a nuestro proyecto.</a:t>
          </a:r>
          <a:endParaRPr lang="es-P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15</xdr:row>
      <xdr:rowOff>30480</xdr:rowOff>
    </xdr:from>
    <xdr:to>
      <xdr:col>11</xdr:col>
      <xdr:colOff>525780</xdr:colOff>
      <xdr:row>21</xdr:row>
      <xdr:rowOff>160020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5643227-F867-49A2-8DBF-EC74CBE7346C}"/>
            </a:ext>
          </a:extLst>
        </xdr:cNvPr>
        <xdr:cNvSpPr/>
      </xdr:nvSpPr>
      <xdr:spPr>
        <a:xfrm>
          <a:off x="9563100" y="2773680"/>
          <a:ext cx="3368040" cy="14097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PE" sz="1200"/>
            <a:t>Las ventas realizada</a:t>
          </a:r>
          <a:r>
            <a:rPr lang="es-PE" sz="1200" baseline="0"/>
            <a:t>s por la empresa </a:t>
          </a:r>
          <a:r>
            <a:rPr lang="es-PE" sz="1200"/>
            <a:t>son bajo pedido y 100% exportación, se produce bajo pedido lo</a:t>
          </a:r>
          <a:r>
            <a:rPr lang="es-PE" sz="1200" baseline="0"/>
            <a:t> necesario y oportuno.</a:t>
          </a:r>
          <a:endParaRPr lang="es-PE" sz="1200"/>
        </a:p>
      </xdr:txBody>
    </xdr:sp>
    <xdr:clientData/>
  </xdr:twoCellAnchor>
  <xdr:twoCellAnchor>
    <xdr:from>
      <xdr:col>7</xdr:col>
      <xdr:colOff>365760</xdr:colOff>
      <xdr:row>75</xdr:row>
      <xdr:rowOff>24846</xdr:rowOff>
    </xdr:from>
    <xdr:to>
      <xdr:col>11</xdr:col>
      <xdr:colOff>426720</xdr:colOff>
      <xdr:row>79</xdr:row>
      <xdr:rowOff>68579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E27F052-0EA2-4E7E-9B02-4D3E6DAECCC3}"/>
            </a:ext>
          </a:extLst>
        </xdr:cNvPr>
        <xdr:cNvSpPr/>
      </xdr:nvSpPr>
      <xdr:spPr>
        <a:xfrm>
          <a:off x="9631680" y="12277806"/>
          <a:ext cx="3200400" cy="798113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PE" sz="1200"/>
            <a:t>Los</a:t>
          </a:r>
          <a:r>
            <a:rPr lang="es-PE" sz="1200" baseline="0"/>
            <a:t> operarios de MOD no reciben beneficios laborales. Trabajan con recibos por honorarios.</a:t>
          </a:r>
          <a:endParaRPr lang="es-PE" sz="1200"/>
        </a:p>
      </xdr:txBody>
    </xdr:sp>
    <xdr:clientData/>
  </xdr:twoCellAnchor>
  <xdr:twoCellAnchor>
    <xdr:from>
      <xdr:col>3</xdr:col>
      <xdr:colOff>570508</xdr:colOff>
      <xdr:row>163</xdr:row>
      <xdr:rowOff>142790</xdr:rowOff>
    </xdr:from>
    <xdr:to>
      <xdr:col>6</xdr:col>
      <xdr:colOff>731520</xdr:colOff>
      <xdr:row>168</xdr:row>
      <xdr:rowOff>15240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EADCBB2-0403-4271-9DAD-6E5260236B13}"/>
            </a:ext>
          </a:extLst>
        </xdr:cNvPr>
        <xdr:cNvSpPr/>
      </xdr:nvSpPr>
      <xdr:spPr>
        <a:xfrm>
          <a:off x="4746268" y="28527290"/>
          <a:ext cx="3978632" cy="7944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PE" sz="1200"/>
            <a:t>Los</a:t>
          </a:r>
          <a:r>
            <a:rPr lang="es-PE" sz="1200" baseline="0"/>
            <a:t> operarios de MOI si reciben beneficios laborales. Factor de sueldo mensual promedio considerando otros beneficios</a:t>
          </a:r>
          <a:endParaRPr lang="es-PE" sz="1200"/>
        </a:p>
      </xdr:txBody>
    </xdr:sp>
    <xdr:clientData/>
  </xdr:twoCellAnchor>
  <xdr:twoCellAnchor>
    <xdr:from>
      <xdr:col>7</xdr:col>
      <xdr:colOff>388620</xdr:colOff>
      <xdr:row>31</xdr:row>
      <xdr:rowOff>167640</xdr:rowOff>
    </xdr:from>
    <xdr:to>
      <xdr:col>11</xdr:col>
      <xdr:colOff>450242</xdr:colOff>
      <xdr:row>39</xdr:row>
      <xdr:rowOff>177247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1637BE31-A18A-450F-95E0-0B85B0F8D353}"/>
            </a:ext>
          </a:extLst>
        </xdr:cNvPr>
        <xdr:cNvSpPr/>
      </xdr:nvSpPr>
      <xdr:spPr>
        <a:xfrm>
          <a:off x="9654540" y="6202680"/>
          <a:ext cx="3201062" cy="147264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de material directo se tomo en cuenta una inflación de </a:t>
          </a:r>
          <a:r>
            <a:rPr lang="es-PE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0% trimestral</a:t>
          </a:r>
          <a:endParaRPr lang="es-PE" sz="1400">
            <a:effectLst/>
          </a:endParaRPr>
        </a:p>
      </xdr:txBody>
    </xdr:sp>
    <xdr:clientData/>
  </xdr:twoCellAnchor>
  <xdr:twoCellAnchor>
    <xdr:from>
      <xdr:col>7</xdr:col>
      <xdr:colOff>365760</xdr:colOff>
      <xdr:row>43</xdr:row>
      <xdr:rowOff>129540</xdr:rowOff>
    </xdr:from>
    <xdr:to>
      <xdr:col>11</xdr:col>
      <xdr:colOff>427382</xdr:colOff>
      <xdr:row>51</xdr:row>
      <xdr:rowOff>139147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00D67202-B9C7-474C-AFD5-9E536B07F26C}"/>
            </a:ext>
          </a:extLst>
        </xdr:cNvPr>
        <xdr:cNvSpPr/>
      </xdr:nvSpPr>
      <xdr:spPr>
        <a:xfrm>
          <a:off x="9631680" y="6530340"/>
          <a:ext cx="3201062" cy="147264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s-PE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de material directo se </a:t>
          </a:r>
          <a:r>
            <a:rPr lang="es-PE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tomo en cuenta una inflación de 0% trimestral</a:t>
          </a:r>
          <a:endParaRPr lang="es-PE" sz="1400">
            <a:effectLst/>
          </a:endParaRPr>
        </a:p>
      </xdr:txBody>
    </xdr:sp>
    <xdr:clientData/>
  </xdr:twoCellAnchor>
  <xdr:twoCellAnchor>
    <xdr:from>
      <xdr:col>7</xdr:col>
      <xdr:colOff>403860</xdr:colOff>
      <xdr:row>58</xdr:row>
      <xdr:rowOff>114300</xdr:rowOff>
    </xdr:from>
    <xdr:to>
      <xdr:col>11</xdr:col>
      <xdr:colOff>465482</xdr:colOff>
      <xdr:row>66</xdr:row>
      <xdr:rowOff>123907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CA84A5BB-BBBE-4A48-9CFA-A49D87688FCD}"/>
            </a:ext>
          </a:extLst>
        </xdr:cNvPr>
        <xdr:cNvSpPr/>
      </xdr:nvSpPr>
      <xdr:spPr>
        <a:xfrm>
          <a:off x="9669780" y="9624060"/>
          <a:ext cx="3201062" cy="147264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PE" sz="1200"/>
            <a:t>Para los cálculos se</a:t>
          </a:r>
          <a:r>
            <a:rPr lang="es-PE" sz="1200" baseline="0"/>
            <a:t> tomo en cuenta</a:t>
          </a:r>
          <a:r>
            <a:rPr lang="es-PE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una inflación de 0% trimestral.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El proceso de Acabado acontece luego del proceso de Inspección, en el cual, ya se descartan los productos no conformes en el último.</a:t>
          </a:r>
        </a:p>
      </xdr:txBody>
    </xdr:sp>
    <xdr:clientData/>
  </xdr:twoCellAnchor>
  <xdr:twoCellAnchor>
    <xdr:from>
      <xdr:col>7</xdr:col>
      <xdr:colOff>396240</xdr:colOff>
      <xdr:row>69</xdr:row>
      <xdr:rowOff>45721</xdr:rowOff>
    </xdr:from>
    <xdr:to>
      <xdr:col>11</xdr:col>
      <xdr:colOff>457862</xdr:colOff>
      <xdr:row>73</xdr:row>
      <xdr:rowOff>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4B7267FA-52AA-4F72-9E5C-7638D9289D19}"/>
            </a:ext>
          </a:extLst>
        </xdr:cNvPr>
        <xdr:cNvSpPr/>
      </xdr:nvSpPr>
      <xdr:spPr>
        <a:xfrm>
          <a:off x="9662160" y="12847321"/>
          <a:ext cx="3201062" cy="85343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PE" sz="1200"/>
            <a:t>Los costos unitarios de MD son independientes</a:t>
          </a:r>
          <a:r>
            <a:rPr lang="es-PE" sz="1200" baseline="0"/>
            <a:t> de cada proceso por la capacidad necesaria independiente.</a:t>
          </a:r>
          <a:endParaRPr lang="es-PE" sz="1200"/>
        </a:p>
      </xdr:txBody>
    </xdr:sp>
    <xdr:clientData/>
  </xdr:twoCellAnchor>
  <xdr:twoCellAnchor>
    <xdr:from>
      <xdr:col>7</xdr:col>
      <xdr:colOff>381000</xdr:colOff>
      <xdr:row>83</xdr:row>
      <xdr:rowOff>114301</xdr:rowOff>
    </xdr:from>
    <xdr:to>
      <xdr:col>11</xdr:col>
      <xdr:colOff>442622</xdr:colOff>
      <xdr:row>88</xdr:row>
      <xdr:rowOff>53341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DF9E80D-1487-4740-A80E-C792BD018995}"/>
            </a:ext>
          </a:extLst>
        </xdr:cNvPr>
        <xdr:cNvSpPr/>
      </xdr:nvSpPr>
      <xdr:spPr>
        <a:xfrm>
          <a:off x="9646920" y="15681961"/>
          <a:ext cx="3201062" cy="8534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PE" sz="1200"/>
            <a:t>Para los cálculos se</a:t>
          </a:r>
          <a:r>
            <a:rPr lang="es-PE" sz="1200" baseline="0"/>
            <a:t> tomo en cuenta el tiempo estandar y el n° de operarios independiente de cada proceso</a:t>
          </a:r>
          <a:endParaRPr lang="es-PE" sz="1200"/>
        </a:p>
      </xdr:txBody>
    </xdr:sp>
    <xdr:clientData/>
  </xdr:twoCellAnchor>
  <xdr:twoCellAnchor>
    <xdr:from>
      <xdr:col>7</xdr:col>
      <xdr:colOff>434340</xdr:colOff>
      <xdr:row>95</xdr:row>
      <xdr:rowOff>175260</xdr:rowOff>
    </xdr:from>
    <xdr:to>
      <xdr:col>11</xdr:col>
      <xdr:colOff>495962</xdr:colOff>
      <xdr:row>100</xdr:row>
      <xdr:rowOff>114300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1A20148F-F14D-4AAD-B74D-752D9025209A}"/>
            </a:ext>
          </a:extLst>
        </xdr:cNvPr>
        <xdr:cNvSpPr/>
      </xdr:nvSpPr>
      <xdr:spPr>
        <a:xfrm>
          <a:off x="9700260" y="16123920"/>
          <a:ext cx="3201062" cy="8534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el tiempo estandar y el n° de operarios independiente de cada proceso</a:t>
          </a:r>
          <a:endParaRPr lang="es-PE" sz="1200">
            <a:effectLst/>
          </a:endParaRPr>
        </a:p>
      </xdr:txBody>
    </xdr:sp>
    <xdr:clientData/>
  </xdr:twoCellAnchor>
  <xdr:twoCellAnchor>
    <xdr:from>
      <xdr:col>7</xdr:col>
      <xdr:colOff>472440</xdr:colOff>
      <xdr:row>108</xdr:row>
      <xdr:rowOff>106680</xdr:rowOff>
    </xdr:from>
    <xdr:to>
      <xdr:col>11</xdr:col>
      <xdr:colOff>534062</xdr:colOff>
      <xdr:row>116</xdr:row>
      <xdr:rowOff>116287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A10F50B3-4DED-4503-BB72-D499419665DB}"/>
            </a:ext>
          </a:extLst>
        </xdr:cNvPr>
        <xdr:cNvSpPr/>
      </xdr:nvSpPr>
      <xdr:spPr>
        <a:xfrm>
          <a:off x="9738360" y="18432780"/>
          <a:ext cx="3201062" cy="147264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Para los cálculos se tomo en cuenta el tiempo estandar y el n° de operarios independiente de cada proceso</a:t>
          </a:r>
        </a:p>
        <a:p>
          <a:pPr algn="l"/>
          <a:r>
            <a:rPr lang="es-PE" sz="1200" baseline="0"/>
            <a:t>El proceso de Acabado acontece luego del proceso de Inspección, en el cual, ya se descartan los productos no conformes en el último.</a:t>
          </a:r>
          <a:endParaRPr lang="es-PE" sz="1200"/>
        </a:p>
      </xdr:txBody>
    </xdr:sp>
    <xdr:clientData/>
  </xdr:twoCellAnchor>
  <xdr:twoCellAnchor>
    <xdr:from>
      <xdr:col>7</xdr:col>
      <xdr:colOff>457200</xdr:colOff>
      <xdr:row>118</xdr:row>
      <xdr:rowOff>15240</xdr:rowOff>
    </xdr:from>
    <xdr:to>
      <xdr:col>11</xdr:col>
      <xdr:colOff>518822</xdr:colOff>
      <xdr:row>122</xdr:row>
      <xdr:rowOff>137159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2E2FB887-DFCC-460B-9EF6-98141CF0E838}"/>
            </a:ext>
          </a:extLst>
        </xdr:cNvPr>
        <xdr:cNvSpPr/>
      </xdr:nvSpPr>
      <xdr:spPr>
        <a:xfrm>
          <a:off x="9723120" y="21633180"/>
          <a:ext cx="3201062" cy="85343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200"/>
            <a:t>Los costos unitarios de </a:t>
          </a:r>
          <a:r>
            <a:rPr lang="es-PE" sz="1200">
              <a:solidFill>
                <a:schemeClr val="dk1"/>
              </a:solidFill>
              <a:latin typeface="+mn-lt"/>
              <a:ea typeface="+mn-ea"/>
              <a:cs typeface="+mn-cs"/>
            </a:rPr>
            <a:t>MOD son independientes de cada proceso por la capacidad necesaria en que se trabaja.</a:t>
          </a:r>
        </a:p>
      </xdr:txBody>
    </xdr:sp>
    <xdr:clientData/>
  </xdr:twoCellAnchor>
  <xdr:oneCellAnchor>
    <xdr:from>
      <xdr:col>7</xdr:col>
      <xdr:colOff>247650</xdr:colOff>
      <xdr:row>228</xdr:row>
      <xdr:rowOff>110490</xdr:rowOff>
    </xdr:from>
    <xdr:ext cx="3356610" cy="6057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5AB9402F-E444-B74C-6625-83FAE7BC5851}"/>
                </a:ext>
              </a:extLst>
            </xdr:cNvPr>
            <xdr:cNvSpPr txBox="1"/>
          </xdr:nvSpPr>
          <xdr:spPr>
            <a:xfrm>
              <a:off x="9513570" y="43864530"/>
              <a:ext cx="3356610" cy="60579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𝐶𝑜𝑠𝑡𝑜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𝑑𝑒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𝑉𝑒𝑛𝑡𝑎𝑠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𝐶𝑜𝑠𝑡𝑜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𝑑𝑒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𝑀𝐷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𝐶𝑜𝑠𝑡𝑜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𝑑𝑒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𝑀𝑂𝐷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</m:oMath>
              </a14:m>
              <a:r>
                <a:rPr lang="es-PE" sz="120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CIFab </a:t>
              </a:r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5AB9402F-E444-B74C-6625-83FAE7BC5851}"/>
                </a:ext>
              </a:extLst>
            </xdr:cNvPr>
            <xdr:cNvSpPr txBox="1"/>
          </xdr:nvSpPr>
          <xdr:spPr>
            <a:xfrm>
              <a:off x="9513570" y="43864530"/>
              <a:ext cx="3356610" cy="60579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PE" sz="12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𝐶𝑜𝑠𝑡𝑜 𝑑𝑒 𝑉𝑒𝑛𝑡𝑎𝑠=𝐶𝑜𝑠𝑡𝑜 𝑑𝑒 𝑀𝐷+𝐶𝑜𝑠𝑡𝑜 𝑑𝑒 𝑀𝑂𝐷+</a:t>
              </a:r>
              <a:r>
                <a:rPr lang="es-PE" sz="120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CIFab </a:t>
              </a:r>
            </a:p>
          </xdr:txBody>
        </xdr:sp>
      </mc:Fallback>
    </mc:AlternateContent>
    <xdr:clientData/>
  </xdr:oneCellAnchor>
  <xdr:twoCellAnchor>
    <xdr:from>
      <xdr:col>7</xdr:col>
      <xdr:colOff>365760</xdr:colOff>
      <xdr:row>238</xdr:row>
      <xdr:rowOff>99061</xdr:rowOff>
    </xdr:from>
    <xdr:to>
      <xdr:col>11</xdr:col>
      <xdr:colOff>427382</xdr:colOff>
      <xdr:row>241</xdr:row>
      <xdr:rowOff>144781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F3410121-4614-4E98-9C75-3E33340B3CAA}"/>
            </a:ext>
          </a:extLst>
        </xdr:cNvPr>
        <xdr:cNvSpPr/>
      </xdr:nvSpPr>
      <xdr:spPr>
        <a:xfrm>
          <a:off x="9631680" y="45681901"/>
          <a:ext cx="3201062" cy="5943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la capacidad instalada en planta</a:t>
          </a:r>
          <a:endParaRPr lang="es-PE" sz="1200">
            <a:effectLst/>
          </a:endParaRPr>
        </a:p>
      </xdr:txBody>
    </xdr:sp>
    <xdr:clientData/>
  </xdr:twoCellAnchor>
  <xdr:twoCellAnchor>
    <xdr:from>
      <xdr:col>7</xdr:col>
      <xdr:colOff>327660</xdr:colOff>
      <xdr:row>244</xdr:row>
      <xdr:rowOff>129540</xdr:rowOff>
    </xdr:from>
    <xdr:to>
      <xdr:col>11</xdr:col>
      <xdr:colOff>389282</xdr:colOff>
      <xdr:row>247</xdr:row>
      <xdr:rowOff>175260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EE5B7173-8030-4C09-9AD0-A0A51476224D}"/>
            </a:ext>
          </a:extLst>
        </xdr:cNvPr>
        <xdr:cNvSpPr/>
      </xdr:nvSpPr>
      <xdr:spPr>
        <a:xfrm>
          <a:off x="9593580" y="46809660"/>
          <a:ext cx="3201062" cy="5943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la capacidad instalada en planta</a:t>
          </a:r>
          <a:endParaRPr lang="es-PE" sz="1200">
            <a:effectLst/>
          </a:endParaRPr>
        </a:p>
      </xdr:txBody>
    </xdr:sp>
    <xdr:clientData/>
  </xdr:twoCellAnchor>
  <xdr:twoCellAnchor>
    <xdr:from>
      <xdr:col>7</xdr:col>
      <xdr:colOff>381000</xdr:colOff>
      <xdr:row>252</xdr:row>
      <xdr:rowOff>7620</xdr:rowOff>
    </xdr:from>
    <xdr:to>
      <xdr:col>11</xdr:col>
      <xdr:colOff>442622</xdr:colOff>
      <xdr:row>255</xdr:row>
      <xdr:rowOff>53340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17F81FE3-7DD6-4215-AEC3-FD8A50526B89}"/>
            </a:ext>
          </a:extLst>
        </xdr:cNvPr>
        <xdr:cNvSpPr/>
      </xdr:nvSpPr>
      <xdr:spPr>
        <a:xfrm>
          <a:off x="9646920" y="47785020"/>
          <a:ext cx="3201062" cy="5943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la capacidad instalada en planta</a:t>
          </a:r>
          <a:endParaRPr lang="es-PE" sz="1200">
            <a:effectLst/>
          </a:endParaRPr>
        </a:p>
      </xdr:txBody>
    </xdr:sp>
    <xdr:clientData/>
  </xdr:twoCellAnchor>
  <xdr:twoCellAnchor>
    <xdr:from>
      <xdr:col>7</xdr:col>
      <xdr:colOff>388620</xdr:colOff>
      <xdr:row>259</xdr:row>
      <xdr:rowOff>7620</xdr:rowOff>
    </xdr:from>
    <xdr:to>
      <xdr:col>11</xdr:col>
      <xdr:colOff>450242</xdr:colOff>
      <xdr:row>262</xdr:row>
      <xdr:rowOff>53340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63386457-E323-459F-99C8-4CBF05B91DBE}"/>
            </a:ext>
          </a:extLst>
        </xdr:cNvPr>
        <xdr:cNvSpPr/>
      </xdr:nvSpPr>
      <xdr:spPr>
        <a:xfrm>
          <a:off x="9654540" y="48699420"/>
          <a:ext cx="3201062" cy="5943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la capacidad instalada en planta</a:t>
          </a:r>
          <a:endParaRPr lang="es-PE" sz="1200">
            <a:effectLst/>
          </a:endParaRPr>
        </a:p>
      </xdr:txBody>
    </xdr:sp>
    <xdr:clientData/>
  </xdr:twoCellAnchor>
  <xdr:twoCellAnchor>
    <xdr:from>
      <xdr:col>7</xdr:col>
      <xdr:colOff>342900</xdr:colOff>
      <xdr:row>220</xdr:row>
      <xdr:rowOff>121920</xdr:rowOff>
    </xdr:from>
    <xdr:to>
      <xdr:col>11</xdr:col>
      <xdr:colOff>404522</xdr:colOff>
      <xdr:row>225</xdr:row>
      <xdr:rowOff>60960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66150C59-DD1D-4EEB-BF33-2BD06471E3E9}"/>
            </a:ext>
          </a:extLst>
        </xdr:cNvPr>
        <xdr:cNvSpPr/>
      </xdr:nvSpPr>
      <xdr:spPr>
        <a:xfrm>
          <a:off x="9608820" y="38023800"/>
          <a:ext cx="3201062" cy="8534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PE" sz="1200"/>
            <a:t>Para los cálculos se</a:t>
          </a:r>
          <a:r>
            <a:rPr lang="es-PE" sz="1200" baseline="0"/>
            <a:t> tomo en cuenta la capacidad instalada en planta</a:t>
          </a:r>
          <a:endParaRPr lang="es-PE" sz="1200"/>
        </a:p>
      </xdr:txBody>
    </xdr:sp>
    <xdr:clientData/>
  </xdr:twoCellAnchor>
  <xdr:twoCellAnchor>
    <xdr:from>
      <xdr:col>7</xdr:col>
      <xdr:colOff>403860</xdr:colOff>
      <xdr:row>266</xdr:row>
      <xdr:rowOff>7620</xdr:rowOff>
    </xdr:from>
    <xdr:to>
      <xdr:col>11</xdr:col>
      <xdr:colOff>465482</xdr:colOff>
      <xdr:row>269</xdr:row>
      <xdr:rowOff>38100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7C745107-ABE5-4CCD-B24E-80BB468CBDD2}"/>
            </a:ext>
          </a:extLst>
        </xdr:cNvPr>
        <xdr:cNvSpPr/>
      </xdr:nvSpPr>
      <xdr:spPr>
        <a:xfrm>
          <a:off x="9669780" y="49613820"/>
          <a:ext cx="3201062" cy="5943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la capacidad instalada en planta</a:t>
          </a:r>
          <a:endParaRPr lang="es-PE" sz="1200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169331</xdr:colOff>
      <xdr:row>54</xdr:row>
      <xdr:rowOff>25398</xdr:rowOff>
    </xdr:from>
    <xdr:to>
      <xdr:col>4</xdr:col>
      <xdr:colOff>728132</xdr:colOff>
      <xdr:row>66</xdr:row>
      <xdr:rowOff>84665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1FE3DE3-C6EF-9FDB-1480-7795EA455457}"/>
            </a:ext>
          </a:extLst>
        </xdr:cNvPr>
        <xdr:cNvSpPr/>
      </xdr:nvSpPr>
      <xdr:spPr>
        <a:xfrm>
          <a:off x="355598" y="9575798"/>
          <a:ext cx="3869267" cy="221826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PE" sz="1200"/>
            <a:t>No existe inflación trimestral y el tipo de cambio afecta únicamente</a:t>
          </a:r>
          <a:r>
            <a:rPr lang="es-PE" sz="1200" baseline="0"/>
            <a:t> al precio de venta, por lo cual el flujo de caja incremental no presenta variablidad.</a:t>
          </a:r>
          <a:endParaRPr lang="es-PE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15</xdr:row>
      <xdr:rowOff>99060</xdr:rowOff>
    </xdr:from>
    <xdr:to>
      <xdr:col>11</xdr:col>
      <xdr:colOff>609600</xdr:colOff>
      <xdr:row>22</xdr:row>
      <xdr:rowOff>45720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6473A63-B362-4D5B-838D-5BE2A7BA1E00}"/>
            </a:ext>
          </a:extLst>
        </xdr:cNvPr>
        <xdr:cNvSpPr/>
      </xdr:nvSpPr>
      <xdr:spPr>
        <a:xfrm>
          <a:off x="9646920" y="1013460"/>
          <a:ext cx="3368040" cy="14097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PE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 ventas realizada</a:t>
          </a:r>
          <a:r>
            <a:rPr lang="es-PE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por la empresa </a:t>
          </a:r>
          <a:r>
            <a:rPr lang="es-PE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son bajo pedido y 100% exportación, se produce bajo pedido lo</a:t>
          </a:r>
          <a:r>
            <a:rPr lang="es-PE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necesario y oportuno.</a:t>
          </a:r>
          <a:endParaRPr lang="es-PE" sz="1400">
            <a:effectLst/>
          </a:endParaRPr>
        </a:p>
      </xdr:txBody>
    </xdr:sp>
    <xdr:clientData/>
  </xdr:twoCellAnchor>
  <xdr:twoCellAnchor>
    <xdr:from>
      <xdr:col>7</xdr:col>
      <xdr:colOff>365760</xdr:colOff>
      <xdr:row>75</xdr:row>
      <xdr:rowOff>24846</xdr:rowOff>
    </xdr:from>
    <xdr:to>
      <xdr:col>11</xdr:col>
      <xdr:colOff>426720</xdr:colOff>
      <xdr:row>79</xdr:row>
      <xdr:rowOff>68579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9B1031FE-4327-4D7C-A1FB-41B98DA1D8F9}"/>
            </a:ext>
          </a:extLst>
        </xdr:cNvPr>
        <xdr:cNvSpPr/>
      </xdr:nvSpPr>
      <xdr:spPr>
        <a:xfrm>
          <a:off x="9631680" y="12277806"/>
          <a:ext cx="3200400" cy="798113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PE" sz="1200"/>
            <a:t>Los</a:t>
          </a:r>
          <a:r>
            <a:rPr lang="es-PE" sz="1200" baseline="0"/>
            <a:t> operarios de MOD no reciben beneficios laborales. Trabajan con recibos por honorarios.</a:t>
          </a:r>
          <a:endParaRPr lang="es-PE" sz="1200"/>
        </a:p>
      </xdr:txBody>
    </xdr:sp>
    <xdr:clientData/>
  </xdr:twoCellAnchor>
  <xdr:twoCellAnchor>
    <xdr:from>
      <xdr:col>3</xdr:col>
      <xdr:colOff>570508</xdr:colOff>
      <xdr:row>163</xdr:row>
      <xdr:rowOff>142790</xdr:rowOff>
    </xdr:from>
    <xdr:to>
      <xdr:col>6</xdr:col>
      <xdr:colOff>731520</xdr:colOff>
      <xdr:row>168</xdr:row>
      <xdr:rowOff>15240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2896A717-0370-4404-AB06-3B9B94A31181}"/>
            </a:ext>
          </a:extLst>
        </xdr:cNvPr>
        <xdr:cNvSpPr/>
      </xdr:nvSpPr>
      <xdr:spPr>
        <a:xfrm>
          <a:off x="4746268" y="28527290"/>
          <a:ext cx="3978632" cy="7944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PE" sz="1200"/>
            <a:t>Los</a:t>
          </a:r>
          <a:r>
            <a:rPr lang="es-PE" sz="1200" baseline="0"/>
            <a:t> operarios de MOI si reciben beneficios laborales. Factor de sueldo mensual promedio considerando otros beneficios</a:t>
          </a:r>
          <a:endParaRPr lang="es-PE" sz="1200"/>
        </a:p>
      </xdr:txBody>
    </xdr:sp>
    <xdr:clientData/>
  </xdr:twoCellAnchor>
  <xdr:twoCellAnchor>
    <xdr:from>
      <xdr:col>7</xdr:col>
      <xdr:colOff>388620</xdr:colOff>
      <xdr:row>31</xdr:row>
      <xdr:rowOff>167640</xdr:rowOff>
    </xdr:from>
    <xdr:to>
      <xdr:col>11</xdr:col>
      <xdr:colOff>450242</xdr:colOff>
      <xdr:row>39</xdr:row>
      <xdr:rowOff>177247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FC3C9A3-6F22-426C-8E54-608F2CB06A12}"/>
            </a:ext>
          </a:extLst>
        </xdr:cNvPr>
        <xdr:cNvSpPr/>
      </xdr:nvSpPr>
      <xdr:spPr>
        <a:xfrm>
          <a:off x="9654540" y="4373880"/>
          <a:ext cx="3201062" cy="147264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requerimientos de material directo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el plan de compras propuesto en el MRP.</a:t>
          </a:r>
          <a:endParaRPr lang="es-P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de material directo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una inflación de 0% trimestral</a:t>
          </a:r>
          <a:endParaRPr lang="es-PE" sz="1200">
            <a:effectLst/>
          </a:endParaRPr>
        </a:p>
      </xdr:txBody>
    </xdr:sp>
    <xdr:clientData/>
  </xdr:twoCellAnchor>
  <xdr:twoCellAnchor>
    <xdr:from>
      <xdr:col>7</xdr:col>
      <xdr:colOff>365760</xdr:colOff>
      <xdr:row>43</xdr:row>
      <xdr:rowOff>129540</xdr:rowOff>
    </xdr:from>
    <xdr:to>
      <xdr:col>11</xdr:col>
      <xdr:colOff>427382</xdr:colOff>
      <xdr:row>51</xdr:row>
      <xdr:rowOff>139147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FE8D599-C4CA-4C99-8C9E-4A7827C8DDE4}"/>
            </a:ext>
          </a:extLst>
        </xdr:cNvPr>
        <xdr:cNvSpPr/>
      </xdr:nvSpPr>
      <xdr:spPr>
        <a:xfrm>
          <a:off x="9631680" y="6530340"/>
          <a:ext cx="3201062" cy="147264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requerimientos de material directo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el plan de compras propuesto en el MRP.</a:t>
          </a:r>
          <a:endParaRPr lang="es-PE">
            <a:effectLst/>
          </a:endParaRPr>
        </a:p>
        <a:p>
          <a:pPr eaLnBrk="1" fontAlgn="auto" latinLnBrk="0" hangingPunct="1"/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de material directo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una inflación de 0% trimestral</a:t>
          </a:r>
          <a:endParaRPr lang="es-PE" sz="1200">
            <a:effectLst/>
          </a:endParaRPr>
        </a:p>
      </xdr:txBody>
    </xdr:sp>
    <xdr:clientData/>
  </xdr:twoCellAnchor>
  <xdr:twoCellAnchor>
    <xdr:from>
      <xdr:col>7</xdr:col>
      <xdr:colOff>403860</xdr:colOff>
      <xdr:row>56</xdr:row>
      <xdr:rowOff>45720</xdr:rowOff>
    </xdr:from>
    <xdr:to>
      <xdr:col>11</xdr:col>
      <xdr:colOff>465482</xdr:colOff>
      <xdr:row>66</xdr:row>
      <xdr:rowOff>123907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C6283AE-CD39-4E93-BAF9-EB0B702916A8}"/>
            </a:ext>
          </a:extLst>
        </xdr:cNvPr>
        <xdr:cNvSpPr/>
      </xdr:nvSpPr>
      <xdr:spPr>
        <a:xfrm>
          <a:off x="9669780" y="10287000"/>
          <a:ext cx="3201062" cy="190698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requerimientos de material directo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el plan de compras propuesto en el MRP.</a:t>
          </a:r>
        </a:p>
        <a:p>
          <a:pPr eaLnBrk="1" fontAlgn="auto" latinLnBrk="0" hangingPunct="1"/>
          <a:endParaRPr lang="es-PE">
            <a:effectLst/>
          </a:endParaRPr>
        </a:p>
        <a:p>
          <a:pPr eaLnBrk="1" fontAlgn="auto" latinLnBrk="0" hangingPunct="1"/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de material directo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una inflación de 0% trimestral.</a:t>
          </a:r>
        </a:p>
        <a:p>
          <a:pPr eaLnBrk="1" fontAlgn="auto" latinLnBrk="0" hangingPunct="1"/>
          <a:endParaRPr lang="es-PE">
            <a:effectLst/>
          </a:endParaRPr>
        </a:p>
        <a:p>
          <a:pPr eaLnBrk="1" fontAlgn="auto" latinLnBrk="0" hangingPunct="1"/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proceso de Acabado acontece luego del proceso de Inspección, en el cual, ya se descartan los productos no conformes en el último.</a:t>
          </a:r>
          <a:endParaRPr lang="es-PE" sz="1200">
            <a:effectLst/>
          </a:endParaRPr>
        </a:p>
      </xdr:txBody>
    </xdr:sp>
    <xdr:clientData/>
  </xdr:twoCellAnchor>
  <xdr:twoCellAnchor>
    <xdr:from>
      <xdr:col>7</xdr:col>
      <xdr:colOff>373380</xdr:colOff>
      <xdr:row>68</xdr:row>
      <xdr:rowOff>22861</xdr:rowOff>
    </xdr:from>
    <xdr:to>
      <xdr:col>11</xdr:col>
      <xdr:colOff>435002</xdr:colOff>
      <xdr:row>72</xdr:row>
      <xdr:rowOff>144780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77B15977-B5F5-4BF7-AF7B-BBE7AA9772E0}"/>
            </a:ext>
          </a:extLst>
        </xdr:cNvPr>
        <xdr:cNvSpPr/>
      </xdr:nvSpPr>
      <xdr:spPr>
        <a:xfrm>
          <a:off x="9639300" y="10995661"/>
          <a:ext cx="3201062" cy="85343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 costos unitarios de MD son independientes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cada proceso por la capacidad necesaria independiente.</a:t>
          </a:r>
          <a:endParaRPr lang="es-PE">
            <a:effectLst/>
          </a:endParaRPr>
        </a:p>
      </xdr:txBody>
    </xdr:sp>
    <xdr:clientData/>
  </xdr:twoCellAnchor>
  <xdr:twoCellAnchor>
    <xdr:from>
      <xdr:col>7</xdr:col>
      <xdr:colOff>396240</xdr:colOff>
      <xdr:row>83</xdr:row>
      <xdr:rowOff>114301</xdr:rowOff>
    </xdr:from>
    <xdr:to>
      <xdr:col>11</xdr:col>
      <xdr:colOff>457862</xdr:colOff>
      <xdr:row>88</xdr:row>
      <xdr:rowOff>53341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9D013D99-1BD5-4932-840F-9A77E131E6B2}"/>
            </a:ext>
          </a:extLst>
        </xdr:cNvPr>
        <xdr:cNvSpPr/>
      </xdr:nvSpPr>
      <xdr:spPr>
        <a:xfrm>
          <a:off x="9662160" y="13853161"/>
          <a:ext cx="3201062" cy="8534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el tiempo estandar y el n° de operarios independiente de cada proceso</a:t>
          </a:r>
          <a:endParaRPr lang="es-PE" sz="1200">
            <a:effectLst/>
          </a:endParaRPr>
        </a:p>
      </xdr:txBody>
    </xdr:sp>
    <xdr:clientData/>
  </xdr:twoCellAnchor>
  <xdr:twoCellAnchor>
    <xdr:from>
      <xdr:col>7</xdr:col>
      <xdr:colOff>434340</xdr:colOff>
      <xdr:row>95</xdr:row>
      <xdr:rowOff>175260</xdr:rowOff>
    </xdr:from>
    <xdr:to>
      <xdr:col>11</xdr:col>
      <xdr:colOff>495962</xdr:colOff>
      <xdr:row>100</xdr:row>
      <xdr:rowOff>114300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6BDE4AF8-3019-4D49-BF62-A054466235BF}"/>
            </a:ext>
          </a:extLst>
        </xdr:cNvPr>
        <xdr:cNvSpPr/>
      </xdr:nvSpPr>
      <xdr:spPr>
        <a:xfrm>
          <a:off x="9700260" y="16123920"/>
          <a:ext cx="3201062" cy="8534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el tiempo estandar y el n° de operarios independiente de cada proceso</a:t>
          </a:r>
          <a:endParaRPr lang="es-PE" sz="1200">
            <a:effectLst/>
          </a:endParaRPr>
        </a:p>
      </xdr:txBody>
    </xdr:sp>
    <xdr:clientData/>
  </xdr:twoCellAnchor>
  <xdr:twoCellAnchor>
    <xdr:from>
      <xdr:col>7</xdr:col>
      <xdr:colOff>472440</xdr:colOff>
      <xdr:row>108</xdr:row>
      <xdr:rowOff>106680</xdr:rowOff>
    </xdr:from>
    <xdr:to>
      <xdr:col>11</xdr:col>
      <xdr:colOff>534062</xdr:colOff>
      <xdr:row>116</xdr:row>
      <xdr:rowOff>116287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B433C555-C70A-417A-95FA-16BB4290543B}"/>
            </a:ext>
          </a:extLst>
        </xdr:cNvPr>
        <xdr:cNvSpPr/>
      </xdr:nvSpPr>
      <xdr:spPr>
        <a:xfrm>
          <a:off x="9738360" y="18432780"/>
          <a:ext cx="3201062" cy="147264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se tomo en cuenta el tiempo estandar y el n° de operarios independiente de cada proceso</a:t>
          </a:r>
          <a:endParaRPr lang="es-PE" sz="1200">
            <a:effectLst/>
          </a:endParaRPr>
        </a:p>
        <a:p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proceso de Acabado acontece luego del proceso de Inspección, en el cual, ya se descartan los productos no conformes en el último.</a:t>
          </a:r>
          <a:endParaRPr lang="es-PE" sz="1200">
            <a:effectLst/>
          </a:endParaRPr>
        </a:p>
      </xdr:txBody>
    </xdr:sp>
    <xdr:clientData/>
  </xdr:twoCellAnchor>
  <xdr:twoCellAnchor>
    <xdr:from>
      <xdr:col>7</xdr:col>
      <xdr:colOff>457200</xdr:colOff>
      <xdr:row>118</xdr:row>
      <xdr:rowOff>15240</xdr:rowOff>
    </xdr:from>
    <xdr:to>
      <xdr:col>11</xdr:col>
      <xdr:colOff>518822</xdr:colOff>
      <xdr:row>122</xdr:row>
      <xdr:rowOff>137159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40CC05B4-AD66-4E2D-A3A6-B6F15CECBE36}"/>
            </a:ext>
          </a:extLst>
        </xdr:cNvPr>
        <xdr:cNvSpPr/>
      </xdr:nvSpPr>
      <xdr:spPr>
        <a:xfrm>
          <a:off x="9723120" y="20170140"/>
          <a:ext cx="3201062" cy="85343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 costos unitarios de MOD son independientes de cada proceso por la capacidad necesaria en que se trabaja.</a:t>
          </a:r>
          <a:endParaRPr lang="es-PE" sz="1200">
            <a:effectLst/>
          </a:endParaRPr>
        </a:p>
      </xdr:txBody>
    </xdr:sp>
    <xdr:clientData/>
  </xdr:twoCellAnchor>
  <xdr:oneCellAnchor>
    <xdr:from>
      <xdr:col>7</xdr:col>
      <xdr:colOff>247650</xdr:colOff>
      <xdr:row>229</xdr:row>
      <xdr:rowOff>110490</xdr:rowOff>
    </xdr:from>
    <xdr:ext cx="3356610" cy="6057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A84A2E64-950C-45D2-A5DD-DBBBAF8755F2}"/>
                </a:ext>
              </a:extLst>
            </xdr:cNvPr>
            <xdr:cNvSpPr txBox="1"/>
          </xdr:nvSpPr>
          <xdr:spPr>
            <a:xfrm>
              <a:off x="9513570" y="44230290"/>
              <a:ext cx="3356610" cy="60579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𝐶𝑜𝑠𝑡𝑜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𝑑𝑒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𝑉𝑒𝑛𝑡𝑎𝑠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𝐶𝑜𝑠𝑡𝑜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𝑑𝑒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𝑀𝐷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𝐶𝑜𝑠𝑡𝑜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𝑑𝑒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𝑀𝑂𝐷</m:t>
                  </m:r>
                  <m:r>
                    <a:rPr lang="es-PE" sz="12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</m:oMath>
              </a14:m>
              <a:r>
                <a:rPr lang="es-PE" sz="120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CIFab</a:t>
              </a:r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A84A2E64-950C-45D2-A5DD-DBBBAF8755F2}"/>
                </a:ext>
              </a:extLst>
            </xdr:cNvPr>
            <xdr:cNvSpPr txBox="1"/>
          </xdr:nvSpPr>
          <xdr:spPr>
            <a:xfrm>
              <a:off x="9513570" y="44230290"/>
              <a:ext cx="3356610" cy="60579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PE" sz="12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𝐶𝑜𝑠𝑡𝑜 𝑑𝑒 𝑉𝑒𝑛𝑡𝑎𝑠=𝐶𝑜𝑠𝑡𝑜 𝑑𝑒 𝑀𝐷+𝐶𝑜𝑠𝑡𝑜 𝑑𝑒 𝑀𝑂𝐷+</a:t>
              </a:r>
              <a:r>
                <a:rPr lang="es-PE" sz="120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CIFab</a:t>
              </a:r>
            </a:p>
          </xdr:txBody>
        </xdr:sp>
      </mc:Fallback>
    </mc:AlternateContent>
    <xdr:clientData/>
  </xdr:oneCellAnchor>
  <xdr:twoCellAnchor>
    <xdr:from>
      <xdr:col>7</xdr:col>
      <xdr:colOff>365760</xdr:colOff>
      <xdr:row>239</xdr:row>
      <xdr:rowOff>99061</xdr:rowOff>
    </xdr:from>
    <xdr:to>
      <xdr:col>11</xdr:col>
      <xdr:colOff>427382</xdr:colOff>
      <xdr:row>242</xdr:row>
      <xdr:rowOff>144781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24EDB791-A702-4FA3-9B50-54A208929032}"/>
            </a:ext>
          </a:extLst>
        </xdr:cNvPr>
        <xdr:cNvSpPr/>
      </xdr:nvSpPr>
      <xdr:spPr>
        <a:xfrm>
          <a:off x="9631680" y="46047661"/>
          <a:ext cx="3201062" cy="5943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la capacidad instalada en planta</a:t>
          </a:r>
          <a:endParaRPr lang="es-PE" sz="1200">
            <a:effectLst/>
          </a:endParaRPr>
        </a:p>
      </xdr:txBody>
    </xdr:sp>
    <xdr:clientData/>
  </xdr:twoCellAnchor>
  <xdr:twoCellAnchor>
    <xdr:from>
      <xdr:col>7</xdr:col>
      <xdr:colOff>327660</xdr:colOff>
      <xdr:row>245</xdr:row>
      <xdr:rowOff>129540</xdr:rowOff>
    </xdr:from>
    <xdr:to>
      <xdr:col>11</xdr:col>
      <xdr:colOff>389282</xdr:colOff>
      <xdr:row>248</xdr:row>
      <xdr:rowOff>175260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74F0FBB4-3006-472F-90C8-47372FE1E0C4}"/>
            </a:ext>
          </a:extLst>
        </xdr:cNvPr>
        <xdr:cNvSpPr/>
      </xdr:nvSpPr>
      <xdr:spPr>
        <a:xfrm>
          <a:off x="9593580" y="47175420"/>
          <a:ext cx="3201062" cy="5943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la capacidad instalada en planta</a:t>
          </a:r>
          <a:endParaRPr lang="es-PE" sz="1200">
            <a:effectLst/>
          </a:endParaRPr>
        </a:p>
      </xdr:txBody>
    </xdr:sp>
    <xdr:clientData/>
  </xdr:twoCellAnchor>
  <xdr:twoCellAnchor>
    <xdr:from>
      <xdr:col>7</xdr:col>
      <xdr:colOff>381000</xdr:colOff>
      <xdr:row>253</xdr:row>
      <xdr:rowOff>7620</xdr:rowOff>
    </xdr:from>
    <xdr:to>
      <xdr:col>11</xdr:col>
      <xdr:colOff>442622</xdr:colOff>
      <xdr:row>256</xdr:row>
      <xdr:rowOff>53340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D5E6CA7A-D333-48CC-926B-C73F954EB7A0}"/>
            </a:ext>
          </a:extLst>
        </xdr:cNvPr>
        <xdr:cNvSpPr/>
      </xdr:nvSpPr>
      <xdr:spPr>
        <a:xfrm>
          <a:off x="9646920" y="48516540"/>
          <a:ext cx="3201062" cy="5943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la capacidad instalada en planta</a:t>
          </a:r>
          <a:endParaRPr lang="es-PE" sz="1200">
            <a:effectLst/>
          </a:endParaRPr>
        </a:p>
      </xdr:txBody>
    </xdr:sp>
    <xdr:clientData/>
  </xdr:twoCellAnchor>
  <xdr:twoCellAnchor>
    <xdr:from>
      <xdr:col>7</xdr:col>
      <xdr:colOff>388620</xdr:colOff>
      <xdr:row>260</xdr:row>
      <xdr:rowOff>7620</xdr:rowOff>
    </xdr:from>
    <xdr:to>
      <xdr:col>11</xdr:col>
      <xdr:colOff>450242</xdr:colOff>
      <xdr:row>263</xdr:row>
      <xdr:rowOff>53340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708AC210-A9D7-40B3-B3A1-1A0FA531B3C9}"/>
            </a:ext>
          </a:extLst>
        </xdr:cNvPr>
        <xdr:cNvSpPr/>
      </xdr:nvSpPr>
      <xdr:spPr>
        <a:xfrm>
          <a:off x="9654540" y="49796700"/>
          <a:ext cx="3201062" cy="5943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la capacidad instalada en planta</a:t>
          </a:r>
          <a:endParaRPr lang="es-PE" sz="1200">
            <a:effectLst/>
          </a:endParaRPr>
        </a:p>
      </xdr:txBody>
    </xdr:sp>
    <xdr:clientData/>
  </xdr:twoCellAnchor>
  <xdr:twoCellAnchor>
    <xdr:from>
      <xdr:col>7</xdr:col>
      <xdr:colOff>342900</xdr:colOff>
      <xdr:row>222</xdr:row>
      <xdr:rowOff>0</xdr:rowOff>
    </xdr:from>
    <xdr:to>
      <xdr:col>11</xdr:col>
      <xdr:colOff>404522</xdr:colOff>
      <xdr:row>226</xdr:row>
      <xdr:rowOff>60960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36603A80-CE5F-4B39-B8E8-3868B86DCBBE}"/>
            </a:ext>
          </a:extLst>
        </xdr:cNvPr>
        <xdr:cNvSpPr/>
      </xdr:nvSpPr>
      <xdr:spPr>
        <a:xfrm>
          <a:off x="9608820" y="38389560"/>
          <a:ext cx="3201062" cy="8534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la capacidad instalada en planta</a:t>
          </a:r>
          <a:endParaRPr lang="es-PE" sz="1200">
            <a:effectLst/>
          </a:endParaRPr>
        </a:p>
      </xdr:txBody>
    </xdr:sp>
    <xdr:clientData/>
  </xdr:twoCellAnchor>
  <xdr:twoCellAnchor>
    <xdr:from>
      <xdr:col>7</xdr:col>
      <xdr:colOff>403860</xdr:colOff>
      <xdr:row>267</xdr:row>
      <xdr:rowOff>7620</xdr:rowOff>
    </xdr:from>
    <xdr:to>
      <xdr:col>11</xdr:col>
      <xdr:colOff>465482</xdr:colOff>
      <xdr:row>270</xdr:row>
      <xdr:rowOff>38100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9860332A-DE3C-4C5E-A51B-7AB1F6CCAFA2}"/>
            </a:ext>
          </a:extLst>
        </xdr:cNvPr>
        <xdr:cNvSpPr/>
      </xdr:nvSpPr>
      <xdr:spPr>
        <a:xfrm>
          <a:off x="9669780" y="51076860"/>
          <a:ext cx="3201062" cy="5943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los cálculos se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tomo en cuenta la capacidad instalada en planta</a:t>
          </a:r>
          <a:endParaRPr lang="es-PE" sz="1200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1059180</xdr:colOff>
      <xdr:row>31</xdr:row>
      <xdr:rowOff>144780</xdr:rowOff>
    </xdr:from>
    <xdr:to>
      <xdr:col>5</xdr:col>
      <xdr:colOff>723900</xdr:colOff>
      <xdr:row>37</xdr:row>
      <xdr:rowOff>76200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125B42E-1489-489E-BE9A-098A8EDB7EE1}"/>
            </a:ext>
          </a:extLst>
        </xdr:cNvPr>
        <xdr:cNvSpPr/>
      </xdr:nvSpPr>
      <xdr:spPr>
        <a:xfrm>
          <a:off x="3139440" y="5836920"/>
          <a:ext cx="3253740" cy="1028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1100" baseline="0"/>
            <a:t>No existe inversión en activos tangibles por lo que no existe valor comercial y valor en libros para calcular el valor residual.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3</xdr:row>
      <xdr:rowOff>114300</xdr:rowOff>
    </xdr:from>
    <xdr:to>
      <xdr:col>6</xdr:col>
      <xdr:colOff>510540</xdr:colOff>
      <xdr:row>11</xdr:row>
      <xdr:rowOff>175260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586BAE9-AD16-EE92-6913-B7E660CB9E11}"/>
            </a:ext>
          </a:extLst>
        </xdr:cNvPr>
        <xdr:cNvSpPr/>
      </xdr:nvSpPr>
      <xdr:spPr>
        <a:xfrm>
          <a:off x="3474720" y="662940"/>
          <a:ext cx="2781300" cy="1524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No</a:t>
          </a:r>
          <a:r>
            <a:rPr lang="es-PE" sz="1100" baseline="0"/>
            <a:t> existen activos tangibles por lo que no es necesario calcular el servicio a la deuda, no se cuenta con autoridad para realizar inversiones en activos tangibles.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153745</xdr:colOff>
      <xdr:row>17</xdr:row>
      <xdr:rowOff>42525</xdr:rowOff>
    </xdr:from>
    <xdr:to>
      <xdr:col>5</xdr:col>
      <xdr:colOff>66788</xdr:colOff>
      <xdr:row>23</xdr:row>
      <xdr:rowOff>86957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7FF736-71B1-4CD2-169B-1E1180ABD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45" y="3198101"/>
          <a:ext cx="8223325" cy="11201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145676</xdr:colOff>
      <xdr:row>24</xdr:row>
      <xdr:rowOff>75752</xdr:rowOff>
    </xdr:from>
    <xdr:to>
      <xdr:col>12</xdr:col>
      <xdr:colOff>208878</xdr:colOff>
      <xdr:row>27</xdr:row>
      <xdr:rowOff>75751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B4E801-7488-8B0E-B43B-899250203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76" y="4486387"/>
          <a:ext cx="14496378" cy="537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89648</xdr:colOff>
      <xdr:row>32</xdr:row>
      <xdr:rowOff>116541</xdr:rowOff>
    </xdr:from>
    <xdr:to>
      <xdr:col>5</xdr:col>
      <xdr:colOff>612739</xdr:colOff>
      <xdr:row>37</xdr:row>
      <xdr:rowOff>155985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5209C6A-960A-D537-1EEE-D6DF60694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836" y="6131859"/>
          <a:ext cx="8627185" cy="935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188259</xdr:colOff>
      <xdr:row>28</xdr:row>
      <xdr:rowOff>62752</xdr:rowOff>
    </xdr:from>
    <xdr:to>
      <xdr:col>9</xdr:col>
      <xdr:colOff>670560</xdr:colOff>
      <xdr:row>31</xdr:row>
      <xdr:rowOff>29583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97F27C4-CF76-09FF-5F9B-ED0D71D93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259" y="5190564"/>
          <a:ext cx="12548795" cy="504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mppe-my.sharepoint.com/personal/daniel_apaza_usmp_pe/Documents/Archivos%20de%20chat%20de%20Microsoft%20Teams/EEFP%20Texmay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stó. Vtas"/>
      <sheetName val="Pronóstico"/>
      <sheetName val="Datos"/>
      <sheetName val="Sit. SP"/>
      <sheetName val="Planes"/>
      <sheetName val="Sit. CP"/>
      <sheetName val="ESTRUCTURA DE COSTOS"/>
      <sheetName val="Proceso"/>
      <sheetName val="Inversiones"/>
      <sheetName val="G.N.D. y V.R."/>
      <sheetName val="Flujos"/>
      <sheetName val="TD"/>
      <sheetName val="Financiam."/>
      <sheetName val="Escenarios"/>
      <sheetName val="ER"/>
      <sheetName val="ESF"/>
    </sheetNames>
    <sheetDataSet>
      <sheetData sheetId="0">
        <row r="65">
          <cell r="B65">
            <v>0.79747997283466465</v>
          </cell>
        </row>
      </sheetData>
      <sheetData sheetId="1"/>
      <sheetData sheetId="2">
        <row r="31">
          <cell r="C31">
            <v>1.4999999999999999E-2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globalpetrolprices.com/Peru/electricity_prices/" TargetMode="External"/><Relationship Id="rId2" Type="http://schemas.openxmlformats.org/officeDocument/2006/relationships/hyperlink" Target="https://orientacion.sunat.gob.pe/sites/default/files/inline-files/NuevoRegimenGeneral_02.20.pdf" TargetMode="External"/><Relationship Id="rId1" Type="http://schemas.openxmlformats.org/officeDocument/2006/relationships/hyperlink" Target="https://www.gob.pe/7021-drawback-tramitar-el-drawbac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edapal.com.pe/storage/objects/1-estructura-tarifaria-agua-potable-y-alcantarillado-web-rcd-079-26122021-20220421103935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finance.yahoo.com/bonds" TargetMode="External"/><Relationship Id="rId2" Type="http://schemas.openxmlformats.org/officeDocument/2006/relationships/hyperlink" Target="http://people.stern.nyu.edu/adamodar/New_Home_Page/datafile/histretSP.html" TargetMode="External"/><Relationship Id="rId1" Type="http://schemas.openxmlformats.org/officeDocument/2006/relationships/hyperlink" Target="https://gestion.pe/economia/riesgo-pais-de-peru-baja-12-puntos-y-cierra-en-163-puntos-porcentuales-economia-noticia/" TargetMode="External"/><Relationship Id="rId6" Type="http://schemas.openxmlformats.org/officeDocument/2006/relationships/drawing" Target="../drawings/drawing8.xm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://people.stern.nyu.edu/adamodar/New_Home_Page/datafile/Betas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4B73-E48D-411C-8D2B-B40126429E38}">
  <sheetPr>
    <outlinePr summaryBelow="0" summaryRight="0"/>
  </sheetPr>
  <dimension ref="B2:G63"/>
  <sheetViews>
    <sheetView showGridLines="0" workbookViewId="0"/>
  </sheetViews>
  <sheetFormatPr baseColWidth="10" defaultRowHeight="14.4" outlineLevelRow="2" x14ac:dyDescent="0.3"/>
  <cols>
    <col min="1" max="1" width="1.88671875" customWidth="1"/>
    <col min="2" max="2" width="48.21875" customWidth="1"/>
    <col min="3" max="3" width="24.6640625" customWidth="1"/>
    <col min="4" max="4" width="13.44140625" customWidth="1"/>
    <col min="5" max="5" width="13.6640625" bestFit="1" customWidth="1"/>
    <col min="6" max="6" width="17" bestFit="1" customWidth="1"/>
    <col min="7" max="7" width="12.109375" bestFit="1" customWidth="1"/>
  </cols>
  <sheetData>
    <row r="2" spans="2:7" ht="15" x14ac:dyDescent="0.35">
      <c r="B2" s="247" t="s">
        <v>87</v>
      </c>
      <c r="C2" s="248"/>
      <c r="D2" s="248"/>
      <c r="E2" s="248"/>
      <c r="F2" s="248"/>
      <c r="G2" s="248"/>
    </row>
    <row r="3" spans="2:7" outlineLevel="1" x14ac:dyDescent="0.3">
      <c r="B3" s="57"/>
    </row>
    <row r="4" spans="2:7" outlineLevel="1" x14ac:dyDescent="0.3">
      <c r="B4" s="56" t="s">
        <v>86</v>
      </c>
      <c r="C4" s="56" t="s">
        <v>85</v>
      </c>
    </row>
    <row r="5" spans="2:7" outlineLevel="2" x14ac:dyDescent="0.3">
      <c r="B5" s="55" t="s">
        <v>0</v>
      </c>
      <c r="C5" s="55" t="s">
        <v>84</v>
      </c>
    </row>
    <row r="6" spans="2:7" outlineLevel="2" x14ac:dyDescent="0.3">
      <c r="B6" s="54" t="s">
        <v>12</v>
      </c>
      <c r="C6" s="54" t="s">
        <v>84</v>
      </c>
    </row>
    <row r="7" spans="2:7" outlineLevel="2" x14ac:dyDescent="0.3">
      <c r="B7" s="53" t="s">
        <v>11</v>
      </c>
      <c r="C7" s="53" t="s">
        <v>82</v>
      </c>
    </row>
    <row r="8" spans="2:7" outlineLevel="2" x14ac:dyDescent="0.3">
      <c r="B8" s="52" t="s">
        <v>13</v>
      </c>
      <c r="C8" s="52" t="s">
        <v>83</v>
      </c>
    </row>
    <row r="9" spans="2:7" outlineLevel="2" x14ac:dyDescent="0.3">
      <c r="B9" s="51" t="s">
        <v>9</v>
      </c>
      <c r="C9" s="51" t="s">
        <v>82</v>
      </c>
    </row>
    <row r="10" spans="2:7" outlineLevel="1" x14ac:dyDescent="0.3"/>
    <row r="11" spans="2:7" ht="15" outlineLevel="1" x14ac:dyDescent="0.35">
      <c r="B11" s="38" t="s">
        <v>81</v>
      </c>
    </row>
    <row r="12" spans="2:7" outlineLevel="1" x14ac:dyDescent="0.3"/>
    <row r="13" spans="2:7" outlineLevel="1" x14ac:dyDescent="0.3">
      <c r="B13" s="45" t="s">
        <v>60</v>
      </c>
      <c r="C13" s="44" t="s">
        <v>80</v>
      </c>
      <c r="D13" s="44" t="s">
        <v>58</v>
      </c>
      <c r="E13" s="44" t="s">
        <v>57</v>
      </c>
      <c r="F13" s="43" t="s">
        <v>67</v>
      </c>
    </row>
    <row r="14" spans="2:7" outlineLevel="2" x14ac:dyDescent="0.3">
      <c r="B14" s="42" t="s">
        <v>79</v>
      </c>
      <c r="C14" s="41">
        <v>0.6</v>
      </c>
      <c r="D14" s="40">
        <v>74</v>
      </c>
      <c r="E14" s="40" t="s">
        <v>78</v>
      </c>
      <c r="F14" s="39">
        <f t="shared" ref="F14:F19" si="0">+C14*D14</f>
        <v>44.4</v>
      </c>
    </row>
    <row r="15" spans="2:7" outlineLevel="2" x14ac:dyDescent="0.3">
      <c r="B15" s="42" t="s">
        <v>77</v>
      </c>
      <c r="C15" s="41">
        <v>0.11</v>
      </c>
      <c r="D15" s="46">
        <f>1.2*3.8</f>
        <v>4.5599999999999996</v>
      </c>
      <c r="E15" s="46" t="s">
        <v>76</v>
      </c>
      <c r="F15" s="39">
        <f t="shared" si="0"/>
        <v>0.50159999999999993</v>
      </c>
    </row>
    <row r="16" spans="2:7" outlineLevel="2" x14ac:dyDescent="0.3">
      <c r="B16" s="42" t="s">
        <v>75</v>
      </c>
      <c r="C16" s="50">
        <f>200/5000/0.9144</f>
        <v>4.3744531933508315E-2</v>
      </c>
      <c r="D16" s="40">
        <v>4</v>
      </c>
      <c r="E16" s="40" t="s">
        <v>74</v>
      </c>
      <c r="F16" s="39">
        <f t="shared" si="0"/>
        <v>0.17497812773403326</v>
      </c>
    </row>
    <row r="17" spans="2:6" outlineLevel="2" x14ac:dyDescent="0.3">
      <c r="B17" s="42" t="s">
        <v>73</v>
      </c>
      <c r="C17" s="41">
        <v>1</v>
      </c>
      <c r="D17" s="50">
        <f>0.05*3.8</f>
        <v>0.19</v>
      </c>
      <c r="E17" s="40" t="s">
        <v>50</v>
      </c>
      <c r="F17" s="39">
        <f t="shared" si="0"/>
        <v>0.19</v>
      </c>
    </row>
    <row r="18" spans="2:6" outlineLevel="2" x14ac:dyDescent="0.3">
      <c r="B18" s="42" t="s">
        <v>72</v>
      </c>
      <c r="C18" s="41">
        <v>2</v>
      </c>
      <c r="D18" s="50">
        <f>140/5000</f>
        <v>2.8000000000000001E-2</v>
      </c>
      <c r="E18" s="40" t="s">
        <v>50</v>
      </c>
      <c r="F18" s="39">
        <f t="shared" si="0"/>
        <v>5.6000000000000001E-2</v>
      </c>
    </row>
    <row r="19" spans="2:6" outlineLevel="2" x14ac:dyDescent="0.3">
      <c r="B19" s="42" t="s">
        <v>71</v>
      </c>
      <c r="C19" s="50">
        <f>6/144</f>
        <v>4.1666666666666664E-2</v>
      </c>
      <c r="D19" s="40">
        <f>6*3.8</f>
        <v>22.799999999999997</v>
      </c>
      <c r="E19" s="49" t="s">
        <v>218</v>
      </c>
      <c r="F19" s="39">
        <f t="shared" si="0"/>
        <v>0.94999999999999984</v>
      </c>
    </row>
    <row r="20" spans="2:6" outlineLevel="1" x14ac:dyDescent="0.3">
      <c r="B20" s="24"/>
      <c r="C20" s="244" t="s">
        <v>70</v>
      </c>
      <c r="D20" s="245"/>
      <c r="E20" s="246"/>
      <c r="F20" s="39">
        <f>+SUM(F14:F19)</f>
        <v>46.272578127734036</v>
      </c>
    </row>
    <row r="21" spans="2:6" outlineLevel="1" x14ac:dyDescent="0.3">
      <c r="C21" s="48"/>
      <c r="D21" s="47"/>
    </row>
    <row r="22" spans="2:6" outlineLevel="1" x14ac:dyDescent="0.3">
      <c r="B22" s="45" t="s">
        <v>69</v>
      </c>
      <c r="C22" s="44" t="s">
        <v>68</v>
      </c>
      <c r="D22" s="44" t="s">
        <v>58</v>
      </c>
      <c r="E22" s="44" t="s">
        <v>57</v>
      </c>
      <c r="F22" s="43" t="s">
        <v>67</v>
      </c>
    </row>
    <row r="23" spans="2:6" outlineLevel="2" x14ac:dyDescent="0.3">
      <c r="B23" s="42" t="s">
        <v>66</v>
      </c>
      <c r="C23" s="41">
        <v>1</v>
      </c>
      <c r="D23" s="40">
        <v>0.15</v>
      </c>
      <c r="E23" s="40" t="s">
        <v>50</v>
      </c>
      <c r="F23" s="39">
        <f>+C23*D23</f>
        <v>0.15</v>
      </c>
    </row>
    <row r="24" spans="2:6" outlineLevel="2" x14ac:dyDescent="0.3">
      <c r="B24" s="42" t="s">
        <v>65</v>
      </c>
      <c r="C24" s="41">
        <v>1</v>
      </c>
      <c r="D24" s="40">
        <v>0.01</v>
      </c>
      <c r="E24" s="40" t="s">
        <v>50</v>
      </c>
      <c r="F24" s="39">
        <f>+C24*D24</f>
        <v>0.01</v>
      </c>
    </row>
    <row r="25" spans="2:6" outlineLevel="2" x14ac:dyDescent="0.3">
      <c r="B25" s="42" t="s">
        <v>64</v>
      </c>
      <c r="C25" s="46">
        <v>2.5000000000000001E-2</v>
      </c>
      <c r="D25" s="40">
        <v>7.5</v>
      </c>
      <c r="E25" s="40" t="s">
        <v>42</v>
      </c>
      <c r="F25" s="39">
        <f>+C25*D25</f>
        <v>0.1875</v>
      </c>
    </row>
    <row r="26" spans="2:6" outlineLevel="1" x14ac:dyDescent="0.3">
      <c r="B26" s="24"/>
      <c r="C26" s="244" t="s">
        <v>63</v>
      </c>
      <c r="D26" s="245"/>
      <c r="E26" s="246"/>
      <c r="F26" s="39">
        <f>SUM(F23:F25)</f>
        <v>0.34750000000000003</v>
      </c>
    </row>
    <row r="27" spans="2:6" outlineLevel="1" x14ac:dyDescent="0.3"/>
    <row r="28" spans="2:6" outlineLevel="1" x14ac:dyDescent="0.3">
      <c r="B28" s="24"/>
      <c r="C28" s="244" t="s">
        <v>62</v>
      </c>
      <c r="D28" s="245"/>
      <c r="E28" s="246"/>
      <c r="F28" s="39">
        <f>+F26+F20</f>
        <v>46.620078127734033</v>
      </c>
    </row>
    <row r="29" spans="2:6" outlineLevel="1" x14ac:dyDescent="0.3">
      <c r="F29" s="37"/>
    </row>
    <row r="30" spans="2:6" ht="15" outlineLevel="1" x14ac:dyDescent="0.35">
      <c r="B30" s="38" t="s">
        <v>61</v>
      </c>
    </row>
    <row r="31" spans="2:6" outlineLevel="1" x14ac:dyDescent="0.3"/>
    <row r="32" spans="2:6" outlineLevel="1" x14ac:dyDescent="0.3">
      <c r="B32" s="45" t="s">
        <v>60</v>
      </c>
      <c r="C32" s="44" t="s">
        <v>59</v>
      </c>
      <c r="D32" s="44" t="s">
        <v>58</v>
      </c>
      <c r="E32" s="44" t="s">
        <v>57</v>
      </c>
      <c r="F32" s="43" t="s">
        <v>56</v>
      </c>
    </row>
    <row r="33" spans="2:6" outlineLevel="1" x14ac:dyDescent="0.3">
      <c r="B33" s="42" t="s">
        <v>55</v>
      </c>
      <c r="C33" s="41">
        <v>2</v>
      </c>
      <c r="D33" s="40">
        <v>170</v>
      </c>
      <c r="E33" s="40" t="s">
        <v>43</v>
      </c>
      <c r="F33" s="39">
        <f t="shared" ref="F33:F41" si="1">+C33*D33</f>
        <v>340</v>
      </c>
    </row>
    <row r="34" spans="2:6" outlineLevel="1" x14ac:dyDescent="0.3">
      <c r="B34" s="42" t="s">
        <v>54</v>
      </c>
      <c r="C34" s="41">
        <v>41</v>
      </c>
      <c r="D34" s="40">
        <v>1</v>
      </c>
      <c r="E34" s="40" t="s">
        <v>50</v>
      </c>
      <c r="F34" s="39">
        <f t="shared" si="1"/>
        <v>41</v>
      </c>
    </row>
    <row r="35" spans="2:6" outlineLevel="1" x14ac:dyDescent="0.3">
      <c r="B35" s="42" t="s">
        <v>53</v>
      </c>
      <c r="C35" s="41">
        <v>4</v>
      </c>
      <c r="D35" s="40">
        <v>30</v>
      </c>
      <c r="E35" s="40" t="s">
        <v>50</v>
      </c>
      <c r="F35" s="39">
        <f t="shared" si="1"/>
        <v>120</v>
      </c>
    </row>
    <row r="36" spans="2:6" outlineLevel="1" x14ac:dyDescent="0.3">
      <c r="B36" s="42" t="s">
        <v>52</v>
      </c>
      <c r="C36" s="41">
        <v>17</v>
      </c>
      <c r="D36" s="40">
        <v>2</v>
      </c>
      <c r="E36" s="40" t="s">
        <v>50</v>
      </c>
      <c r="F36" s="39">
        <f t="shared" si="1"/>
        <v>34</v>
      </c>
    </row>
    <row r="37" spans="2:6" outlineLevel="1" x14ac:dyDescent="0.3">
      <c r="B37" s="42" t="s">
        <v>51</v>
      </c>
      <c r="C37" s="41">
        <v>9</v>
      </c>
      <c r="D37" s="40">
        <v>2</v>
      </c>
      <c r="E37" s="40" t="s">
        <v>50</v>
      </c>
      <c r="F37" s="39">
        <f t="shared" si="1"/>
        <v>18</v>
      </c>
    </row>
    <row r="38" spans="2:6" outlineLevel="1" x14ac:dyDescent="0.3">
      <c r="B38" s="42" t="s">
        <v>49</v>
      </c>
      <c r="C38" s="41">
        <v>6</v>
      </c>
      <c r="D38" s="40">
        <v>10</v>
      </c>
      <c r="E38" s="40" t="s">
        <v>45</v>
      </c>
      <c r="F38" s="39">
        <f t="shared" si="1"/>
        <v>60</v>
      </c>
    </row>
    <row r="39" spans="2:6" outlineLevel="1" x14ac:dyDescent="0.3">
      <c r="B39" s="42" t="s">
        <v>48</v>
      </c>
      <c r="C39" s="41">
        <v>4</v>
      </c>
      <c r="D39" s="40">
        <v>30</v>
      </c>
      <c r="E39" s="40" t="s">
        <v>47</v>
      </c>
      <c r="F39" s="39">
        <f t="shared" si="1"/>
        <v>120</v>
      </c>
    </row>
    <row r="40" spans="2:6" outlineLevel="1" x14ac:dyDescent="0.3">
      <c r="B40" s="42" t="s">
        <v>46</v>
      </c>
      <c r="C40" s="41">
        <v>4</v>
      </c>
      <c r="D40" s="40">
        <v>4</v>
      </c>
      <c r="E40" s="40" t="s">
        <v>45</v>
      </c>
      <c r="F40" s="39">
        <f t="shared" si="1"/>
        <v>16</v>
      </c>
    </row>
    <row r="41" spans="2:6" outlineLevel="1" x14ac:dyDescent="0.3">
      <c r="B41" s="42" t="s">
        <v>44</v>
      </c>
      <c r="C41" s="41">
        <v>6</v>
      </c>
      <c r="D41" s="40">
        <v>30</v>
      </c>
      <c r="E41" s="40" t="s">
        <v>43</v>
      </c>
      <c r="F41" s="39">
        <f t="shared" si="1"/>
        <v>180</v>
      </c>
    </row>
    <row r="42" spans="2:6" outlineLevel="1" x14ac:dyDescent="0.3">
      <c r="B42" s="42" t="s">
        <v>526</v>
      </c>
      <c r="C42" s="41">
        <v>1</v>
      </c>
      <c r="D42" s="40">
        <v>6</v>
      </c>
      <c r="E42" s="40" t="s">
        <v>42</v>
      </c>
      <c r="F42" s="39">
        <f>+C42*D42</f>
        <v>6</v>
      </c>
    </row>
    <row r="43" spans="2:6" outlineLevel="1" x14ac:dyDescent="0.3">
      <c r="C43" s="244" t="s">
        <v>41</v>
      </c>
      <c r="D43" s="245"/>
      <c r="E43" s="246"/>
      <c r="F43" s="39">
        <f>SUM(F33:F42)</f>
        <v>935</v>
      </c>
    </row>
    <row r="44" spans="2:6" outlineLevel="1" x14ac:dyDescent="0.3"/>
    <row r="45" spans="2:6" ht="15" outlineLevel="1" x14ac:dyDescent="0.35">
      <c r="B45" s="38" t="s">
        <v>40</v>
      </c>
    </row>
    <row r="46" spans="2:6" outlineLevel="1" x14ac:dyDescent="0.3">
      <c r="F46" s="37"/>
    </row>
    <row r="47" spans="2:6" outlineLevel="1" x14ac:dyDescent="0.3">
      <c r="B47" s="36" t="s">
        <v>39</v>
      </c>
      <c r="C47" s="36" t="s">
        <v>38</v>
      </c>
    </row>
    <row r="48" spans="2:6" outlineLevel="2" x14ac:dyDescent="0.3">
      <c r="B48" s="32" t="s">
        <v>37</v>
      </c>
      <c r="C48" s="34">
        <f>D48*C53</f>
        <v>101.92</v>
      </c>
      <c r="D48" s="35">
        <v>26</v>
      </c>
      <c r="E48" s="35" t="s">
        <v>36</v>
      </c>
      <c r="F48" s="31" t="s">
        <v>17</v>
      </c>
    </row>
    <row r="49" spans="2:7" outlineLevel="2" x14ac:dyDescent="0.3">
      <c r="B49" s="32" t="s">
        <v>35</v>
      </c>
      <c r="C49" s="34">
        <v>0.55000000000000004</v>
      </c>
      <c r="D49" s="31" t="s">
        <v>34</v>
      </c>
    </row>
    <row r="50" spans="2:7" outlineLevel="2" x14ac:dyDescent="0.3">
      <c r="B50" s="32" t="s">
        <v>33</v>
      </c>
      <c r="C50" s="34">
        <v>9.9</v>
      </c>
      <c r="D50" s="31" t="s">
        <v>32</v>
      </c>
    </row>
    <row r="51" spans="2:7" outlineLevel="2" x14ac:dyDescent="0.3">
      <c r="B51" s="32" t="s">
        <v>31</v>
      </c>
      <c r="C51" s="33">
        <v>0.03</v>
      </c>
      <c r="D51" s="35">
        <f>+C51*C48</f>
        <v>3.0575999999999999</v>
      </c>
      <c r="E51" s="35" t="s">
        <v>30</v>
      </c>
      <c r="F51" s="35"/>
      <c r="G51" s="31" t="s">
        <v>527</v>
      </c>
    </row>
    <row r="52" spans="2:7" outlineLevel="2" x14ac:dyDescent="0.3">
      <c r="B52" s="32" t="s">
        <v>29</v>
      </c>
      <c r="C52" s="33">
        <v>0.29499999999999998</v>
      </c>
      <c r="D52" s="31" t="s">
        <v>28</v>
      </c>
    </row>
    <row r="53" spans="2:7" outlineLevel="2" x14ac:dyDescent="0.3">
      <c r="B53" s="32" t="s">
        <v>27</v>
      </c>
      <c r="C53" s="34">
        <f>+Flujos!D42</f>
        <v>3.92</v>
      </c>
      <c r="D53" s="149" t="s">
        <v>528</v>
      </c>
    </row>
    <row r="54" spans="2:7" outlineLevel="2" x14ac:dyDescent="0.3">
      <c r="B54" s="32" t="s">
        <v>26</v>
      </c>
      <c r="C54" s="33">
        <v>0.17</v>
      </c>
      <c r="D54" s="31" t="s">
        <v>17</v>
      </c>
    </row>
    <row r="55" spans="2:7" outlineLevel="2" x14ac:dyDescent="0.3">
      <c r="B55" s="32" t="s">
        <v>25</v>
      </c>
      <c r="C55" s="33">
        <v>0.05</v>
      </c>
      <c r="D55" s="31" t="s">
        <v>17</v>
      </c>
    </row>
    <row r="56" spans="2:7" outlineLevel="2" x14ac:dyDescent="0.3">
      <c r="B56" s="32" t="s">
        <v>24</v>
      </c>
      <c r="C56" s="2">
        <v>2</v>
      </c>
      <c r="D56" s="31" t="s">
        <v>17</v>
      </c>
    </row>
    <row r="57" spans="2:7" outlineLevel="2" x14ac:dyDescent="0.3">
      <c r="B57" s="32" t="s">
        <v>23</v>
      </c>
      <c r="C57" s="2">
        <v>5</v>
      </c>
      <c r="D57" s="31" t="s">
        <v>17</v>
      </c>
    </row>
    <row r="58" spans="2:7" outlineLevel="2" x14ac:dyDescent="0.3">
      <c r="B58" s="32" t="s">
        <v>22</v>
      </c>
      <c r="C58" s="2">
        <v>5</v>
      </c>
      <c r="D58" s="31" t="s">
        <v>17</v>
      </c>
    </row>
    <row r="59" spans="2:7" outlineLevel="2" x14ac:dyDescent="0.3">
      <c r="B59" s="32" t="s">
        <v>21</v>
      </c>
      <c r="C59" s="2">
        <f>+SUM(C56:C58)</f>
        <v>12</v>
      </c>
      <c r="D59" s="31" t="s">
        <v>17</v>
      </c>
    </row>
    <row r="60" spans="2:7" outlineLevel="2" x14ac:dyDescent="0.3">
      <c r="B60" s="32" t="s">
        <v>20</v>
      </c>
      <c r="C60" s="2">
        <v>11</v>
      </c>
      <c r="D60" s="31" t="s">
        <v>17</v>
      </c>
    </row>
    <row r="61" spans="2:7" outlineLevel="2" x14ac:dyDescent="0.3">
      <c r="B61" s="32" t="s">
        <v>19</v>
      </c>
      <c r="C61" s="2">
        <v>1</v>
      </c>
      <c r="D61" s="31" t="s">
        <v>17</v>
      </c>
    </row>
    <row r="62" spans="2:7" outlineLevel="2" x14ac:dyDescent="0.3">
      <c r="B62" s="32" t="s">
        <v>18</v>
      </c>
      <c r="C62" s="2">
        <v>26</v>
      </c>
      <c r="D62" s="31" t="s">
        <v>17</v>
      </c>
    </row>
    <row r="63" spans="2:7" outlineLevel="2" x14ac:dyDescent="0.3">
      <c r="B63" s="32" t="s">
        <v>315</v>
      </c>
      <c r="C63" s="2">
        <v>15</v>
      </c>
      <c r="D63" s="31" t="s">
        <v>17</v>
      </c>
    </row>
  </sheetData>
  <mergeCells count="5">
    <mergeCell ref="C28:E28"/>
    <mergeCell ref="C43:E43"/>
    <mergeCell ref="B2:G2"/>
    <mergeCell ref="C20:E20"/>
    <mergeCell ref="C26:E26"/>
  </mergeCells>
  <hyperlinks>
    <hyperlink ref="G51" r:id="rId1" xr:uid="{158AC8FE-62DF-46B4-9930-C128631498EA}"/>
    <hyperlink ref="D52" r:id="rId2" xr:uid="{2D92C66E-3D28-4FC4-9FD8-F8ACEBCBE49A}"/>
    <hyperlink ref="D49" r:id="rId3" xr:uid="{F33F3756-E935-455C-BE85-6CA5E1E7C89B}"/>
    <hyperlink ref="D50" r:id="rId4" xr:uid="{18E460A8-53E0-4DDF-B579-474D5A79DD3E}"/>
  </hyperlinks>
  <pageMargins left="0.7" right="0.7" top="0.75" bottom="0.75" header="0.3" footer="0.3"/>
  <pageSetup paperSize="9" orientation="portrait" horizontalDpi="0" verticalDpi="0" r:id="rId5"/>
  <ignoredErrors>
    <ignoredError sqref="C5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6A3A-0119-447C-A123-A4DC9F15CC40}">
  <sheetPr>
    <outlinePr summaryBelow="0" summaryRight="0"/>
  </sheetPr>
  <dimension ref="A1:O50"/>
  <sheetViews>
    <sheetView showGridLines="0" topLeftCell="A25" zoomScale="85" zoomScaleNormal="85" workbookViewId="0">
      <selection activeCell="B50" sqref="B50"/>
    </sheetView>
  </sheetViews>
  <sheetFormatPr baseColWidth="10" defaultRowHeight="14.4" outlineLevelRow="1" x14ac:dyDescent="0.3"/>
  <cols>
    <col min="2" max="2" width="20.33203125" style="1" customWidth="1"/>
    <col min="3" max="6" width="20.33203125" customWidth="1"/>
    <col min="7" max="7" width="14.88671875" customWidth="1"/>
    <col min="8" max="8" width="14.6640625" customWidth="1"/>
    <col min="9" max="9" width="17.44140625" customWidth="1"/>
    <col min="10" max="10" width="14.109375" bestFit="1" customWidth="1"/>
    <col min="11" max="11" width="14.88671875" bestFit="1" customWidth="1"/>
    <col min="12" max="13" width="14.88671875" customWidth="1"/>
    <col min="14" max="14" width="7.5546875" customWidth="1"/>
  </cols>
  <sheetData>
    <row r="1" spans="1:15" x14ac:dyDescent="0.3">
      <c r="B1"/>
    </row>
    <row r="2" spans="1:15" x14ac:dyDescent="0.3">
      <c r="B2"/>
    </row>
    <row r="3" spans="1:15" x14ac:dyDescent="0.3">
      <c r="A3" s="24"/>
      <c r="B3" s="249" t="s">
        <v>14</v>
      </c>
      <c r="C3" s="250"/>
      <c r="D3" s="250"/>
      <c r="E3" s="250"/>
      <c r="F3" s="250"/>
    </row>
    <row r="4" spans="1:15" x14ac:dyDescent="0.3">
      <c r="A4" s="5" t="s">
        <v>1</v>
      </c>
      <c r="B4" s="4" t="s">
        <v>0</v>
      </c>
      <c r="C4" s="22" t="s">
        <v>12</v>
      </c>
      <c r="D4" s="23" t="s">
        <v>11</v>
      </c>
      <c r="E4" s="20" t="s">
        <v>13</v>
      </c>
      <c r="F4" s="19" t="s">
        <v>9</v>
      </c>
      <c r="I4" s="4" t="s">
        <v>0</v>
      </c>
      <c r="J4" s="22" t="s">
        <v>12</v>
      </c>
      <c r="K4" s="21" t="s">
        <v>11</v>
      </c>
      <c r="L4" s="20" t="s">
        <v>10</v>
      </c>
      <c r="M4" s="19" t="s">
        <v>9</v>
      </c>
    </row>
    <row r="5" spans="1:15" outlineLevel="1" x14ac:dyDescent="0.3">
      <c r="A5" s="3">
        <v>44197</v>
      </c>
      <c r="B5" s="2">
        <v>1370</v>
      </c>
      <c r="C5" s="11">
        <v>394</v>
      </c>
      <c r="D5" s="10">
        <v>382</v>
      </c>
      <c r="E5" s="9">
        <v>338</v>
      </c>
      <c r="F5" s="8">
        <v>194</v>
      </c>
      <c r="H5" t="s">
        <v>8</v>
      </c>
      <c r="I5" s="18">
        <f>SUM(B5:B7)</f>
        <v>3848</v>
      </c>
      <c r="J5" s="18">
        <f>SUM(C5:C7)</f>
        <v>1137</v>
      </c>
      <c r="K5" s="18">
        <f>SUM(D5:D7)</f>
        <v>1055</v>
      </c>
      <c r="L5" s="18">
        <f>SUM(E5:E7)</f>
        <v>1144</v>
      </c>
      <c r="M5" s="18">
        <f>SUM(F5:F7)</f>
        <v>484</v>
      </c>
    </row>
    <row r="6" spans="1:15" outlineLevel="1" x14ac:dyDescent="0.3">
      <c r="A6" s="3">
        <v>44228</v>
      </c>
      <c r="B6" s="2">
        <v>1268</v>
      </c>
      <c r="C6" s="11">
        <v>406</v>
      </c>
      <c r="D6" s="10">
        <v>295</v>
      </c>
      <c r="E6" s="9">
        <v>391</v>
      </c>
      <c r="F6" s="8">
        <v>164</v>
      </c>
      <c r="H6" t="s">
        <v>7</v>
      </c>
      <c r="I6" s="18">
        <f>SUM(B8:B10)</f>
        <v>4927</v>
      </c>
      <c r="J6" s="18">
        <f>SUM(C8:C10)</f>
        <v>1301</v>
      </c>
      <c r="K6" s="18">
        <f>SUM(D8:D10)</f>
        <v>905</v>
      </c>
      <c r="L6" s="18">
        <f>SUM(E8:E10)</f>
        <v>1249</v>
      </c>
      <c r="M6" s="18">
        <f>SUM(F8:F10)</f>
        <v>330</v>
      </c>
    </row>
    <row r="7" spans="1:15" outlineLevel="1" x14ac:dyDescent="0.3">
      <c r="A7" s="3">
        <v>44256</v>
      </c>
      <c r="B7" s="2">
        <v>1210</v>
      </c>
      <c r="C7" s="11">
        <v>337</v>
      </c>
      <c r="D7" s="10">
        <v>378</v>
      </c>
      <c r="E7" s="9">
        <v>415</v>
      </c>
      <c r="F7" s="8">
        <v>126</v>
      </c>
      <c r="H7" t="s">
        <v>6</v>
      </c>
      <c r="I7" s="18">
        <f>SUM(B11:B13)</f>
        <v>6095</v>
      </c>
      <c r="J7" s="18">
        <f>SUM(C11:C13)</f>
        <v>1112</v>
      </c>
      <c r="K7" s="18">
        <f>SUM(D11:D13)</f>
        <v>1033</v>
      </c>
      <c r="L7" s="18">
        <f>SUM(E11:E13)</f>
        <v>1078</v>
      </c>
      <c r="M7" s="18">
        <f>SUM(F11:F13)</f>
        <v>297</v>
      </c>
    </row>
    <row r="8" spans="1:15" outlineLevel="1" x14ac:dyDescent="0.3">
      <c r="A8" s="3">
        <v>44287</v>
      </c>
      <c r="B8" s="2">
        <v>1210</v>
      </c>
      <c r="C8" s="11">
        <v>473</v>
      </c>
      <c r="D8" s="10">
        <v>364</v>
      </c>
      <c r="E8" s="9">
        <v>426</v>
      </c>
      <c r="F8" s="8">
        <v>89</v>
      </c>
      <c r="H8" t="s">
        <v>5</v>
      </c>
      <c r="I8" s="18">
        <f>SUM(B14:B16)</f>
        <v>3090</v>
      </c>
      <c r="J8" s="18">
        <f>SUM(C14:C16)</f>
        <v>843</v>
      </c>
      <c r="K8" s="18">
        <f>SUM(D14:D16)</f>
        <v>1007</v>
      </c>
      <c r="L8" s="18">
        <f>SUM(E14:E16)</f>
        <v>891</v>
      </c>
      <c r="M8" s="18">
        <f>SUM(F14:F16)</f>
        <v>392</v>
      </c>
    </row>
    <row r="9" spans="1:15" outlineLevel="1" x14ac:dyDescent="0.3">
      <c r="A9" s="3">
        <v>44317</v>
      </c>
      <c r="B9" s="2">
        <v>1878</v>
      </c>
      <c r="C9" s="11">
        <v>510</v>
      </c>
      <c r="D9" s="10">
        <v>256</v>
      </c>
      <c r="E9" s="9">
        <v>459</v>
      </c>
      <c r="F9" s="8">
        <v>103</v>
      </c>
      <c r="I9" s="17">
        <f>SUM(I5:I8)</f>
        <v>17960</v>
      </c>
      <c r="J9" s="17">
        <f>SUM(J5:J8)</f>
        <v>4393</v>
      </c>
      <c r="K9" s="17">
        <f>SUM(K5:K8)</f>
        <v>4000</v>
      </c>
      <c r="L9" s="17">
        <f>SUM(L5:L8)</f>
        <v>4362</v>
      </c>
      <c r="M9" s="17">
        <f>SUM(M5:M8)</f>
        <v>1503</v>
      </c>
      <c r="N9" s="16" t="s">
        <v>4</v>
      </c>
      <c r="O9" s="15">
        <f>I9+J9+K9+L9+M9</f>
        <v>32218</v>
      </c>
    </row>
    <row r="10" spans="1:15" ht="15" outlineLevel="1" thickBot="1" x14ac:dyDescent="0.35">
      <c r="A10" s="3">
        <v>44348</v>
      </c>
      <c r="B10" s="2">
        <v>1839</v>
      </c>
      <c r="C10" s="11">
        <v>318</v>
      </c>
      <c r="D10" s="10">
        <v>285</v>
      </c>
      <c r="E10" s="9">
        <v>364</v>
      </c>
      <c r="F10" s="8">
        <v>138</v>
      </c>
    </row>
    <row r="11" spans="1:15" ht="15" outlineLevel="1" thickBot="1" x14ac:dyDescent="0.35">
      <c r="A11" s="3">
        <v>44378</v>
      </c>
      <c r="B11" s="2">
        <v>1724</v>
      </c>
      <c r="C11" s="11">
        <v>463</v>
      </c>
      <c r="D11" s="10">
        <v>276</v>
      </c>
      <c r="E11" s="9">
        <v>437</v>
      </c>
      <c r="F11" s="8">
        <v>101</v>
      </c>
      <c r="H11" s="14" t="s">
        <v>3</v>
      </c>
      <c r="I11" s="13">
        <f>I9/$O$9</f>
        <v>0.55745235582593577</v>
      </c>
      <c r="J11" s="13">
        <f>J9/$O$9</f>
        <v>0.13635234961822584</v>
      </c>
      <c r="K11" s="12">
        <f>K9/$O$9</f>
        <v>0.12415419951579862</v>
      </c>
      <c r="L11" s="12">
        <f>L9/$O$9</f>
        <v>0.13539015457197839</v>
      </c>
      <c r="M11" s="12">
        <f>M9/$O$9</f>
        <v>4.6650940468061335E-2</v>
      </c>
    </row>
    <row r="12" spans="1:15" outlineLevel="1" x14ac:dyDescent="0.3">
      <c r="A12" s="3">
        <v>44409</v>
      </c>
      <c r="B12" s="2">
        <v>2107</v>
      </c>
      <c r="C12" s="11">
        <v>285</v>
      </c>
      <c r="D12" s="10">
        <v>345</v>
      </c>
      <c r="E12" s="9">
        <v>326</v>
      </c>
      <c r="F12" s="8">
        <v>87</v>
      </c>
    </row>
    <row r="13" spans="1:15" outlineLevel="1" x14ac:dyDescent="0.3">
      <c r="A13" s="3">
        <v>44440</v>
      </c>
      <c r="B13" s="2">
        <v>2264</v>
      </c>
      <c r="C13" s="11">
        <v>364</v>
      </c>
      <c r="D13" s="10">
        <v>412</v>
      </c>
      <c r="E13" s="9">
        <v>315</v>
      </c>
      <c r="F13" s="8">
        <v>109</v>
      </c>
    </row>
    <row r="14" spans="1:15" outlineLevel="1" x14ac:dyDescent="0.3">
      <c r="A14" s="3">
        <v>44470</v>
      </c>
      <c r="B14" s="2">
        <v>1586</v>
      </c>
      <c r="C14" s="11">
        <v>327</v>
      </c>
      <c r="D14" s="10">
        <v>324</v>
      </c>
      <c r="E14" s="9">
        <v>285</v>
      </c>
      <c r="F14" s="8">
        <v>112</v>
      </c>
    </row>
    <row r="15" spans="1:15" outlineLevel="1" x14ac:dyDescent="0.3">
      <c r="A15" s="3">
        <v>44501</v>
      </c>
      <c r="B15" s="2">
        <v>747</v>
      </c>
      <c r="C15" s="11">
        <v>272</v>
      </c>
      <c r="D15" s="10">
        <v>357</v>
      </c>
      <c r="E15" s="9">
        <v>294</v>
      </c>
      <c r="F15" s="8">
        <v>134</v>
      </c>
    </row>
    <row r="16" spans="1:15" outlineLevel="1" x14ac:dyDescent="0.3">
      <c r="A16" s="3">
        <v>44531</v>
      </c>
      <c r="B16" s="2">
        <v>757</v>
      </c>
      <c r="C16" s="11">
        <v>244</v>
      </c>
      <c r="D16" s="10">
        <v>326</v>
      </c>
      <c r="E16" s="9">
        <v>312</v>
      </c>
      <c r="F16" s="8">
        <v>146</v>
      </c>
    </row>
    <row r="17" spans="1:13" x14ac:dyDescent="0.3">
      <c r="A17" s="7" t="s">
        <v>2</v>
      </c>
      <c r="B17" s="6">
        <f>+SUM(B5:B16)/SUM($B$5:$F$16)</f>
        <v>0.55745235582593577</v>
      </c>
      <c r="C17" s="6">
        <f>+SUM(C5:C16)/SUM($B$5:$F$16)</f>
        <v>0.13635234961822584</v>
      </c>
      <c r="D17" s="6">
        <f>+SUM(D5:D16)/SUM($B$5:$F$16)</f>
        <v>0.12415419951579862</v>
      </c>
      <c r="E17" s="6">
        <f>+SUM(E5:E16)/SUM($B$5:$F$16)</f>
        <v>0.13539015457197839</v>
      </c>
      <c r="F17" s="6">
        <f>+SUM(F5:F16)/SUM($B$5:$F$16)</f>
        <v>4.6650940468061335E-2</v>
      </c>
    </row>
    <row r="20" spans="1:13" x14ac:dyDescent="0.3">
      <c r="G20" s="4" t="s">
        <v>0</v>
      </c>
      <c r="I20" s="22" t="s">
        <v>12</v>
      </c>
      <c r="K20" s="21" t="s">
        <v>11</v>
      </c>
      <c r="M20" s="20" t="s">
        <v>10</v>
      </c>
    </row>
    <row r="22" spans="1:13" x14ac:dyDescent="0.3">
      <c r="A22" s="5" t="s">
        <v>1</v>
      </c>
      <c r="B22" s="4" t="s">
        <v>0</v>
      </c>
    </row>
    <row r="23" spans="1:13" x14ac:dyDescent="0.3">
      <c r="A23" s="3">
        <v>43891</v>
      </c>
      <c r="B23" s="2">
        <v>1250</v>
      </c>
    </row>
    <row r="24" spans="1:13" x14ac:dyDescent="0.3">
      <c r="A24" s="3">
        <v>43922</v>
      </c>
      <c r="B24" s="2">
        <v>1387</v>
      </c>
    </row>
    <row r="25" spans="1:13" x14ac:dyDescent="0.3">
      <c r="A25" s="3">
        <v>43952</v>
      </c>
      <c r="B25" s="2">
        <v>1105</v>
      </c>
      <c r="C25" s="1"/>
    </row>
    <row r="26" spans="1:13" x14ac:dyDescent="0.3">
      <c r="A26" s="3">
        <v>43983</v>
      </c>
      <c r="B26" s="2">
        <v>1452</v>
      </c>
    </row>
    <row r="27" spans="1:13" x14ac:dyDescent="0.3">
      <c r="A27" s="3">
        <v>44013</v>
      </c>
      <c r="B27" s="2">
        <v>1787</v>
      </c>
    </row>
    <row r="28" spans="1:13" x14ac:dyDescent="0.3">
      <c r="A28" s="3">
        <v>44044</v>
      </c>
      <c r="B28" s="2">
        <v>1264</v>
      </c>
    </row>
    <row r="29" spans="1:13" x14ac:dyDescent="0.3">
      <c r="A29" s="3">
        <v>44075</v>
      </c>
      <c r="B29" s="2">
        <v>1576</v>
      </c>
    </row>
    <row r="30" spans="1:13" x14ac:dyDescent="0.3">
      <c r="A30" s="3">
        <v>44105</v>
      </c>
      <c r="B30" s="2">
        <v>1936</v>
      </c>
    </row>
    <row r="31" spans="1:13" x14ac:dyDescent="0.3">
      <c r="A31" s="3">
        <v>44136</v>
      </c>
      <c r="B31" s="2">
        <v>1456</v>
      </c>
      <c r="M31" s="19" t="s">
        <v>9</v>
      </c>
    </row>
    <row r="32" spans="1:13" x14ac:dyDescent="0.3">
      <c r="A32" s="3">
        <v>44166</v>
      </c>
      <c r="B32" s="2">
        <v>1646</v>
      </c>
      <c r="C32" s="1"/>
    </row>
    <row r="33" spans="1:3" x14ac:dyDescent="0.3">
      <c r="A33" s="3">
        <v>44197</v>
      </c>
      <c r="B33" s="2">
        <v>1370</v>
      </c>
      <c r="C33" s="1"/>
    </row>
    <row r="34" spans="1:3" x14ac:dyDescent="0.3">
      <c r="A34" s="3">
        <v>44228</v>
      </c>
      <c r="B34" s="2">
        <v>1268</v>
      </c>
    </row>
    <row r="35" spans="1:3" x14ac:dyDescent="0.3">
      <c r="A35" s="3">
        <v>44256</v>
      </c>
      <c r="B35" s="2">
        <v>1210</v>
      </c>
    </row>
    <row r="36" spans="1:3" x14ac:dyDescent="0.3">
      <c r="A36" s="3">
        <v>44287</v>
      </c>
      <c r="B36" s="2">
        <v>1210</v>
      </c>
    </row>
    <row r="37" spans="1:3" x14ac:dyDescent="0.3">
      <c r="A37" s="3">
        <v>44317</v>
      </c>
      <c r="B37" s="2">
        <v>1878</v>
      </c>
    </row>
    <row r="38" spans="1:3" x14ac:dyDescent="0.3">
      <c r="A38" s="3">
        <v>44348</v>
      </c>
      <c r="B38" s="2">
        <v>1839</v>
      </c>
    </row>
    <row r="39" spans="1:3" x14ac:dyDescent="0.3">
      <c r="A39" s="3">
        <v>44378</v>
      </c>
      <c r="B39" s="2">
        <v>1724</v>
      </c>
    </row>
    <row r="40" spans="1:3" x14ac:dyDescent="0.3">
      <c r="A40" s="3">
        <v>44409</v>
      </c>
      <c r="B40" s="2">
        <v>2107</v>
      </c>
    </row>
    <row r="41" spans="1:3" x14ac:dyDescent="0.3">
      <c r="A41" s="3">
        <v>44440</v>
      </c>
      <c r="B41" s="2">
        <v>2264</v>
      </c>
    </row>
    <row r="42" spans="1:3" x14ac:dyDescent="0.3">
      <c r="A42" s="3">
        <v>44470</v>
      </c>
      <c r="B42" s="2">
        <v>1586</v>
      </c>
    </row>
    <row r="43" spans="1:3" x14ac:dyDescent="0.3">
      <c r="A43" s="3">
        <v>44501</v>
      </c>
      <c r="B43" s="2">
        <v>747</v>
      </c>
    </row>
    <row r="44" spans="1:3" x14ac:dyDescent="0.3">
      <c r="A44" s="3">
        <v>44531</v>
      </c>
      <c r="B44" s="2">
        <v>757</v>
      </c>
      <c r="C44" s="1"/>
    </row>
    <row r="45" spans="1:3" x14ac:dyDescent="0.3">
      <c r="A45" s="3">
        <v>44562</v>
      </c>
      <c r="B45" s="2">
        <v>1526</v>
      </c>
    </row>
    <row r="46" spans="1:3" x14ac:dyDescent="0.3">
      <c r="A46" s="3">
        <v>44593</v>
      </c>
      <c r="B46" s="2">
        <v>1885</v>
      </c>
    </row>
    <row r="47" spans="1:3" x14ac:dyDescent="0.3">
      <c r="A47" s="3">
        <v>44621</v>
      </c>
      <c r="B47" s="2">
        <v>1509</v>
      </c>
    </row>
    <row r="48" spans="1:3" x14ac:dyDescent="0.3">
      <c r="A48" s="3">
        <v>44652</v>
      </c>
      <c r="B48" s="2">
        <v>1471</v>
      </c>
    </row>
    <row r="49" spans="1:2" x14ac:dyDescent="0.3">
      <c r="A49" s="3">
        <v>44682</v>
      </c>
      <c r="B49" s="2">
        <v>1458</v>
      </c>
    </row>
    <row r="50" spans="1:2" x14ac:dyDescent="0.3">
      <c r="A50" s="3">
        <v>44713</v>
      </c>
      <c r="B50" s="2">
        <v>1405</v>
      </c>
    </row>
  </sheetData>
  <mergeCells count="1">
    <mergeCell ref="B3:F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1B66-10F0-4509-AF34-5CF7A8614019}">
  <sheetPr>
    <outlinePr summaryBelow="0" summaryRight="0"/>
  </sheetPr>
  <dimension ref="B1:R34"/>
  <sheetViews>
    <sheetView showGridLines="0" workbookViewId="0">
      <selection activeCell="C28" sqref="C28"/>
    </sheetView>
  </sheetViews>
  <sheetFormatPr baseColWidth="10" defaultRowHeight="14.4" outlineLevelRow="1" x14ac:dyDescent="0.3"/>
  <cols>
    <col min="1" max="1" width="3.5546875" customWidth="1"/>
    <col min="2" max="2" width="10.6640625" customWidth="1"/>
    <col min="3" max="3" width="22.44140625" style="1" customWidth="1"/>
  </cols>
  <sheetData>
    <row r="1" spans="2:4" x14ac:dyDescent="0.3">
      <c r="B1" s="251" t="s">
        <v>16</v>
      </c>
      <c r="C1" s="251"/>
    </row>
    <row r="2" spans="2:4" x14ac:dyDescent="0.3">
      <c r="C2"/>
    </row>
    <row r="3" spans="2:4" x14ac:dyDescent="0.3">
      <c r="B3" s="30"/>
      <c r="C3" s="4" t="s">
        <v>15</v>
      </c>
    </row>
    <row r="4" spans="2:4" x14ac:dyDescent="0.3">
      <c r="B4" s="29" t="s">
        <v>1</v>
      </c>
      <c r="C4" s="4" t="s">
        <v>0</v>
      </c>
    </row>
    <row r="5" spans="2:4" x14ac:dyDescent="0.3">
      <c r="B5" s="28" t="s">
        <v>8</v>
      </c>
      <c r="C5" s="27">
        <f>SUM(C6:C8)</f>
        <v>3775</v>
      </c>
    </row>
    <row r="6" spans="2:4" outlineLevel="1" x14ac:dyDescent="0.3">
      <c r="B6" s="26">
        <v>44743</v>
      </c>
      <c r="C6" s="25">
        <v>1250</v>
      </c>
    </row>
    <row r="7" spans="2:4" outlineLevel="1" x14ac:dyDescent="0.3">
      <c r="B7" s="26">
        <v>44774</v>
      </c>
      <c r="C7" s="25">
        <v>1250</v>
      </c>
    </row>
    <row r="8" spans="2:4" outlineLevel="1" x14ac:dyDescent="0.3">
      <c r="B8" s="26">
        <v>44805</v>
      </c>
      <c r="C8" s="25">
        <v>1275</v>
      </c>
    </row>
    <row r="9" spans="2:4" outlineLevel="1" x14ac:dyDescent="0.3">
      <c r="B9" s="28" t="s">
        <v>7</v>
      </c>
      <c r="C9" s="27">
        <f>SUM(C10:C12)</f>
        <v>3897</v>
      </c>
    </row>
    <row r="10" spans="2:4" outlineLevel="1" x14ac:dyDescent="0.3">
      <c r="B10" s="26">
        <v>44835</v>
      </c>
      <c r="C10" s="25">
        <v>1244</v>
      </c>
    </row>
    <row r="11" spans="2:4" outlineLevel="1" x14ac:dyDescent="0.3">
      <c r="B11" s="26">
        <v>44866</v>
      </c>
      <c r="C11" s="25">
        <v>1281</v>
      </c>
    </row>
    <row r="12" spans="2:4" outlineLevel="1" x14ac:dyDescent="0.3">
      <c r="B12" s="26">
        <v>44896</v>
      </c>
      <c r="C12" s="25">
        <v>1372</v>
      </c>
    </row>
    <row r="13" spans="2:4" outlineLevel="1" x14ac:dyDescent="0.3">
      <c r="B13" s="28" t="s">
        <v>6</v>
      </c>
      <c r="C13" s="27">
        <f>SUM(C14:C16)</f>
        <v>4237</v>
      </c>
    </row>
    <row r="14" spans="2:4" outlineLevel="1" x14ac:dyDescent="0.3">
      <c r="B14" s="26">
        <v>44927</v>
      </c>
      <c r="C14" s="25">
        <v>1353</v>
      </c>
    </row>
    <row r="15" spans="2:4" outlineLevel="1" x14ac:dyDescent="0.3">
      <c r="B15" s="26">
        <v>44958</v>
      </c>
      <c r="C15" s="25">
        <v>1393</v>
      </c>
    </row>
    <row r="16" spans="2:4" outlineLevel="1" x14ac:dyDescent="0.3">
      <c r="B16" s="26">
        <v>44986</v>
      </c>
      <c r="C16" s="25">
        <v>1491</v>
      </c>
      <c r="D16" s="1"/>
    </row>
    <row r="17" spans="2:18" x14ac:dyDescent="0.3">
      <c r="B17" s="28" t="s">
        <v>5</v>
      </c>
      <c r="C17" s="27">
        <f>SUM(C18:C20)</f>
        <v>4487</v>
      </c>
    </row>
    <row r="18" spans="2:18" outlineLevel="1" x14ac:dyDescent="0.3">
      <c r="B18" s="26">
        <v>45017</v>
      </c>
      <c r="C18" s="25">
        <v>1485</v>
      </c>
    </row>
    <row r="19" spans="2:18" outlineLevel="1" x14ac:dyDescent="0.3">
      <c r="B19" s="26">
        <v>45047</v>
      </c>
      <c r="C19" s="25">
        <v>1514</v>
      </c>
    </row>
    <row r="20" spans="2:18" outlineLevel="1" x14ac:dyDescent="0.3">
      <c r="B20" s="26">
        <v>45078</v>
      </c>
      <c r="C20" s="25">
        <v>1488</v>
      </c>
    </row>
    <row r="21" spans="2:18" x14ac:dyDescent="0.3">
      <c r="E21" s="25"/>
    </row>
    <row r="22" spans="2:18" x14ac:dyDescent="0.3">
      <c r="E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</row>
    <row r="23" spans="2:18" x14ac:dyDescent="0.3">
      <c r="C23" s="25"/>
      <c r="E23" s="25"/>
    </row>
    <row r="24" spans="2:18" x14ac:dyDescent="0.3">
      <c r="C24" s="25"/>
      <c r="E24" s="25"/>
    </row>
    <row r="25" spans="2:18" x14ac:dyDescent="0.3">
      <c r="C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2:18" x14ac:dyDescent="0.3">
      <c r="C26" s="25"/>
      <c r="E26" s="25"/>
    </row>
    <row r="27" spans="2:18" x14ac:dyDescent="0.3">
      <c r="C27" s="25"/>
      <c r="E27" s="25"/>
    </row>
    <row r="28" spans="2:18" x14ac:dyDescent="0.3">
      <c r="C28" s="25"/>
      <c r="E28" s="25"/>
    </row>
    <row r="29" spans="2:18" x14ac:dyDescent="0.3">
      <c r="C29" s="25"/>
      <c r="E29" s="25"/>
    </row>
    <row r="30" spans="2:18" x14ac:dyDescent="0.3">
      <c r="C30" s="25"/>
      <c r="E30" s="25"/>
    </row>
    <row r="31" spans="2:18" x14ac:dyDescent="0.3">
      <c r="C31" s="25"/>
      <c r="E31" s="25"/>
    </row>
    <row r="32" spans="2:18" x14ac:dyDescent="0.3">
      <c r="C32" s="25"/>
      <c r="E32" s="25"/>
    </row>
    <row r="33" spans="3:3" x14ac:dyDescent="0.3">
      <c r="C33" s="25"/>
    </row>
    <row r="34" spans="3:3" x14ac:dyDescent="0.3">
      <c r="C34" s="25"/>
    </row>
  </sheetData>
  <mergeCells count="1">
    <mergeCell ref="B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1ACC-C8D2-4240-8DBE-84522FF376D4}">
  <sheetPr>
    <outlinePr summaryBelow="0" summaryRight="0"/>
  </sheetPr>
  <dimension ref="A2:I269"/>
  <sheetViews>
    <sheetView showGridLines="0" zoomScaleNormal="100" workbookViewId="0">
      <selection activeCell="D20" sqref="D20"/>
    </sheetView>
  </sheetViews>
  <sheetFormatPr baseColWidth="10" defaultColWidth="11.44140625" defaultRowHeight="14.4" outlineLevelRow="3" x14ac:dyDescent="0.35"/>
  <cols>
    <col min="1" max="1" width="1.88671875" style="64" customWidth="1"/>
    <col min="2" max="2" width="40.44140625" style="64" customWidth="1"/>
    <col min="3" max="7" width="18.5546875" style="64" customWidth="1"/>
    <col min="8" max="16384" width="11.44140625" style="64"/>
  </cols>
  <sheetData>
    <row r="2" spans="2:7" x14ac:dyDescent="0.35">
      <c r="B2" s="252" t="s">
        <v>252</v>
      </c>
      <c r="C2" s="252"/>
      <c r="D2" s="252"/>
      <c r="E2" s="252"/>
      <c r="F2" s="252"/>
      <c r="G2" s="252"/>
    </row>
    <row r="5" spans="2:7" x14ac:dyDescent="0.35">
      <c r="C5" s="111" t="s">
        <v>533</v>
      </c>
      <c r="D5" s="111" t="s">
        <v>529</v>
      </c>
      <c r="E5" s="111" t="s">
        <v>530</v>
      </c>
      <c r="F5" s="111" t="s">
        <v>531</v>
      </c>
      <c r="G5" s="111" t="s">
        <v>532</v>
      </c>
    </row>
    <row r="6" spans="2:7" x14ac:dyDescent="0.35">
      <c r="C6" s="75" t="s">
        <v>121</v>
      </c>
      <c r="D6" s="75" t="s">
        <v>8</v>
      </c>
      <c r="E6" s="75" t="s">
        <v>7</v>
      </c>
      <c r="F6" s="75" t="s">
        <v>6</v>
      </c>
      <c r="G6" s="75" t="s">
        <v>5</v>
      </c>
    </row>
    <row r="7" spans="2:7" x14ac:dyDescent="0.35">
      <c r="B7" s="81" t="s">
        <v>255</v>
      </c>
      <c r="C7" s="81"/>
      <c r="D7" s="79">
        <f>+D8+D9</f>
        <v>396290.44</v>
      </c>
      <c r="E7" s="79">
        <f t="shared" ref="E7:G7" si="0">+E8+E9</f>
        <v>409097.7072</v>
      </c>
      <c r="F7" s="79">
        <f t="shared" si="0"/>
        <v>444790.09119999997</v>
      </c>
      <c r="G7" s="79">
        <f t="shared" si="0"/>
        <v>471034.49119999999</v>
      </c>
    </row>
    <row r="8" spans="2:7" x14ac:dyDescent="0.35">
      <c r="B8" s="98" t="s">
        <v>253</v>
      </c>
      <c r="C8" s="98"/>
      <c r="D8" s="85">
        <f>+D17</f>
        <v>384748</v>
      </c>
      <c r="E8" s="85">
        <f t="shared" ref="E8:G8" si="1">+E17</f>
        <v>397182.24</v>
      </c>
      <c r="F8" s="85">
        <f t="shared" si="1"/>
        <v>431835.04</v>
      </c>
      <c r="G8" s="85">
        <f t="shared" si="1"/>
        <v>457315.04</v>
      </c>
    </row>
    <row r="9" spans="2:7" x14ac:dyDescent="0.35">
      <c r="B9" s="98" t="s">
        <v>31</v>
      </c>
      <c r="C9" s="98"/>
      <c r="D9" s="85">
        <f>+D10*Datos!$D$51</f>
        <v>11542.439999999999</v>
      </c>
      <c r="E9" s="85">
        <f>+E10*Datos!$D$51</f>
        <v>11915.467199999999</v>
      </c>
      <c r="F9" s="85">
        <f>+F10*Datos!$D$51</f>
        <v>12955.0512</v>
      </c>
      <c r="G9" s="85">
        <f>+G10*Datos!$D$51</f>
        <v>13719.4512</v>
      </c>
    </row>
    <row r="10" spans="2:7" x14ac:dyDescent="0.35">
      <c r="B10" s="109" t="s">
        <v>214</v>
      </c>
      <c r="C10" s="109"/>
      <c r="D10" s="107">
        <f t="shared" ref="D10:G10" si="2">+D18</f>
        <v>3775</v>
      </c>
      <c r="E10" s="107">
        <f t="shared" si="2"/>
        <v>3897</v>
      </c>
      <c r="F10" s="107">
        <f t="shared" si="2"/>
        <v>4237</v>
      </c>
      <c r="G10" s="107">
        <f t="shared" si="2"/>
        <v>4487</v>
      </c>
    </row>
    <row r="13" spans="2:7" x14ac:dyDescent="0.35">
      <c r="B13" s="252" t="s">
        <v>216</v>
      </c>
      <c r="C13" s="252"/>
      <c r="D13" s="252"/>
      <c r="E13" s="252"/>
      <c r="F13" s="252"/>
      <c r="G13" s="252"/>
    </row>
    <row r="14" spans="2:7" outlineLevel="1" x14ac:dyDescent="0.35"/>
    <row r="15" spans="2:7" outlineLevel="1" x14ac:dyDescent="0.35">
      <c r="G15" s="92"/>
    </row>
    <row r="16" spans="2:7" outlineLevel="1" x14ac:dyDescent="0.35">
      <c r="C16" s="75" t="s">
        <v>121</v>
      </c>
      <c r="D16" s="75" t="s">
        <v>8</v>
      </c>
      <c r="E16" s="75" t="s">
        <v>7</v>
      </c>
      <c r="F16" s="75" t="s">
        <v>6</v>
      </c>
      <c r="G16" s="75" t="s">
        <v>5</v>
      </c>
    </row>
    <row r="17" spans="1:7" outlineLevel="1" x14ac:dyDescent="0.35">
      <c r="B17" s="81" t="s">
        <v>253</v>
      </c>
      <c r="C17" s="80"/>
      <c r="D17" s="79">
        <f>+D18*D20</f>
        <v>384748</v>
      </c>
      <c r="E17" s="79">
        <f>+E18*E20</f>
        <v>397182.24</v>
      </c>
      <c r="F17" s="79">
        <f>+F18*F20</f>
        <v>431835.04</v>
      </c>
      <c r="G17" s="79">
        <f>+G18*G20</f>
        <v>457315.04</v>
      </c>
    </row>
    <row r="18" spans="1:7" outlineLevel="1" x14ac:dyDescent="0.35">
      <c r="B18" s="98" t="s">
        <v>214</v>
      </c>
      <c r="C18" s="86"/>
      <c r="D18" s="85">
        <f>+Pronóstico!C5</f>
        <v>3775</v>
      </c>
      <c r="E18" s="85">
        <f>+Pronóstico!C9</f>
        <v>3897</v>
      </c>
      <c r="F18" s="85">
        <f>+Pronóstico!C13</f>
        <v>4237</v>
      </c>
      <c r="G18" s="85">
        <f>+Pronóstico!C17</f>
        <v>4487</v>
      </c>
    </row>
    <row r="19" spans="1:7" outlineLevel="1" x14ac:dyDescent="0.35">
      <c r="B19" s="91" t="s">
        <v>213</v>
      </c>
      <c r="C19" s="86"/>
      <c r="D19" s="110">
        <f>D18/SUM('Histó. Vtas'!B44:B46)-1</f>
        <v>-9.4289827255278347E-2</v>
      </c>
      <c r="E19" s="110">
        <f>+E18/D18-1</f>
        <v>3.2317880794701992E-2</v>
      </c>
      <c r="F19" s="110">
        <f>+F18/E18-1</f>
        <v>8.7246599948678449E-2</v>
      </c>
      <c r="G19" s="110">
        <f>+G18/F18-1</f>
        <v>5.9004012272834583E-2</v>
      </c>
    </row>
    <row r="20" spans="1:7" outlineLevel="1" x14ac:dyDescent="0.35">
      <c r="B20" s="78" t="s">
        <v>212</v>
      </c>
      <c r="C20" s="77"/>
      <c r="D20" s="76">
        <f>+Datos!$C$48</f>
        <v>101.92</v>
      </c>
      <c r="E20" s="76">
        <f>+Datos!$C$48</f>
        <v>101.92</v>
      </c>
      <c r="F20" s="76">
        <f>+Datos!$C$48</f>
        <v>101.92</v>
      </c>
      <c r="G20" s="76">
        <f>+Datos!$C$48</f>
        <v>101.92</v>
      </c>
    </row>
    <row r="21" spans="1:7" outlineLevel="1" x14ac:dyDescent="0.35">
      <c r="A21" s="99"/>
      <c r="B21" s="109" t="s">
        <v>254</v>
      </c>
      <c r="C21" s="108"/>
      <c r="D21" s="107">
        <f>+D18</f>
        <v>3775</v>
      </c>
      <c r="E21" s="107">
        <f t="shared" ref="E21:G21" si="3">+E18</f>
        <v>3897</v>
      </c>
      <c r="F21" s="107">
        <f t="shared" si="3"/>
        <v>4237</v>
      </c>
      <c r="G21" s="107">
        <f t="shared" si="3"/>
        <v>4487</v>
      </c>
    </row>
    <row r="22" spans="1:7" outlineLevel="1" x14ac:dyDescent="0.35">
      <c r="B22" s="109" t="s">
        <v>515</v>
      </c>
      <c r="C22" s="108"/>
      <c r="D22" s="107">
        <f>+Planes!$C$154*3</f>
        <v>5361</v>
      </c>
      <c r="E22" s="107">
        <f>+Planes!$C$154*3</f>
        <v>5361</v>
      </c>
      <c r="F22" s="107">
        <f>+Planes!$C$154*3</f>
        <v>5361</v>
      </c>
      <c r="G22" s="107">
        <f>+Planes!$C$154*3</f>
        <v>5361</v>
      </c>
    </row>
    <row r="23" spans="1:7" outlineLevel="1" x14ac:dyDescent="0.35">
      <c r="B23" s="106" t="s">
        <v>210</v>
      </c>
      <c r="C23" s="105"/>
      <c r="D23" s="104">
        <f>+D21/D22</f>
        <v>0.7041596717030405</v>
      </c>
      <c r="E23" s="104">
        <f t="shared" ref="E23:G23" si="4">+E21/E22</f>
        <v>0.72691662003357582</v>
      </c>
      <c r="F23" s="104">
        <f t="shared" si="4"/>
        <v>0.79033762357769077</v>
      </c>
      <c r="G23" s="104">
        <f t="shared" si="4"/>
        <v>0.83697071441895166</v>
      </c>
    </row>
    <row r="24" spans="1:7" outlineLevel="1" x14ac:dyDescent="0.35">
      <c r="D24" s="92"/>
    </row>
    <row r="26" spans="1:7" x14ac:dyDescent="0.35">
      <c r="B26" s="252" t="s">
        <v>209</v>
      </c>
      <c r="C26" s="252"/>
      <c r="D26" s="252"/>
      <c r="E26" s="252"/>
      <c r="F26" s="252"/>
      <c r="G26" s="252"/>
    </row>
    <row r="27" spans="1:7" outlineLevel="1" x14ac:dyDescent="0.35"/>
    <row r="28" spans="1:7" outlineLevel="1" x14ac:dyDescent="0.35">
      <c r="B28" s="253" t="s">
        <v>208</v>
      </c>
      <c r="C28" s="253"/>
      <c r="D28" s="253"/>
      <c r="E28" s="253"/>
      <c r="F28" s="253"/>
      <c r="G28" s="253"/>
    </row>
    <row r="29" spans="1:7" outlineLevel="2" x14ac:dyDescent="0.35"/>
    <row r="30" spans="1:7" outlineLevel="2" x14ac:dyDescent="0.35">
      <c r="B30" s="254" t="s">
        <v>517</v>
      </c>
      <c r="C30" s="254"/>
      <c r="D30" s="254"/>
      <c r="E30" s="254"/>
      <c r="F30" s="254"/>
      <c r="G30" s="254"/>
    </row>
    <row r="31" spans="1:7" outlineLevel="3" x14ac:dyDescent="0.35"/>
    <row r="32" spans="1:7" outlineLevel="3" x14ac:dyDescent="0.35">
      <c r="B32" s="96" t="s">
        <v>174</v>
      </c>
      <c r="C32" s="75" t="s">
        <v>121</v>
      </c>
      <c r="D32" s="75" t="s">
        <v>8</v>
      </c>
      <c r="E32" s="75" t="s">
        <v>7</v>
      </c>
      <c r="F32" s="75" t="s">
        <v>6</v>
      </c>
      <c r="G32" s="75" t="s">
        <v>5</v>
      </c>
    </row>
    <row r="33" spans="1:7" outlineLevel="3" x14ac:dyDescent="0.35">
      <c r="A33" s="99"/>
      <c r="B33" s="90" t="s">
        <v>207</v>
      </c>
      <c r="C33" s="89"/>
      <c r="D33" s="88">
        <f>+D34*D35</f>
        <v>167610</v>
      </c>
      <c r="E33" s="88">
        <f>+E34*E35</f>
        <v>173026.8</v>
      </c>
      <c r="F33" s="88">
        <f>+F34*F35</f>
        <v>188122.8</v>
      </c>
      <c r="G33" s="88">
        <f>+G34*G35</f>
        <v>199222.8</v>
      </c>
    </row>
    <row r="34" spans="1:7" outlineLevel="3" x14ac:dyDescent="0.35">
      <c r="A34" s="99"/>
      <c r="B34" s="91" t="s">
        <v>206</v>
      </c>
      <c r="C34" s="86"/>
      <c r="D34" s="85">
        <f>+D21*Datos!$C$14</f>
        <v>2265</v>
      </c>
      <c r="E34" s="85">
        <f>+E21*Datos!$C$14</f>
        <v>2338.1999999999998</v>
      </c>
      <c r="F34" s="85">
        <f>+F21*Datos!$C$14</f>
        <v>2542.1999999999998</v>
      </c>
      <c r="G34" s="85">
        <f>+G21*Datos!$C$14</f>
        <v>2692.2</v>
      </c>
    </row>
    <row r="35" spans="1:7" outlineLevel="3" x14ac:dyDescent="0.35">
      <c r="A35" s="99"/>
      <c r="B35" s="91" t="s">
        <v>205</v>
      </c>
      <c r="C35" s="86"/>
      <c r="D35" s="85">
        <f>+Datos!$D$14</f>
        <v>74</v>
      </c>
      <c r="E35" s="85">
        <f>+Datos!$D$14</f>
        <v>74</v>
      </c>
      <c r="F35" s="85">
        <f>+Datos!$D$14</f>
        <v>74</v>
      </c>
      <c r="G35" s="85">
        <f>+Datos!$D$14</f>
        <v>74</v>
      </c>
    </row>
    <row r="36" spans="1:7" outlineLevel="3" x14ac:dyDescent="0.35">
      <c r="A36" s="99"/>
      <c r="B36" s="90" t="s">
        <v>204</v>
      </c>
      <c r="C36" s="89"/>
      <c r="D36" s="88">
        <f>+D37*D38</f>
        <v>1893.5399999999997</v>
      </c>
      <c r="E36" s="88">
        <f>+E37*E38</f>
        <v>1954.7351999999998</v>
      </c>
      <c r="F36" s="88">
        <f>+F37*F38</f>
        <v>2125.2791999999999</v>
      </c>
      <c r="G36" s="88">
        <f>+G37*G38</f>
        <v>2250.6791999999996</v>
      </c>
    </row>
    <row r="37" spans="1:7" outlineLevel="3" x14ac:dyDescent="0.35">
      <c r="A37" s="99"/>
      <c r="B37" s="91" t="s">
        <v>203</v>
      </c>
      <c r="C37" s="86"/>
      <c r="D37" s="85">
        <f>+D21*Datos!$C$15</f>
        <v>415.25</v>
      </c>
      <c r="E37" s="85">
        <f>+E21*Datos!$C$15</f>
        <v>428.67</v>
      </c>
      <c r="F37" s="85">
        <f>+F21*Datos!$C$15</f>
        <v>466.07</v>
      </c>
      <c r="G37" s="85">
        <f>+G21*Datos!$C$15</f>
        <v>493.57</v>
      </c>
    </row>
    <row r="38" spans="1:7" outlineLevel="3" x14ac:dyDescent="0.35">
      <c r="A38" s="99"/>
      <c r="B38" s="91" t="s">
        <v>202</v>
      </c>
      <c r="C38" s="86"/>
      <c r="D38" s="85">
        <f>+Datos!$D$15</f>
        <v>4.5599999999999996</v>
      </c>
      <c r="E38" s="85">
        <f>+Datos!$D$15</f>
        <v>4.5599999999999996</v>
      </c>
      <c r="F38" s="85">
        <f>+Datos!$D$15</f>
        <v>4.5599999999999996</v>
      </c>
      <c r="G38" s="85">
        <f>+Datos!$D$15</f>
        <v>4.5599999999999996</v>
      </c>
    </row>
    <row r="39" spans="1:7" outlineLevel="3" x14ac:dyDescent="0.35">
      <c r="A39" s="99"/>
      <c r="B39" s="81" t="s">
        <v>518</v>
      </c>
      <c r="C39" s="80"/>
      <c r="D39" s="79">
        <f>+D33+D36+(D33+D36)*Planes!$C$76</f>
        <v>172605.45478200002</v>
      </c>
      <c r="E39" s="79">
        <f>+E33+E36+(E33+E36)*Planes!$C$76</f>
        <v>178183.69729416</v>
      </c>
      <c r="F39" s="79">
        <f>+F33+F36+(F33+F36)*Planes!$C$76</f>
        <v>193729.61904935999</v>
      </c>
      <c r="G39" s="79">
        <f>+G33+G36+(G33+G36)*Planes!$C$76</f>
        <v>205160.44386936</v>
      </c>
    </row>
    <row r="40" spans="1:7" outlineLevel="3" x14ac:dyDescent="0.35">
      <c r="A40" s="99"/>
      <c r="B40" s="78" t="s">
        <v>519</v>
      </c>
      <c r="C40" s="77"/>
      <c r="D40" s="76">
        <f>+D39/D21</f>
        <v>45.723299280000006</v>
      </c>
      <c r="E40" s="76">
        <f>+E39/E21</f>
        <v>45.723299279999999</v>
      </c>
      <c r="F40" s="76">
        <f>+F39/F21</f>
        <v>45.723299279999999</v>
      </c>
      <c r="G40" s="76">
        <f>+G39/G21</f>
        <v>45.723299279999999</v>
      </c>
    </row>
    <row r="41" spans="1:7" outlineLevel="3" x14ac:dyDescent="0.35">
      <c r="A41" s="99"/>
    </row>
    <row r="42" spans="1:7" outlineLevel="3" x14ac:dyDescent="0.35">
      <c r="A42" s="99"/>
      <c r="B42" s="96" t="s">
        <v>173</v>
      </c>
      <c r="C42" s="75" t="s">
        <v>121</v>
      </c>
      <c r="D42" s="75" t="s">
        <v>8</v>
      </c>
      <c r="E42" s="75" t="s">
        <v>7</v>
      </c>
      <c r="F42" s="75" t="s">
        <v>6</v>
      </c>
      <c r="G42" s="75" t="s">
        <v>5</v>
      </c>
    </row>
    <row r="43" spans="1:7" outlineLevel="3" x14ac:dyDescent="0.35">
      <c r="A43" s="99"/>
      <c r="B43" s="90" t="s">
        <v>201</v>
      </c>
      <c r="C43" s="89"/>
      <c r="D43" s="88">
        <f>+D44*D45</f>
        <v>660.54243219597561</v>
      </c>
      <c r="E43" s="88">
        <f>+E44*E45</f>
        <v>681.88976377952758</v>
      </c>
      <c r="F43" s="88">
        <f>+F44*F45</f>
        <v>741.38232720909889</v>
      </c>
      <c r="G43" s="88">
        <f>+G44*G45</f>
        <v>785.12685914260726</v>
      </c>
    </row>
    <row r="44" spans="1:7" outlineLevel="3" x14ac:dyDescent="0.35">
      <c r="A44" s="99"/>
      <c r="B44" s="91" t="s">
        <v>200</v>
      </c>
      <c r="C44" s="86"/>
      <c r="D44" s="85">
        <f>+D21*Datos!$C$16</f>
        <v>165.1356080489939</v>
      </c>
      <c r="E44" s="85">
        <f>+E21*Datos!$C$16</f>
        <v>170.4724409448819</v>
      </c>
      <c r="F44" s="85">
        <f>+F21*Datos!$C$16</f>
        <v>185.34558180227472</v>
      </c>
      <c r="G44" s="85">
        <f>+G21*Datos!$C$16</f>
        <v>196.28171478565181</v>
      </c>
    </row>
    <row r="45" spans="1:7" outlineLevel="3" x14ac:dyDescent="0.35">
      <c r="A45" s="99"/>
      <c r="B45" s="91" t="s">
        <v>199</v>
      </c>
      <c r="C45" s="86"/>
      <c r="D45" s="85">
        <f>+Datos!$D$16</f>
        <v>4</v>
      </c>
      <c r="E45" s="85">
        <f>+Datos!$D$16</f>
        <v>4</v>
      </c>
      <c r="F45" s="85">
        <f>+Datos!$D$16</f>
        <v>4</v>
      </c>
      <c r="G45" s="85">
        <f>+Datos!$D$16</f>
        <v>4</v>
      </c>
    </row>
    <row r="46" spans="1:7" outlineLevel="3" x14ac:dyDescent="0.35">
      <c r="A46" s="99"/>
      <c r="B46" s="90" t="s">
        <v>198</v>
      </c>
      <c r="C46" s="89"/>
      <c r="D46" s="88">
        <f>+D47*D48</f>
        <v>717.25</v>
      </c>
      <c r="E46" s="88">
        <f>+E47*E48</f>
        <v>740.43000000000006</v>
      </c>
      <c r="F46" s="88">
        <f>+F47*F48</f>
        <v>805.03</v>
      </c>
      <c r="G46" s="88">
        <f>+G47*G48</f>
        <v>852.53</v>
      </c>
    </row>
    <row r="47" spans="1:7" outlineLevel="3" x14ac:dyDescent="0.35">
      <c r="A47" s="99"/>
      <c r="B47" s="91" t="s">
        <v>195</v>
      </c>
      <c r="C47" s="86"/>
      <c r="D47" s="85">
        <f>+D21*Datos!$C$17</f>
        <v>3775</v>
      </c>
      <c r="E47" s="85">
        <f>+E21*Datos!$C$17</f>
        <v>3897</v>
      </c>
      <c r="F47" s="85">
        <f>+F21*Datos!$C$17</f>
        <v>4237</v>
      </c>
      <c r="G47" s="85">
        <f>+G21*Datos!$C$17</f>
        <v>4487</v>
      </c>
    </row>
    <row r="48" spans="1:7" outlineLevel="3" x14ac:dyDescent="0.35">
      <c r="A48" s="99"/>
      <c r="B48" s="91" t="s">
        <v>197</v>
      </c>
      <c r="C48" s="86"/>
      <c r="D48" s="85">
        <f>+Datos!$D$17</f>
        <v>0.19</v>
      </c>
      <c r="E48" s="85">
        <f>+Datos!$D$17</f>
        <v>0.19</v>
      </c>
      <c r="F48" s="85">
        <f>+Datos!$D$17</f>
        <v>0.19</v>
      </c>
      <c r="G48" s="85">
        <f>+Datos!$D$17</f>
        <v>0.19</v>
      </c>
    </row>
    <row r="49" spans="1:7" outlineLevel="3" x14ac:dyDescent="0.35">
      <c r="A49" s="99"/>
      <c r="B49" s="90" t="s">
        <v>196</v>
      </c>
      <c r="C49" s="89"/>
      <c r="D49" s="88">
        <f>+D50*D51</f>
        <v>211.4</v>
      </c>
      <c r="E49" s="88">
        <f>+E50*E51</f>
        <v>218.232</v>
      </c>
      <c r="F49" s="88">
        <f>+F50*F51</f>
        <v>237.27199999999999</v>
      </c>
      <c r="G49" s="88">
        <f>+G50*G51</f>
        <v>251.27199999999999</v>
      </c>
    </row>
    <row r="50" spans="1:7" outlineLevel="3" x14ac:dyDescent="0.35">
      <c r="A50" s="99"/>
      <c r="B50" s="91" t="s">
        <v>195</v>
      </c>
      <c r="C50" s="86"/>
      <c r="D50" s="85">
        <f>+D21*Datos!$C$18</f>
        <v>7550</v>
      </c>
      <c r="E50" s="85">
        <f>+E21*Datos!$C$18</f>
        <v>7794</v>
      </c>
      <c r="F50" s="85">
        <f>+F21*Datos!$C$18</f>
        <v>8474</v>
      </c>
      <c r="G50" s="85">
        <f>+G21*Datos!$C$18</f>
        <v>8974</v>
      </c>
    </row>
    <row r="51" spans="1:7" outlineLevel="3" x14ac:dyDescent="0.35">
      <c r="A51" s="99"/>
      <c r="B51" s="91" t="s">
        <v>194</v>
      </c>
      <c r="C51" s="86"/>
      <c r="D51" s="85">
        <f>+Datos!$D$18</f>
        <v>2.8000000000000001E-2</v>
      </c>
      <c r="E51" s="85">
        <f>+Datos!$D$18</f>
        <v>2.8000000000000001E-2</v>
      </c>
      <c r="F51" s="85">
        <f>+Datos!$D$18</f>
        <v>2.8000000000000001E-2</v>
      </c>
      <c r="G51" s="85">
        <f>+Datos!$D$18</f>
        <v>2.8000000000000001E-2</v>
      </c>
    </row>
    <row r="52" spans="1:7" outlineLevel="3" x14ac:dyDescent="0.35">
      <c r="A52" s="99"/>
      <c r="B52" s="90" t="s">
        <v>193</v>
      </c>
      <c r="C52" s="89"/>
      <c r="D52" s="88">
        <f>+D53*D54</f>
        <v>3586.2499999999995</v>
      </c>
      <c r="E52" s="88">
        <f>+E53*E54</f>
        <v>3702.1499999999996</v>
      </c>
      <c r="F52" s="88">
        <f>+F53*F54</f>
        <v>4025.1499999999992</v>
      </c>
      <c r="G52" s="88">
        <f>+G53*G54</f>
        <v>4262.6499999999987</v>
      </c>
    </row>
    <row r="53" spans="1:7" outlineLevel="3" x14ac:dyDescent="0.35">
      <c r="A53" s="99"/>
      <c r="B53" s="91" t="s">
        <v>219</v>
      </c>
      <c r="C53" s="86"/>
      <c r="D53" s="85">
        <f>+D21*Datos!$C$19</f>
        <v>157.29166666666666</v>
      </c>
      <c r="E53" s="85">
        <f>+E21*Datos!$C$19</f>
        <v>162.375</v>
      </c>
      <c r="F53" s="85">
        <f>+F21*Datos!$C$19</f>
        <v>176.54166666666666</v>
      </c>
      <c r="G53" s="85">
        <f>+G21*Datos!$C$19</f>
        <v>186.95833333333331</v>
      </c>
    </row>
    <row r="54" spans="1:7" outlineLevel="3" x14ac:dyDescent="0.35">
      <c r="B54" s="91" t="s">
        <v>220</v>
      </c>
      <c r="C54" s="86"/>
      <c r="D54" s="85">
        <f>+Datos!$D$19</f>
        <v>22.799999999999997</v>
      </c>
      <c r="E54" s="85">
        <f>+Datos!$D$19</f>
        <v>22.799999999999997</v>
      </c>
      <c r="F54" s="85">
        <f>+Datos!$D$19</f>
        <v>22.799999999999997</v>
      </c>
      <c r="G54" s="85">
        <f>+Datos!$D$19</f>
        <v>22.799999999999997</v>
      </c>
    </row>
    <row r="55" spans="1:7" outlineLevel="3" x14ac:dyDescent="0.35">
      <c r="B55" s="81" t="s">
        <v>520</v>
      </c>
      <c r="C55" s="80"/>
      <c r="D55" s="79">
        <f>+D43+D46+D49+D52+(D43+D46+D49+D52)*Planes!$C$76</f>
        <v>5270.153028705161</v>
      </c>
      <c r="E55" s="79">
        <f>+E43+E46+E49+E52+(E43+E46+E49+E52)*Planes!$C$76</f>
        <v>5440.4732060566921</v>
      </c>
      <c r="F55" s="79">
        <f>+F43+F46+F49+F52+(F43+F46+F49+F52)*Planes!$C$76</f>
        <v>5915.1359953970241</v>
      </c>
      <c r="G55" s="79">
        <f>+G43+G46+G49+G52+(G43+G46+G49+G52)*Planes!$C$76</f>
        <v>6264.1527522649158</v>
      </c>
    </row>
    <row r="56" spans="1:7" outlineLevel="3" x14ac:dyDescent="0.35">
      <c r="B56" s="78" t="s">
        <v>521</v>
      </c>
      <c r="C56" s="77"/>
      <c r="D56" s="76">
        <f>+D55/D21</f>
        <v>1.3960670274715659</v>
      </c>
      <c r="E56" s="76">
        <f>+E55/E21</f>
        <v>1.3960670274715659</v>
      </c>
      <c r="F56" s="76">
        <f>+F55/F21</f>
        <v>1.3960670274715659</v>
      </c>
      <c r="G56" s="76">
        <f>+G55/G21</f>
        <v>1.3960670274715659</v>
      </c>
    </row>
    <row r="57" spans="1:7" outlineLevel="3" x14ac:dyDescent="0.35"/>
    <row r="58" spans="1:7" outlineLevel="3" x14ac:dyDescent="0.35">
      <c r="B58" s="96" t="s">
        <v>182</v>
      </c>
      <c r="C58" s="75" t="s">
        <v>121</v>
      </c>
      <c r="D58" s="75" t="s">
        <v>8</v>
      </c>
      <c r="E58" s="75" t="s">
        <v>7</v>
      </c>
      <c r="F58" s="75" t="s">
        <v>6</v>
      </c>
      <c r="G58" s="75" t="s">
        <v>5</v>
      </c>
    </row>
    <row r="59" spans="1:7" outlineLevel="3" x14ac:dyDescent="0.35">
      <c r="A59" s="99"/>
      <c r="B59" s="90" t="s">
        <v>192</v>
      </c>
      <c r="C59" s="89"/>
      <c r="D59" s="88">
        <f>+D60*D61</f>
        <v>566.25</v>
      </c>
      <c r="E59" s="88">
        <f>+E60*E61</f>
        <v>584.54999999999995</v>
      </c>
      <c r="F59" s="88">
        <f>+F60*F61</f>
        <v>635.54999999999995</v>
      </c>
      <c r="G59" s="88">
        <f>+G60*G61</f>
        <v>673.05</v>
      </c>
    </row>
    <row r="60" spans="1:7" outlineLevel="3" x14ac:dyDescent="0.35">
      <c r="A60" s="99"/>
      <c r="B60" s="91" t="s">
        <v>166</v>
      </c>
      <c r="C60" s="86"/>
      <c r="D60" s="85">
        <f>+D21*Datos!$C$23</f>
        <v>3775</v>
      </c>
      <c r="E60" s="85">
        <f>+E21*Datos!$C$23</f>
        <v>3897</v>
      </c>
      <c r="F60" s="85">
        <f>+F21*Datos!$C$23</f>
        <v>4237</v>
      </c>
      <c r="G60" s="85">
        <f>+G21*Datos!$C$23</f>
        <v>4487</v>
      </c>
    </row>
    <row r="61" spans="1:7" outlineLevel="3" x14ac:dyDescent="0.35">
      <c r="A61" s="99"/>
      <c r="B61" s="91" t="s">
        <v>165</v>
      </c>
      <c r="C61" s="86"/>
      <c r="D61" s="85">
        <f>+Datos!$D$23</f>
        <v>0.15</v>
      </c>
      <c r="E61" s="85">
        <f>+Datos!$D$23</f>
        <v>0.15</v>
      </c>
      <c r="F61" s="85">
        <f>+Datos!$D$23</f>
        <v>0.15</v>
      </c>
      <c r="G61" s="85">
        <f>+Datos!$D$23</f>
        <v>0.15</v>
      </c>
    </row>
    <row r="62" spans="1:7" outlineLevel="3" x14ac:dyDescent="0.35">
      <c r="A62" s="99"/>
      <c r="B62" s="90" t="s">
        <v>191</v>
      </c>
      <c r="C62" s="89"/>
      <c r="D62" s="88">
        <f>+D63*D64</f>
        <v>37.75</v>
      </c>
      <c r="E62" s="88">
        <f>+E63*E64</f>
        <v>38.97</v>
      </c>
      <c r="F62" s="88">
        <f>+F63*F64</f>
        <v>42.37</v>
      </c>
      <c r="G62" s="88">
        <f>+G63*G64</f>
        <v>44.87</v>
      </c>
    </row>
    <row r="63" spans="1:7" outlineLevel="3" x14ac:dyDescent="0.35">
      <c r="A63" s="99"/>
      <c r="B63" s="91" t="s">
        <v>166</v>
      </c>
      <c r="C63" s="86"/>
      <c r="D63" s="85">
        <f>+D21*Datos!$C$24</f>
        <v>3775</v>
      </c>
      <c r="E63" s="85">
        <f>+E21*Datos!$C$24</f>
        <v>3897</v>
      </c>
      <c r="F63" s="85">
        <f>+F21*Datos!$C$24</f>
        <v>4237</v>
      </c>
      <c r="G63" s="85">
        <f>+G21*Datos!$C$24</f>
        <v>4487</v>
      </c>
    </row>
    <row r="64" spans="1:7" outlineLevel="3" x14ac:dyDescent="0.35">
      <c r="A64" s="99"/>
      <c r="B64" s="91" t="s">
        <v>165</v>
      </c>
      <c r="C64" s="86"/>
      <c r="D64" s="85">
        <f>+Datos!$D$24</f>
        <v>0.01</v>
      </c>
      <c r="E64" s="85">
        <f>+Datos!$D$24</f>
        <v>0.01</v>
      </c>
      <c r="F64" s="85">
        <f>+Datos!$D$24</f>
        <v>0.01</v>
      </c>
      <c r="G64" s="85">
        <f>+Datos!$D$24</f>
        <v>0.01</v>
      </c>
    </row>
    <row r="65" spans="1:7" outlineLevel="3" x14ac:dyDescent="0.35">
      <c r="A65" s="99"/>
      <c r="B65" s="90" t="s">
        <v>190</v>
      </c>
      <c r="C65" s="89"/>
      <c r="D65" s="88">
        <f>+D66*D67</f>
        <v>707.8125</v>
      </c>
      <c r="E65" s="88">
        <f>+E66*E67</f>
        <v>730.68750000000011</v>
      </c>
      <c r="F65" s="88">
        <f>+F66*F67</f>
        <v>794.43750000000011</v>
      </c>
      <c r="G65" s="88">
        <f>+G66*G67</f>
        <v>841.31250000000011</v>
      </c>
    </row>
    <row r="66" spans="1:7" outlineLevel="3" x14ac:dyDescent="0.35">
      <c r="B66" s="91" t="s">
        <v>153</v>
      </c>
      <c r="C66" s="86"/>
      <c r="D66" s="85">
        <f>+D21*Datos!$C$25</f>
        <v>94.375</v>
      </c>
      <c r="E66" s="85">
        <f>+E21*Datos!$C$25</f>
        <v>97.425000000000011</v>
      </c>
      <c r="F66" s="85">
        <f>+F21*Datos!$C$25</f>
        <v>105.92500000000001</v>
      </c>
      <c r="G66" s="85">
        <f>+G21*Datos!$C$25</f>
        <v>112.17500000000001</v>
      </c>
    </row>
    <row r="67" spans="1:7" outlineLevel="3" x14ac:dyDescent="0.35">
      <c r="B67" s="91" t="s">
        <v>152</v>
      </c>
      <c r="C67" s="86"/>
      <c r="D67" s="85">
        <f>+Datos!$D$25</f>
        <v>7.5</v>
      </c>
      <c r="E67" s="85">
        <f>+Datos!$D$25</f>
        <v>7.5</v>
      </c>
      <c r="F67" s="85">
        <f>+Datos!$D$25</f>
        <v>7.5</v>
      </c>
      <c r="G67" s="85">
        <f>+Datos!$D$25</f>
        <v>7.5</v>
      </c>
    </row>
    <row r="68" spans="1:7" outlineLevel="3" x14ac:dyDescent="0.35">
      <c r="B68" s="81" t="s">
        <v>522</v>
      </c>
      <c r="C68" s="80"/>
      <c r="D68" s="79">
        <f>+D59+D62+D65</f>
        <v>1311.8125</v>
      </c>
      <c r="E68" s="79">
        <f>+E59+E62+E65</f>
        <v>1354.2075</v>
      </c>
      <c r="F68" s="79">
        <f>+F59+F62+F65</f>
        <v>1472.3575000000001</v>
      </c>
      <c r="G68" s="79">
        <f>+G59+G62+G65</f>
        <v>1559.2325000000001</v>
      </c>
    </row>
    <row r="69" spans="1:7" outlineLevel="3" x14ac:dyDescent="0.35">
      <c r="B69" s="78" t="s">
        <v>523</v>
      </c>
      <c r="C69" s="77"/>
      <c r="D69" s="76">
        <f>+D68/D21</f>
        <v>0.34749999999999998</v>
      </c>
      <c r="E69" s="76">
        <f>+E68/E21</f>
        <v>0.34749999999999998</v>
      </c>
      <c r="F69" s="76">
        <f>+F68/F21</f>
        <v>0.34750000000000003</v>
      </c>
      <c r="G69" s="76">
        <f>+G68/G21</f>
        <v>0.34750000000000003</v>
      </c>
    </row>
    <row r="70" spans="1:7" outlineLevel="3" x14ac:dyDescent="0.35"/>
    <row r="71" spans="1:7" outlineLevel="3" x14ac:dyDescent="0.35"/>
    <row r="72" spans="1:7" outlineLevel="3" x14ac:dyDescent="0.35">
      <c r="C72" s="75" t="s">
        <v>121</v>
      </c>
      <c r="D72" s="75" t="s">
        <v>8</v>
      </c>
      <c r="E72" s="75" t="s">
        <v>7</v>
      </c>
      <c r="F72" s="75" t="s">
        <v>6</v>
      </c>
      <c r="G72" s="75" t="s">
        <v>5</v>
      </c>
    </row>
    <row r="73" spans="1:7" outlineLevel="3" x14ac:dyDescent="0.35">
      <c r="B73" s="81" t="s">
        <v>524</v>
      </c>
      <c r="C73" s="80"/>
      <c r="D73" s="79">
        <f>+D68+D55+D39</f>
        <v>179187.42031070517</v>
      </c>
      <c r="E73" s="79">
        <f t="shared" ref="E73:G73" si="5">+E68+E55+E39</f>
        <v>184978.37800021667</v>
      </c>
      <c r="F73" s="79">
        <f t="shared" si="5"/>
        <v>201117.11254475702</v>
      </c>
      <c r="G73" s="79">
        <f t="shared" si="5"/>
        <v>212983.82912162491</v>
      </c>
    </row>
    <row r="74" spans="1:7" outlineLevel="3" x14ac:dyDescent="0.35">
      <c r="C74" s="102"/>
      <c r="D74" s="103"/>
      <c r="E74" s="103"/>
      <c r="F74" s="103"/>
      <c r="G74" s="103"/>
    </row>
    <row r="75" spans="1:7" outlineLevel="2" x14ac:dyDescent="0.35">
      <c r="C75" s="102"/>
      <c r="D75" s="102"/>
      <c r="E75" s="102"/>
      <c r="F75" s="102"/>
      <c r="G75" s="102"/>
    </row>
    <row r="76" spans="1:7" outlineLevel="2" x14ac:dyDescent="0.35">
      <c r="B76" s="254" t="s">
        <v>189</v>
      </c>
      <c r="C76" s="254"/>
      <c r="D76" s="254"/>
      <c r="E76" s="254"/>
      <c r="F76" s="254"/>
      <c r="G76" s="254"/>
    </row>
    <row r="77" spans="1:7" ht="15" outlineLevel="3" x14ac:dyDescent="0.35">
      <c r="B77"/>
      <c r="C77"/>
      <c r="D77"/>
    </row>
    <row r="78" spans="1:7" ht="15" outlineLevel="3" x14ac:dyDescent="0.35">
      <c r="B78"/>
      <c r="C78" s="95"/>
      <c r="D78"/>
      <c r="E78" s="95"/>
    </row>
    <row r="79" spans="1:7" ht="15" outlineLevel="3" x14ac:dyDescent="0.35">
      <c r="B79" s="96" t="s">
        <v>174</v>
      </c>
      <c r="D79"/>
      <c r="E79" s="95"/>
    </row>
    <row r="80" spans="1:7" outlineLevel="3" x14ac:dyDescent="0.35">
      <c r="B80" s="98" t="s">
        <v>188</v>
      </c>
      <c r="C80" s="97">
        <v>1200</v>
      </c>
    </row>
    <row r="81" spans="1:7" outlineLevel="3" x14ac:dyDescent="0.35">
      <c r="B81" s="98" t="s">
        <v>183</v>
      </c>
      <c r="C81" s="97">
        <f>+Datos!C60*Datos!C62</f>
        <v>286</v>
      </c>
    </row>
    <row r="82" spans="1:7" outlineLevel="3" x14ac:dyDescent="0.35">
      <c r="B82" s="101" t="s">
        <v>177</v>
      </c>
      <c r="C82" s="100">
        <f>+C80/C81</f>
        <v>4.1958041958041958</v>
      </c>
    </row>
    <row r="83" spans="1:7" outlineLevel="3" x14ac:dyDescent="0.35"/>
    <row r="84" spans="1:7" outlineLevel="3" x14ac:dyDescent="0.35">
      <c r="B84" s="96" t="s">
        <v>174</v>
      </c>
      <c r="C84" s="75" t="s">
        <v>121</v>
      </c>
      <c r="D84" s="75" t="s">
        <v>8</v>
      </c>
      <c r="E84" s="75" t="s">
        <v>7</v>
      </c>
      <c r="F84" s="75" t="s">
        <v>6</v>
      </c>
      <c r="G84" s="75" t="s">
        <v>5</v>
      </c>
    </row>
    <row r="85" spans="1:7" outlineLevel="3" x14ac:dyDescent="0.35">
      <c r="B85" s="81" t="s">
        <v>181</v>
      </c>
      <c r="C85" s="80"/>
      <c r="D85" s="79">
        <f>+(D88*D89)+(D88*D89*Planes!$C$76)</f>
        <v>2274.1914650349649</v>
      </c>
      <c r="E85" s="79">
        <f>+(E88*E89)+(E88*E89*Planes!$C$76)</f>
        <v>2347.6885137062941</v>
      </c>
      <c r="F85" s="79">
        <f>+(F88*F89)+(F88*F89*Planes!$C$76)</f>
        <v>2552.5163542657347</v>
      </c>
      <c r="G85" s="79">
        <f>+(G88*G89)+(G88*G89*Planes!$C$76)</f>
        <v>2703.125060559441</v>
      </c>
    </row>
    <row r="86" spans="1:7" outlineLevel="3" x14ac:dyDescent="0.35">
      <c r="A86" s="99"/>
      <c r="B86" s="87" t="s">
        <v>180</v>
      </c>
      <c r="C86" s="86"/>
      <c r="D86" s="85">
        <f>Datos!$C$60*Datos!$C$62*Datos!$C$56*Datos!$C$61*3</f>
        <v>1716</v>
      </c>
      <c r="E86" s="85">
        <f>Datos!$C$60*Datos!$C$62*Datos!$C$56*Datos!$C$61*3</f>
        <v>1716</v>
      </c>
      <c r="F86" s="85">
        <f>Datos!$C$60*Datos!$C$62*Datos!$C$56*Datos!$C$61*3</f>
        <v>1716</v>
      </c>
      <c r="G86" s="85">
        <f>Datos!$C$60*Datos!$C$62*Datos!$C$56*Datos!$C$61*3</f>
        <v>1716</v>
      </c>
    </row>
    <row r="87" spans="1:7" outlineLevel="3" x14ac:dyDescent="0.35">
      <c r="B87" s="87" t="s">
        <v>179</v>
      </c>
      <c r="C87" s="86"/>
      <c r="D87" s="85">
        <v>0.1</v>
      </c>
      <c r="E87" s="85">
        <f>+D87</f>
        <v>0.1</v>
      </c>
      <c r="F87" s="85">
        <f>+E87</f>
        <v>0.1</v>
      </c>
      <c r="G87" s="85">
        <f>+F87</f>
        <v>0.1</v>
      </c>
    </row>
    <row r="88" spans="1:7" outlineLevel="3" x14ac:dyDescent="0.35">
      <c r="B88" s="87" t="s">
        <v>178</v>
      </c>
      <c r="C88" s="86"/>
      <c r="D88" s="85">
        <f>+(D87*D21)+(D87*D21*(Planes!$C$9+Planes!$C$25+Planes!$C$116+Planes!$C$134+Planes!$C$171))</f>
        <v>532.27499999999998</v>
      </c>
      <c r="E88" s="85">
        <f>+(E87*E21)+(E87*E21*(Planes!$C$9+Planes!$C$25+Planes!$C$116+Planes!$C$134+Planes!$C$171))</f>
        <v>549.47700000000009</v>
      </c>
      <c r="F88" s="85">
        <f>+(F87*F21)+(F87*F21*(Planes!$C$9+Planes!$C$25+Planes!$C$116+Planes!$C$134+Planes!$C$171))</f>
        <v>597.41700000000014</v>
      </c>
      <c r="G88" s="85">
        <f>+(G87*G21)+(G87*G21*(Planes!$C$9+Planes!$C$25+Planes!$C$116+Planes!$C$134+Planes!$C$171))</f>
        <v>632.66700000000014</v>
      </c>
    </row>
    <row r="89" spans="1:7" outlineLevel="3" x14ac:dyDescent="0.35">
      <c r="B89" s="87" t="s">
        <v>177</v>
      </c>
      <c r="C89" s="86"/>
      <c r="D89" s="85">
        <f>+$C$82</f>
        <v>4.1958041958041958</v>
      </c>
      <c r="E89" s="85">
        <f>+$C$82</f>
        <v>4.1958041958041958</v>
      </c>
      <c r="F89" s="85">
        <f>+$C$82</f>
        <v>4.1958041958041958</v>
      </c>
      <c r="G89" s="85">
        <f>+$C$82</f>
        <v>4.1958041958041958</v>
      </c>
    </row>
    <row r="90" spans="1:7" outlineLevel="3" x14ac:dyDescent="0.35">
      <c r="B90" s="78" t="s">
        <v>187</v>
      </c>
      <c r="C90" s="77"/>
      <c r="D90" s="76">
        <f>+D85/D21</f>
        <v>0.60243482517482516</v>
      </c>
      <c r="E90" s="76">
        <f>+E85/E21</f>
        <v>0.60243482517482527</v>
      </c>
      <c r="F90" s="76">
        <f>+F85/F21</f>
        <v>0.60243482517482527</v>
      </c>
      <c r="G90" s="76">
        <f>+G85/G21</f>
        <v>0.60243482517482527</v>
      </c>
    </row>
    <row r="91" spans="1:7" ht="15" outlineLevel="3" x14ac:dyDescent="0.35">
      <c r="B91" s="95"/>
      <c r="D91"/>
      <c r="E91" s="95"/>
    </row>
    <row r="92" spans="1:7" ht="15" outlineLevel="3" x14ac:dyDescent="0.35">
      <c r="B92" s="95"/>
      <c r="D92"/>
      <c r="E92" s="95"/>
    </row>
    <row r="93" spans="1:7" outlineLevel="3" x14ac:dyDescent="0.35">
      <c r="B93" s="96" t="s">
        <v>173</v>
      </c>
      <c r="C93" s="92"/>
    </row>
    <row r="94" spans="1:7" outlineLevel="3" x14ac:dyDescent="0.35">
      <c r="B94" s="98" t="s">
        <v>186</v>
      </c>
      <c r="C94" s="97">
        <v>1200</v>
      </c>
    </row>
    <row r="95" spans="1:7" outlineLevel="3" x14ac:dyDescent="0.35">
      <c r="B95" s="98" t="s">
        <v>183</v>
      </c>
      <c r="C95" s="97">
        <f>+Datos!C60*Datos!C62</f>
        <v>286</v>
      </c>
    </row>
    <row r="96" spans="1:7" outlineLevel="3" x14ac:dyDescent="0.35">
      <c r="B96" s="101" t="s">
        <v>177</v>
      </c>
      <c r="C96" s="100">
        <f>+C94/C95</f>
        <v>4.1958041958041958</v>
      </c>
    </row>
    <row r="97" spans="1:7" outlineLevel="3" x14ac:dyDescent="0.35"/>
    <row r="98" spans="1:7" outlineLevel="3" x14ac:dyDescent="0.35">
      <c r="B98" s="96" t="s">
        <v>173</v>
      </c>
      <c r="C98" s="75" t="s">
        <v>121</v>
      </c>
      <c r="D98" s="75" t="s">
        <v>8</v>
      </c>
      <c r="E98" s="75" t="s">
        <v>7</v>
      </c>
      <c r="F98" s="75" t="s">
        <v>6</v>
      </c>
      <c r="G98" s="75" t="s">
        <v>5</v>
      </c>
    </row>
    <row r="99" spans="1:7" outlineLevel="3" x14ac:dyDescent="0.35">
      <c r="B99" s="81" t="s">
        <v>181</v>
      </c>
      <c r="C99" s="80"/>
      <c r="D99" s="79">
        <f>+(D102*D103)+(D102*D103*Planes!$C$76)</f>
        <v>13645.148790209791</v>
      </c>
      <c r="E99" s="79">
        <f>+(E102*E103)+(E102*E103*Planes!$C$76)</f>
        <v>14086.131082237764</v>
      </c>
      <c r="F99" s="79">
        <f>+(F102*F103)+(F102*F103*Planes!$C$76)</f>
        <v>15315.098125594404</v>
      </c>
      <c r="G99" s="79">
        <f>+(G102*G103)+(G102*G103*Planes!$C$76)</f>
        <v>16218.750363356641</v>
      </c>
    </row>
    <row r="100" spans="1:7" outlineLevel="3" x14ac:dyDescent="0.35">
      <c r="A100" s="99"/>
      <c r="B100" s="87" t="s">
        <v>180</v>
      </c>
      <c r="C100" s="86"/>
      <c r="D100" s="85">
        <f>Datos!$C$60*Datos!$C$62*Datos!$C$57*Datos!$C$61*3</f>
        <v>4290</v>
      </c>
      <c r="E100" s="85">
        <f>Datos!$C$60*Datos!$C$62*Datos!$C$57*Datos!$C$61*3</f>
        <v>4290</v>
      </c>
      <c r="F100" s="85">
        <f>Datos!$C$60*Datos!$C$62*Datos!$C$57*Datos!$C$61*3</f>
        <v>4290</v>
      </c>
      <c r="G100" s="85">
        <f>Datos!$C$60*Datos!$C$62*Datos!$C$57*Datos!$C$61*3</f>
        <v>4290</v>
      </c>
    </row>
    <row r="101" spans="1:7" outlineLevel="3" x14ac:dyDescent="0.35">
      <c r="B101" s="87" t="s">
        <v>179</v>
      </c>
      <c r="C101" s="86"/>
      <c r="D101" s="85">
        <v>0.6</v>
      </c>
      <c r="E101" s="85">
        <f>+D101</f>
        <v>0.6</v>
      </c>
      <c r="F101" s="85">
        <f>+E101</f>
        <v>0.6</v>
      </c>
      <c r="G101" s="85">
        <f>+F101</f>
        <v>0.6</v>
      </c>
    </row>
    <row r="102" spans="1:7" outlineLevel="3" x14ac:dyDescent="0.35">
      <c r="B102" s="87" t="s">
        <v>178</v>
      </c>
      <c r="C102" s="86"/>
      <c r="D102" s="85">
        <f>+(D101*D21)+(D101*D21*(Planes!$C$9+Planes!$C$25+Planes!$C$116+Planes!$C$134+Planes!$C$171))</f>
        <v>3193.65</v>
      </c>
      <c r="E102" s="85">
        <f>+(E101*E21)+(E101*E21*(Planes!$C$9+Planes!$C$25+Planes!$C$116+Planes!$C$134+Planes!$C$171))</f>
        <v>3296.8620000000001</v>
      </c>
      <c r="F102" s="85">
        <f>+(F101*F21)+(F101*F21*(Planes!$C$9+Planes!$C$25+Planes!$C$116+Planes!$C$134+Planes!$C$171))</f>
        <v>3584.5019999999995</v>
      </c>
      <c r="G102" s="85">
        <f>+(G101*G21)+(G101*G21*(Planes!$C$9+Planes!$C$25+Planes!$C$116+Planes!$C$134+Planes!$C$171))</f>
        <v>3796.0019999999995</v>
      </c>
    </row>
    <row r="103" spans="1:7" outlineLevel="3" x14ac:dyDescent="0.35">
      <c r="B103" s="87" t="s">
        <v>177</v>
      </c>
      <c r="C103" s="86"/>
      <c r="D103" s="85">
        <f>+$C$96</f>
        <v>4.1958041958041958</v>
      </c>
      <c r="E103" s="85">
        <f>+$C$96</f>
        <v>4.1958041958041958</v>
      </c>
      <c r="F103" s="85">
        <f>+$C$96</f>
        <v>4.1958041958041958</v>
      </c>
      <c r="G103" s="85">
        <f>+$C$96</f>
        <v>4.1958041958041958</v>
      </c>
    </row>
    <row r="104" spans="1:7" outlineLevel="3" x14ac:dyDescent="0.35">
      <c r="B104" s="78" t="s">
        <v>185</v>
      </c>
      <c r="C104" s="77"/>
      <c r="D104" s="76">
        <f>+D99/D21</f>
        <v>3.6146089510489512</v>
      </c>
      <c r="E104" s="76">
        <f>+E99/E21</f>
        <v>3.6146089510489512</v>
      </c>
      <c r="F104" s="76">
        <f>+F99/F21</f>
        <v>3.6146089510489507</v>
      </c>
      <c r="G104" s="76">
        <f>+G99/G21</f>
        <v>3.6146089510489507</v>
      </c>
    </row>
    <row r="105" spans="1:7" outlineLevel="3" x14ac:dyDescent="0.35"/>
    <row r="106" spans="1:7" outlineLevel="3" x14ac:dyDescent="0.35"/>
    <row r="107" spans="1:7" outlineLevel="3" x14ac:dyDescent="0.35">
      <c r="B107" s="96" t="s">
        <v>182</v>
      </c>
    </row>
    <row r="108" spans="1:7" outlineLevel="3" x14ac:dyDescent="0.35">
      <c r="B108" s="98" t="s">
        <v>184</v>
      </c>
      <c r="C108" s="97">
        <v>1200</v>
      </c>
    </row>
    <row r="109" spans="1:7" outlineLevel="3" x14ac:dyDescent="0.35">
      <c r="B109" s="98" t="s">
        <v>183</v>
      </c>
      <c r="C109" s="97">
        <f>+Datos!C60*Datos!C62</f>
        <v>286</v>
      </c>
    </row>
    <row r="110" spans="1:7" outlineLevel="3" x14ac:dyDescent="0.35">
      <c r="B110" s="101" t="s">
        <v>177</v>
      </c>
      <c r="C110" s="100">
        <f>+C108/C109</f>
        <v>4.1958041958041958</v>
      </c>
    </row>
    <row r="111" spans="1:7" outlineLevel="3" x14ac:dyDescent="0.35"/>
    <row r="112" spans="1:7" outlineLevel="3" x14ac:dyDescent="0.35">
      <c r="B112" s="96" t="s">
        <v>182</v>
      </c>
      <c r="C112" s="75" t="s">
        <v>121</v>
      </c>
      <c r="D112" s="75" t="s">
        <v>8</v>
      </c>
      <c r="E112" s="75" t="s">
        <v>7</v>
      </c>
      <c r="F112" s="75" t="s">
        <v>6</v>
      </c>
      <c r="G112" s="75" t="s">
        <v>5</v>
      </c>
    </row>
    <row r="113" spans="1:7" outlineLevel="3" x14ac:dyDescent="0.35">
      <c r="B113" s="81" t="s">
        <v>181</v>
      </c>
      <c r="C113" s="80"/>
      <c r="D113" s="79">
        <f>+D116*D117</f>
        <v>4019.9790209790212</v>
      </c>
      <c r="E113" s="79">
        <f>+E116*E117</f>
        <v>4149.8962237762235</v>
      </c>
      <c r="F113" s="79">
        <f>+F116*F117</f>
        <v>4511.9605594405593</v>
      </c>
      <c r="G113" s="79">
        <f>+G116*G117</f>
        <v>4778.1843356643358</v>
      </c>
    </row>
    <row r="114" spans="1:7" outlineLevel="3" x14ac:dyDescent="0.35">
      <c r="A114" s="99"/>
      <c r="B114" s="87" t="s">
        <v>180</v>
      </c>
      <c r="C114" s="86"/>
      <c r="D114" s="85">
        <f>Datos!$C$60*Datos!$C$62*Datos!$C$58*Datos!$C$61*3</f>
        <v>4290</v>
      </c>
      <c r="E114" s="85">
        <f>Datos!$C$60*Datos!$C$62*Datos!$C$58*Datos!$C$61*3</f>
        <v>4290</v>
      </c>
      <c r="F114" s="85">
        <f>Datos!$C$60*Datos!$C$62*Datos!$C$58*Datos!$C$61*3</f>
        <v>4290</v>
      </c>
      <c r="G114" s="85">
        <f>Datos!$C$60*Datos!$C$62*Datos!$C$58*Datos!$C$61*3</f>
        <v>4290</v>
      </c>
    </row>
    <row r="115" spans="1:7" outlineLevel="3" x14ac:dyDescent="0.35">
      <c r="B115" s="87" t="s">
        <v>179</v>
      </c>
      <c r="C115" s="86"/>
      <c r="D115" s="85">
        <v>0.18</v>
      </c>
      <c r="E115" s="85">
        <f>+D115</f>
        <v>0.18</v>
      </c>
      <c r="F115" s="85">
        <f>+E115</f>
        <v>0.18</v>
      </c>
      <c r="G115" s="85">
        <f>+F115</f>
        <v>0.18</v>
      </c>
    </row>
    <row r="116" spans="1:7" outlineLevel="3" x14ac:dyDescent="0.35">
      <c r="B116" s="87" t="s">
        <v>178</v>
      </c>
      <c r="C116" s="86"/>
      <c r="D116" s="85">
        <f>+(D115*D18)+(D115*D18*(Planes!$C$9+Planes!$C$25+Planes!$C$116+Planes!$C$134+Planes!$C$171))</f>
        <v>958.09500000000003</v>
      </c>
      <c r="E116" s="85">
        <f>+(E115*E18)+(E115*E18*(Planes!$C$9+Planes!$C$25+Planes!$C$116+Planes!$C$134+Planes!$C$171))</f>
        <v>989.05859999999984</v>
      </c>
      <c r="F116" s="85">
        <f>+(F115*F18)+(F115*F18*(Planes!$C$9+Planes!$C$25+Planes!$C$116+Planes!$C$134+Planes!$C$171))</f>
        <v>1075.3506</v>
      </c>
      <c r="G116" s="85">
        <f>+(G115*G18)+(G115*G18*(Planes!$C$9+Planes!$C$25+Planes!$C$116+Planes!$C$134+Planes!$C$171))</f>
        <v>1138.8006</v>
      </c>
    </row>
    <row r="117" spans="1:7" outlineLevel="3" x14ac:dyDescent="0.35">
      <c r="B117" s="87" t="s">
        <v>177</v>
      </c>
      <c r="C117" s="86"/>
      <c r="D117" s="85">
        <f>+$C$110</f>
        <v>4.1958041958041958</v>
      </c>
      <c r="E117" s="85">
        <f>+$C$110</f>
        <v>4.1958041958041958</v>
      </c>
      <c r="F117" s="85">
        <f>+$C$110</f>
        <v>4.1958041958041958</v>
      </c>
      <c r="G117" s="85">
        <f>+$C$110</f>
        <v>4.1958041958041958</v>
      </c>
    </row>
    <row r="118" spans="1:7" outlineLevel="3" x14ac:dyDescent="0.35">
      <c r="B118" s="78" t="s">
        <v>176</v>
      </c>
      <c r="C118" s="77"/>
      <c r="D118" s="76">
        <f>+D113/D18</f>
        <v>1.064895104895105</v>
      </c>
      <c r="E118" s="76">
        <f>+E113/E18</f>
        <v>1.0648951048951047</v>
      </c>
      <c r="F118" s="76">
        <f>+F113/F18</f>
        <v>1.064895104895105</v>
      </c>
      <c r="G118" s="76">
        <f>+G113/G18</f>
        <v>1.064895104895105</v>
      </c>
    </row>
    <row r="119" spans="1:7" outlineLevel="3" x14ac:dyDescent="0.35"/>
    <row r="120" spans="1:7" outlineLevel="3" x14ac:dyDescent="0.35"/>
    <row r="121" spans="1:7" outlineLevel="3" x14ac:dyDescent="0.35">
      <c r="C121" s="75" t="s">
        <v>121</v>
      </c>
      <c r="D121" s="75" t="s">
        <v>8</v>
      </c>
      <c r="E121" s="75" t="s">
        <v>7</v>
      </c>
      <c r="F121" s="75" t="s">
        <v>6</v>
      </c>
      <c r="G121" s="75" t="s">
        <v>5</v>
      </c>
    </row>
    <row r="122" spans="1:7" outlineLevel="3" x14ac:dyDescent="0.35">
      <c r="B122" s="81" t="s">
        <v>175</v>
      </c>
      <c r="C122" s="80"/>
      <c r="D122" s="79">
        <f>+D113+D99+D85</f>
        <v>19939.319276223778</v>
      </c>
      <c r="E122" s="79">
        <f>+E113+E99+E85</f>
        <v>20583.715819720281</v>
      </c>
      <c r="F122" s="79">
        <f>+F113+F99+F85</f>
        <v>22379.5750393007</v>
      </c>
      <c r="G122" s="79">
        <f>+G113+G99+G85</f>
        <v>23700.059759580417</v>
      </c>
    </row>
    <row r="123" spans="1:7" outlineLevel="3" x14ac:dyDescent="0.35"/>
    <row r="124" spans="1:7" outlineLevel="3" x14ac:dyDescent="0.35"/>
    <row r="125" spans="1:7" outlineLevel="2" x14ac:dyDescent="0.35">
      <c r="B125" s="254" t="s">
        <v>172</v>
      </c>
      <c r="C125" s="254"/>
      <c r="D125" s="254"/>
      <c r="E125" s="254"/>
      <c r="F125" s="254"/>
      <c r="G125" s="254"/>
    </row>
    <row r="126" spans="1:7" outlineLevel="2" x14ac:dyDescent="0.35"/>
    <row r="127" spans="1:7" outlineLevel="2" x14ac:dyDescent="0.35">
      <c r="B127" s="38" t="s">
        <v>61</v>
      </c>
    </row>
    <row r="128" spans="1:7" outlineLevel="2" x14ac:dyDescent="0.35"/>
    <row r="129" spans="2:7" outlineLevel="2" x14ac:dyDescent="0.35">
      <c r="C129" s="75" t="s">
        <v>121</v>
      </c>
      <c r="D129" s="75" t="s">
        <v>8</v>
      </c>
      <c r="E129" s="75" t="s">
        <v>7</v>
      </c>
      <c r="F129" s="75" t="s">
        <v>6</v>
      </c>
      <c r="G129" s="75" t="s">
        <v>5</v>
      </c>
    </row>
    <row r="130" spans="2:7" outlineLevel="2" x14ac:dyDescent="0.35">
      <c r="B130" s="90" t="s">
        <v>171</v>
      </c>
      <c r="C130" s="89"/>
      <c r="D130" s="88">
        <f>+D131*D132</f>
        <v>340</v>
      </c>
      <c r="E130" s="88">
        <f>+E131*E132</f>
        <v>340</v>
      </c>
      <c r="F130" s="88">
        <f>+F131*F132</f>
        <v>340</v>
      </c>
      <c r="G130" s="88">
        <f>+G131*G132</f>
        <v>340</v>
      </c>
    </row>
    <row r="131" spans="2:7" outlineLevel="2" x14ac:dyDescent="0.35">
      <c r="B131" s="91" t="s">
        <v>156</v>
      </c>
      <c r="C131" s="86"/>
      <c r="D131" s="85">
        <f>+Datos!$C$33</f>
        <v>2</v>
      </c>
      <c r="E131" s="85">
        <f>+Datos!$C$33</f>
        <v>2</v>
      </c>
      <c r="F131" s="85">
        <f>+Datos!$C$33</f>
        <v>2</v>
      </c>
      <c r="G131" s="85">
        <f>+Datos!$C$33</f>
        <v>2</v>
      </c>
    </row>
    <row r="132" spans="2:7" outlineLevel="2" x14ac:dyDescent="0.35">
      <c r="B132" s="91" t="s">
        <v>155</v>
      </c>
      <c r="C132" s="86"/>
      <c r="D132" s="85">
        <f>+Datos!$D$33</f>
        <v>170</v>
      </c>
      <c r="E132" s="85">
        <f>+Datos!$D$33</f>
        <v>170</v>
      </c>
      <c r="F132" s="85">
        <f>+Datos!$D$33</f>
        <v>170</v>
      </c>
      <c r="G132" s="85">
        <f>+Datos!$D$33</f>
        <v>170</v>
      </c>
    </row>
    <row r="133" spans="2:7" outlineLevel="2" x14ac:dyDescent="0.35">
      <c r="B133" s="90" t="s">
        <v>170</v>
      </c>
      <c r="C133" s="89"/>
      <c r="D133" s="88">
        <f>+D134*D135</f>
        <v>41</v>
      </c>
      <c r="E133" s="88">
        <f>+E134*E135</f>
        <v>41</v>
      </c>
      <c r="F133" s="88">
        <f>+F134*F135</f>
        <v>41</v>
      </c>
      <c r="G133" s="88">
        <f>+G134*G135</f>
        <v>41</v>
      </c>
    </row>
    <row r="134" spans="2:7" outlineLevel="2" x14ac:dyDescent="0.35">
      <c r="B134" s="91" t="s">
        <v>166</v>
      </c>
      <c r="C134" s="86"/>
      <c r="D134" s="85">
        <f>+Datos!$C$34</f>
        <v>41</v>
      </c>
      <c r="E134" s="85">
        <f>+Datos!$C$34</f>
        <v>41</v>
      </c>
      <c r="F134" s="85">
        <f>+Datos!$C$34</f>
        <v>41</v>
      </c>
      <c r="G134" s="85">
        <f>+Datos!$C$34</f>
        <v>41</v>
      </c>
    </row>
    <row r="135" spans="2:7" outlineLevel="2" x14ac:dyDescent="0.35">
      <c r="B135" s="91" t="s">
        <v>165</v>
      </c>
      <c r="C135" s="86"/>
      <c r="D135" s="85">
        <f>+Datos!$D$34</f>
        <v>1</v>
      </c>
      <c r="E135" s="85">
        <f>+Datos!$D$34</f>
        <v>1</v>
      </c>
      <c r="F135" s="85">
        <f>+Datos!$D$34</f>
        <v>1</v>
      </c>
      <c r="G135" s="85">
        <f>+Datos!$D$34</f>
        <v>1</v>
      </c>
    </row>
    <row r="136" spans="2:7" outlineLevel="2" x14ac:dyDescent="0.35">
      <c r="B136" s="90" t="s">
        <v>169</v>
      </c>
      <c r="C136" s="89"/>
      <c r="D136" s="88">
        <f>+D137*D138</f>
        <v>120</v>
      </c>
      <c r="E136" s="88">
        <f>+E137*E138</f>
        <v>120</v>
      </c>
      <c r="F136" s="88">
        <f>+F137*F138</f>
        <v>120</v>
      </c>
      <c r="G136" s="88">
        <f>+G137*G138</f>
        <v>120</v>
      </c>
    </row>
    <row r="137" spans="2:7" outlineLevel="2" x14ac:dyDescent="0.35">
      <c r="B137" s="91" t="s">
        <v>166</v>
      </c>
      <c r="C137" s="86"/>
      <c r="D137" s="85">
        <f>+Datos!$C$35</f>
        <v>4</v>
      </c>
      <c r="E137" s="85">
        <f>+Datos!$C$35</f>
        <v>4</v>
      </c>
      <c r="F137" s="85">
        <f>+Datos!$C$35</f>
        <v>4</v>
      </c>
      <c r="G137" s="85">
        <f>+Datos!$C$35</f>
        <v>4</v>
      </c>
    </row>
    <row r="138" spans="2:7" outlineLevel="2" x14ac:dyDescent="0.35">
      <c r="B138" s="91" t="s">
        <v>165</v>
      </c>
      <c r="C138" s="86"/>
      <c r="D138" s="85">
        <f>+Datos!$D$35</f>
        <v>30</v>
      </c>
      <c r="E138" s="85">
        <f>+Datos!$D$35</f>
        <v>30</v>
      </c>
      <c r="F138" s="85">
        <f>+Datos!$D$35</f>
        <v>30</v>
      </c>
      <c r="G138" s="85">
        <f>+Datos!$D$35</f>
        <v>30</v>
      </c>
    </row>
    <row r="139" spans="2:7" outlineLevel="2" x14ac:dyDescent="0.35">
      <c r="B139" s="90" t="s">
        <v>168</v>
      </c>
      <c r="C139" s="89"/>
      <c r="D139" s="88">
        <f>+D140*D141</f>
        <v>34</v>
      </c>
      <c r="E139" s="88">
        <f>+E140*E141</f>
        <v>34</v>
      </c>
      <c r="F139" s="88">
        <f>+F140*F141</f>
        <v>34</v>
      </c>
      <c r="G139" s="88">
        <f>+G140*G141</f>
        <v>34</v>
      </c>
    </row>
    <row r="140" spans="2:7" outlineLevel="2" x14ac:dyDescent="0.35">
      <c r="B140" s="91" t="s">
        <v>166</v>
      </c>
      <c r="C140" s="86"/>
      <c r="D140" s="85">
        <f>+Datos!$C$36</f>
        <v>17</v>
      </c>
      <c r="E140" s="85">
        <f>+Datos!$C$36</f>
        <v>17</v>
      </c>
      <c r="F140" s="85">
        <f>+Datos!$C$36</f>
        <v>17</v>
      </c>
      <c r="G140" s="85">
        <f>+Datos!$C$36</f>
        <v>17</v>
      </c>
    </row>
    <row r="141" spans="2:7" outlineLevel="2" x14ac:dyDescent="0.35">
      <c r="B141" s="91" t="s">
        <v>165</v>
      </c>
      <c r="C141" s="86"/>
      <c r="D141" s="85">
        <f>+Datos!$D$36</f>
        <v>2</v>
      </c>
      <c r="E141" s="85">
        <f>+Datos!$D$36</f>
        <v>2</v>
      </c>
      <c r="F141" s="85">
        <f>+Datos!$D$36</f>
        <v>2</v>
      </c>
      <c r="G141" s="85">
        <f>+Datos!$D$36</f>
        <v>2</v>
      </c>
    </row>
    <row r="142" spans="2:7" outlineLevel="2" x14ac:dyDescent="0.35">
      <c r="B142" s="90" t="s">
        <v>167</v>
      </c>
      <c r="C142" s="89"/>
      <c r="D142" s="88">
        <f>+D143*D144</f>
        <v>18</v>
      </c>
      <c r="E142" s="88">
        <f>+E143*E144</f>
        <v>18</v>
      </c>
      <c r="F142" s="88">
        <f>+F143*F144</f>
        <v>18</v>
      </c>
      <c r="G142" s="88">
        <f>+G143*G144</f>
        <v>18</v>
      </c>
    </row>
    <row r="143" spans="2:7" outlineLevel="2" x14ac:dyDescent="0.35">
      <c r="B143" s="91" t="s">
        <v>166</v>
      </c>
      <c r="C143" s="86"/>
      <c r="D143" s="85">
        <f>+Datos!$C$37</f>
        <v>9</v>
      </c>
      <c r="E143" s="85">
        <f>+Datos!$C$37</f>
        <v>9</v>
      </c>
      <c r="F143" s="85">
        <f>+Datos!$C$37</f>
        <v>9</v>
      </c>
      <c r="G143" s="85">
        <f>+Datos!$C$37</f>
        <v>9</v>
      </c>
    </row>
    <row r="144" spans="2:7" outlineLevel="2" x14ac:dyDescent="0.35">
      <c r="B144" s="91" t="s">
        <v>165</v>
      </c>
      <c r="C144" s="86"/>
      <c r="D144" s="85">
        <f>+Datos!$D$37</f>
        <v>2</v>
      </c>
      <c r="E144" s="85">
        <f>+Datos!$D$37</f>
        <v>2</v>
      </c>
      <c r="F144" s="85">
        <f>+Datos!$D$37</f>
        <v>2</v>
      </c>
      <c r="G144" s="85">
        <f>+Datos!$D$37</f>
        <v>2</v>
      </c>
    </row>
    <row r="145" spans="2:7" outlineLevel="2" x14ac:dyDescent="0.35">
      <c r="B145" s="90" t="s">
        <v>164</v>
      </c>
      <c r="C145" s="89"/>
      <c r="D145" s="88">
        <f>+D146*D147</f>
        <v>60</v>
      </c>
      <c r="E145" s="88">
        <f>+E146*E147</f>
        <v>60</v>
      </c>
      <c r="F145" s="88">
        <f>+F146*F147</f>
        <v>60</v>
      </c>
      <c r="G145" s="88">
        <f>+G146*G147</f>
        <v>60</v>
      </c>
    </row>
    <row r="146" spans="2:7" outlineLevel="2" x14ac:dyDescent="0.35">
      <c r="B146" s="91" t="s">
        <v>159</v>
      </c>
      <c r="C146" s="86"/>
      <c r="D146" s="85">
        <f>+Datos!$C$38</f>
        <v>6</v>
      </c>
      <c r="E146" s="85">
        <f>+Datos!$C$38</f>
        <v>6</v>
      </c>
      <c r="F146" s="85">
        <f>+Datos!$C$38</f>
        <v>6</v>
      </c>
      <c r="G146" s="85">
        <f>+Datos!$C$38</f>
        <v>6</v>
      </c>
    </row>
    <row r="147" spans="2:7" outlineLevel="2" x14ac:dyDescent="0.35">
      <c r="B147" s="91" t="s">
        <v>158</v>
      </c>
      <c r="C147" s="86"/>
      <c r="D147" s="85">
        <f>+Datos!$D$38</f>
        <v>10</v>
      </c>
      <c r="E147" s="85">
        <f>+Datos!$D$38</f>
        <v>10</v>
      </c>
      <c r="F147" s="85">
        <f>+Datos!$D$38</f>
        <v>10</v>
      </c>
      <c r="G147" s="85">
        <f>+Datos!$D$38</f>
        <v>10</v>
      </c>
    </row>
    <row r="148" spans="2:7" outlineLevel="2" x14ac:dyDescent="0.35">
      <c r="B148" s="90" t="s">
        <v>163</v>
      </c>
      <c r="C148" s="89"/>
      <c r="D148" s="88">
        <f>+D149*D150</f>
        <v>120</v>
      </c>
      <c r="E148" s="88">
        <f>+E149*E150</f>
        <v>120</v>
      </c>
      <c r="F148" s="88">
        <f>+F149*F150</f>
        <v>120</v>
      </c>
      <c r="G148" s="88">
        <f>+G149*G150</f>
        <v>120</v>
      </c>
    </row>
    <row r="149" spans="2:7" outlineLevel="2" x14ac:dyDescent="0.35">
      <c r="B149" s="91" t="s">
        <v>162</v>
      </c>
      <c r="C149" s="86"/>
      <c r="D149" s="85">
        <f>+Datos!$C$39</f>
        <v>4</v>
      </c>
      <c r="E149" s="85">
        <f>+Datos!$C$39</f>
        <v>4</v>
      </c>
      <c r="F149" s="85">
        <f>+Datos!$C$39</f>
        <v>4</v>
      </c>
      <c r="G149" s="85">
        <f>+Datos!$C$39</f>
        <v>4</v>
      </c>
    </row>
    <row r="150" spans="2:7" outlineLevel="2" x14ac:dyDescent="0.35">
      <c r="B150" s="91" t="s">
        <v>161</v>
      </c>
      <c r="C150" s="86"/>
      <c r="D150" s="85">
        <f>+Datos!$D$39</f>
        <v>30</v>
      </c>
      <c r="E150" s="85">
        <f>+Datos!$D$39</f>
        <v>30</v>
      </c>
      <c r="F150" s="85">
        <f>+Datos!$D$39</f>
        <v>30</v>
      </c>
      <c r="G150" s="85">
        <f>+Datos!$D$39</f>
        <v>30</v>
      </c>
    </row>
    <row r="151" spans="2:7" outlineLevel="2" x14ac:dyDescent="0.35">
      <c r="B151" s="90" t="s">
        <v>160</v>
      </c>
      <c r="C151" s="89"/>
      <c r="D151" s="88">
        <f>+D152*D153</f>
        <v>16</v>
      </c>
      <c r="E151" s="88">
        <f>+E152*E153</f>
        <v>16</v>
      </c>
      <c r="F151" s="88">
        <f>+F152*F153</f>
        <v>16</v>
      </c>
      <c r="G151" s="88">
        <f>+G152*G153</f>
        <v>16</v>
      </c>
    </row>
    <row r="152" spans="2:7" outlineLevel="2" x14ac:dyDescent="0.35">
      <c r="B152" s="91" t="s">
        <v>159</v>
      </c>
      <c r="C152" s="86"/>
      <c r="D152" s="85">
        <f>+Datos!$C$40</f>
        <v>4</v>
      </c>
      <c r="E152" s="85">
        <f>+Datos!$C$40</f>
        <v>4</v>
      </c>
      <c r="F152" s="85">
        <f>+Datos!$C$40</f>
        <v>4</v>
      </c>
      <c r="G152" s="85">
        <f>+Datos!$C$40</f>
        <v>4</v>
      </c>
    </row>
    <row r="153" spans="2:7" outlineLevel="2" x14ac:dyDescent="0.35">
      <c r="B153" s="91" t="s">
        <v>158</v>
      </c>
      <c r="C153" s="86"/>
      <c r="D153" s="85">
        <f>+Datos!$D$40</f>
        <v>4</v>
      </c>
      <c r="E153" s="85">
        <f>+Datos!$D$40</f>
        <v>4</v>
      </c>
      <c r="F153" s="85">
        <f>+Datos!$D$40</f>
        <v>4</v>
      </c>
      <c r="G153" s="85">
        <f>+Datos!$D$40</f>
        <v>4</v>
      </c>
    </row>
    <row r="154" spans="2:7" outlineLevel="2" x14ac:dyDescent="0.35">
      <c r="B154" s="90" t="s">
        <v>157</v>
      </c>
      <c r="C154" s="89"/>
      <c r="D154" s="88">
        <f>+D155*D156</f>
        <v>180</v>
      </c>
      <c r="E154" s="88">
        <f>+E155*E156</f>
        <v>180</v>
      </c>
      <c r="F154" s="88">
        <f>+F155*F156</f>
        <v>180</v>
      </c>
      <c r="G154" s="88">
        <f>+G155*G156</f>
        <v>180</v>
      </c>
    </row>
    <row r="155" spans="2:7" outlineLevel="2" x14ac:dyDescent="0.35">
      <c r="B155" s="91" t="s">
        <v>156</v>
      </c>
      <c r="C155" s="86"/>
      <c r="D155" s="85">
        <f>+Datos!$C$41</f>
        <v>6</v>
      </c>
      <c r="E155" s="85">
        <f>+Datos!$C$41</f>
        <v>6</v>
      </c>
      <c r="F155" s="85">
        <f>+Datos!$C$41</f>
        <v>6</v>
      </c>
      <c r="G155" s="85">
        <f>+Datos!$C$41</f>
        <v>6</v>
      </c>
    </row>
    <row r="156" spans="2:7" outlineLevel="2" x14ac:dyDescent="0.35">
      <c r="B156" s="91" t="s">
        <v>155</v>
      </c>
      <c r="C156" s="86"/>
      <c r="D156" s="85">
        <f>+Datos!$D$41</f>
        <v>30</v>
      </c>
      <c r="E156" s="85">
        <f>+Datos!$D$41</f>
        <v>30</v>
      </c>
      <c r="F156" s="85">
        <f>+Datos!$D$41</f>
        <v>30</v>
      </c>
      <c r="G156" s="85">
        <f>+Datos!$D$41</f>
        <v>30</v>
      </c>
    </row>
    <row r="157" spans="2:7" outlineLevel="2" x14ac:dyDescent="0.35">
      <c r="B157" s="90" t="s">
        <v>154</v>
      </c>
      <c r="C157" s="89"/>
      <c r="D157" s="88">
        <f>+D158*D159</f>
        <v>6</v>
      </c>
      <c r="E157" s="88">
        <f>+E158*E159</f>
        <v>6</v>
      </c>
      <c r="F157" s="88">
        <f>+F158*F159</f>
        <v>6</v>
      </c>
      <c r="G157" s="88">
        <f>+G158*G159</f>
        <v>6</v>
      </c>
    </row>
    <row r="158" spans="2:7" outlineLevel="2" x14ac:dyDescent="0.35">
      <c r="B158" s="91" t="s">
        <v>153</v>
      </c>
      <c r="C158" s="86"/>
      <c r="D158" s="85">
        <f>+Datos!$C$42</f>
        <v>1</v>
      </c>
      <c r="E158" s="85">
        <f>+Datos!$C$42</f>
        <v>1</v>
      </c>
      <c r="F158" s="85">
        <f>+Datos!$C$42</f>
        <v>1</v>
      </c>
      <c r="G158" s="85">
        <f>+Datos!$C$42</f>
        <v>1</v>
      </c>
    </row>
    <row r="159" spans="2:7" outlineLevel="2" x14ac:dyDescent="0.35">
      <c r="B159" s="91" t="s">
        <v>152</v>
      </c>
      <c r="C159" s="86"/>
      <c r="D159" s="85">
        <f>+Datos!$D$42</f>
        <v>6</v>
      </c>
      <c r="E159" s="85">
        <f>+Datos!$D$42</f>
        <v>6</v>
      </c>
      <c r="F159" s="85">
        <f>+Datos!$D$42</f>
        <v>6</v>
      </c>
      <c r="G159" s="85">
        <f>+Datos!$D$42</f>
        <v>6</v>
      </c>
    </row>
    <row r="160" spans="2:7" outlineLevel="2" x14ac:dyDescent="0.35">
      <c r="B160" s="81" t="s">
        <v>151</v>
      </c>
      <c r="C160" s="80"/>
      <c r="D160" s="79">
        <f>+D130+D133+D136+D139+D142+D145+D148+D151+D154+D157</f>
        <v>935</v>
      </c>
      <c r="E160" s="79">
        <f>+E130+E133+E136+E139+E142+E145+E148+E151+E154+E157</f>
        <v>935</v>
      </c>
      <c r="F160" s="79">
        <f>+F130+F133+F136+F139+F142+F145+F148+F151+F154+F157</f>
        <v>935</v>
      </c>
      <c r="G160" s="79">
        <f>+G130+G133+G136+G139+G142+G145+G148+G151+G154+G157</f>
        <v>935</v>
      </c>
    </row>
    <row r="161" spans="2:9" outlineLevel="2" x14ac:dyDescent="0.35"/>
    <row r="162" spans="2:9" outlineLevel="2" x14ac:dyDescent="0.35">
      <c r="B162" s="38" t="s">
        <v>150</v>
      </c>
    </row>
    <row r="163" spans="2:9" outlineLevel="3" x14ac:dyDescent="0.35"/>
    <row r="164" spans="2:9" outlineLevel="3" x14ac:dyDescent="0.35">
      <c r="B164" s="258" t="s">
        <v>149</v>
      </c>
      <c r="C164" s="259"/>
      <c r="H164" s="261"/>
      <c r="I164" s="261"/>
    </row>
    <row r="165" spans="2:9" ht="15" outlineLevel="3" x14ac:dyDescent="0.35">
      <c r="B165" s="94" t="s">
        <v>148</v>
      </c>
      <c r="C165" s="255">
        <v>1.37E-2</v>
      </c>
      <c r="D165" s="95"/>
      <c r="I165" s="260"/>
    </row>
    <row r="166" spans="2:9" outlineLevel="3" x14ac:dyDescent="0.35">
      <c r="B166" s="94" t="s">
        <v>147</v>
      </c>
      <c r="C166" s="256"/>
      <c r="I166" s="260"/>
    </row>
    <row r="167" spans="2:9" outlineLevel="3" x14ac:dyDescent="0.35">
      <c r="B167" s="94" t="s">
        <v>146</v>
      </c>
      <c r="C167" s="256"/>
      <c r="I167" s="260"/>
    </row>
    <row r="168" spans="2:9" outlineLevel="3" x14ac:dyDescent="0.35">
      <c r="B168" s="94" t="s">
        <v>145</v>
      </c>
      <c r="C168" s="256"/>
      <c r="I168" s="260"/>
    </row>
    <row r="169" spans="2:9" outlineLevel="3" x14ac:dyDescent="0.35">
      <c r="B169" s="94" t="s">
        <v>144</v>
      </c>
      <c r="C169" s="257"/>
      <c r="I169" s="260"/>
    </row>
    <row r="170" spans="2:9" outlineLevel="3" x14ac:dyDescent="0.35"/>
    <row r="171" spans="2:9" outlineLevel="3" x14ac:dyDescent="0.35">
      <c r="B171" s="38" t="s">
        <v>143</v>
      </c>
    </row>
    <row r="172" spans="2:9" outlineLevel="3" x14ac:dyDescent="0.35"/>
    <row r="173" spans="2:9" outlineLevel="3" x14ac:dyDescent="0.35">
      <c r="C173" s="75" t="s">
        <v>121</v>
      </c>
      <c r="D173" s="75" t="s">
        <v>8</v>
      </c>
      <c r="E173" s="75" t="s">
        <v>7</v>
      </c>
      <c r="F173" s="75" t="s">
        <v>6</v>
      </c>
      <c r="G173" s="75" t="s">
        <v>5</v>
      </c>
    </row>
    <row r="174" spans="2:9" outlineLevel="3" x14ac:dyDescent="0.35">
      <c r="B174" s="90" t="s">
        <v>142</v>
      </c>
      <c r="C174" s="89"/>
      <c r="D174" s="88">
        <f>+D177*(1+$C$165)*D176*3</f>
        <v>3390.5367186045069</v>
      </c>
      <c r="E174" s="88">
        <f>+E177*(1+$C$165)*E176*3</f>
        <v>3390.5367186045069</v>
      </c>
      <c r="F174" s="88">
        <f>+F177*(1+$C$165)*F176*3</f>
        <v>3390.5367186045069</v>
      </c>
      <c r="G174" s="88">
        <f>+G177*(1+$C$165)*G176*3</f>
        <v>3390.5367186045069</v>
      </c>
    </row>
    <row r="175" spans="2:9" outlineLevel="3" x14ac:dyDescent="0.35">
      <c r="B175" s="91" t="s">
        <v>138</v>
      </c>
      <c r="C175" s="86"/>
      <c r="D175" s="85">
        <f>2000</f>
        <v>2000</v>
      </c>
      <c r="E175" s="85">
        <f>2000</f>
        <v>2000</v>
      </c>
      <c r="F175" s="85">
        <f>2000</f>
        <v>2000</v>
      </c>
      <c r="G175" s="85">
        <f>2000</f>
        <v>2000</v>
      </c>
    </row>
    <row r="176" spans="2:9" outlineLevel="3" x14ac:dyDescent="0.35">
      <c r="B176" s="91" t="s">
        <v>137</v>
      </c>
      <c r="C176" s="86"/>
      <c r="D176" s="93">
        <v>1</v>
      </c>
      <c r="E176" s="93">
        <f>+D176</f>
        <v>1</v>
      </c>
      <c r="F176" s="93">
        <f>+E176</f>
        <v>1</v>
      </c>
      <c r="G176" s="93">
        <f>+F176</f>
        <v>1</v>
      </c>
    </row>
    <row r="177" spans="2:7" outlineLevel="3" x14ac:dyDescent="0.35">
      <c r="B177" s="91" t="s">
        <v>136</v>
      </c>
      <c r="C177" s="86"/>
      <c r="D177" s="85">
        <f>+D175*'Histó. Vtas'!$B$17</f>
        <v>1114.9047116518716</v>
      </c>
      <c r="E177" s="85">
        <f>+E175*'Histó. Vtas'!$B$17</f>
        <v>1114.9047116518716</v>
      </c>
      <c r="F177" s="85">
        <f>+F175*'Histó. Vtas'!$B$17</f>
        <v>1114.9047116518716</v>
      </c>
      <c r="G177" s="85">
        <f>+G175*'Histó. Vtas'!$B$17</f>
        <v>1114.9047116518716</v>
      </c>
    </row>
    <row r="178" spans="2:7" outlineLevel="3" x14ac:dyDescent="0.35">
      <c r="B178" s="90" t="s">
        <v>141</v>
      </c>
      <c r="C178" s="89"/>
      <c r="D178" s="88">
        <f>+D181*(1+$C$165)*D180*3</f>
        <v>2373.375703023155</v>
      </c>
      <c r="E178" s="88">
        <f>+E181*(1+$C$165)*E180*3</f>
        <v>2373.375703023155</v>
      </c>
      <c r="F178" s="88">
        <f>+F181*(1+$C$165)*F180*3</f>
        <v>2373.375703023155</v>
      </c>
      <c r="G178" s="88">
        <f>+G181*(1+$C$165)*G180*3</f>
        <v>2373.375703023155</v>
      </c>
    </row>
    <row r="179" spans="2:7" outlineLevel="3" x14ac:dyDescent="0.35">
      <c r="B179" s="91" t="s">
        <v>138</v>
      </c>
      <c r="C179" s="86"/>
      <c r="D179" s="85">
        <v>1400</v>
      </c>
      <c r="E179" s="85">
        <v>1400</v>
      </c>
      <c r="F179" s="85">
        <v>1400</v>
      </c>
      <c r="G179" s="85">
        <v>1400</v>
      </c>
    </row>
    <row r="180" spans="2:7" outlineLevel="3" x14ac:dyDescent="0.35">
      <c r="B180" s="91" t="s">
        <v>137</v>
      </c>
      <c r="C180" s="86"/>
      <c r="D180" s="93">
        <v>1</v>
      </c>
      <c r="E180" s="93">
        <f>+D180</f>
        <v>1</v>
      </c>
      <c r="F180" s="93">
        <f>+E180</f>
        <v>1</v>
      </c>
      <c r="G180" s="93">
        <f>+F180</f>
        <v>1</v>
      </c>
    </row>
    <row r="181" spans="2:7" outlineLevel="3" x14ac:dyDescent="0.35">
      <c r="B181" s="91" t="s">
        <v>136</v>
      </c>
      <c r="C181" s="86"/>
      <c r="D181" s="85">
        <f>+D179*'Histó. Vtas'!$B$17</f>
        <v>780.43329815631012</v>
      </c>
      <c r="E181" s="85">
        <f>+E179*'Histó. Vtas'!$B$17</f>
        <v>780.43329815631012</v>
      </c>
      <c r="F181" s="85">
        <f>+F179*'Histó. Vtas'!$B$17</f>
        <v>780.43329815631012</v>
      </c>
      <c r="G181" s="85">
        <f>+G179*'Histó. Vtas'!$B$17</f>
        <v>780.43329815631012</v>
      </c>
    </row>
    <row r="182" spans="2:7" outlineLevel="3" x14ac:dyDescent="0.35">
      <c r="B182" s="90" t="s">
        <v>140</v>
      </c>
      <c r="C182" s="89"/>
      <c r="D182" s="88">
        <f>+D185*(1+$C$165)*D184*3</f>
        <v>3051.4830467440561</v>
      </c>
      <c r="E182" s="88">
        <f>+E185*(1+$C$165)*E184*3</f>
        <v>3051.4830467440561</v>
      </c>
      <c r="F182" s="88">
        <f>+F185*(1+$C$165)*F184*3</f>
        <v>3051.4830467440561</v>
      </c>
      <c r="G182" s="88">
        <f>+G185*(1+$C$165)*G184*3</f>
        <v>3051.4830467440561</v>
      </c>
    </row>
    <row r="183" spans="2:7" outlineLevel="3" x14ac:dyDescent="0.35">
      <c r="B183" s="91" t="s">
        <v>138</v>
      </c>
      <c r="C183" s="86"/>
      <c r="D183" s="85">
        <v>1800</v>
      </c>
      <c r="E183" s="85">
        <v>1800</v>
      </c>
      <c r="F183" s="85">
        <v>1800</v>
      </c>
      <c r="G183" s="85">
        <v>1800</v>
      </c>
    </row>
    <row r="184" spans="2:7" outlineLevel="3" x14ac:dyDescent="0.35">
      <c r="B184" s="91" t="s">
        <v>137</v>
      </c>
      <c r="C184" s="86"/>
      <c r="D184" s="93">
        <v>1</v>
      </c>
      <c r="E184" s="93">
        <v>1</v>
      </c>
      <c r="F184" s="93">
        <v>1</v>
      </c>
      <c r="G184" s="93">
        <v>1</v>
      </c>
    </row>
    <row r="185" spans="2:7" outlineLevel="3" x14ac:dyDescent="0.35">
      <c r="B185" s="91" t="s">
        <v>136</v>
      </c>
      <c r="C185" s="86"/>
      <c r="D185" s="85">
        <f>+D183*'Histó. Vtas'!$B$17</f>
        <v>1003.4142404866844</v>
      </c>
      <c r="E185" s="85">
        <f>+E183*'Histó. Vtas'!$B$17</f>
        <v>1003.4142404866844</v>
      </c>
      <c r="F185" s="85">
        <f>+F183*'Histó. Vtas'!$B$17</f>
        <v>1003.4142404866844</v>
      </c>
      <c r="G185" s="85">
        <f>+G183*'Histó. Vtas'!$B$17</f>
        <v>1003.4142404866844</v>
      </c>
    </row>
    <row r="186" spans="2:7" outlineLevel="3" x14ac:dyDescent="0.35">
      <c r="B186" s="90" t="s">
        <v>139</v>
      </c>
      <c r="C186" s="89"/>
      <c r="D186" s="88">
        <f>+D189*(1+$C$165)*D188*3</f>
        <v>1695.2683593022534</v>
      </c>
      <c r="E186" s="88">
        <f>+E189*(1+$C$165)*E188*3</f>
        <v>2461.5945905683111</v>
      </c>
      <c r="F186" s="88">
        <f>+F189*(1+$C$165)*F188*3</f>
        <v>2498.5185094268354</v>
      </c>
      <c r="G186" s="88">
        <f>+G189*(1+$C$165)*G188*3</f>
        <v>2535.9962870682375</v>
      </c>
    </row>
    <row r="187" spans="2:7" outlineLevel="3" x14ac:dyDescent="0.35">
      <c r="B187" s="91" t="s">
        <v>138</v>
      </c>
      <c r="C187" s="86"/>
      <c r="D187" s="85">
        <v>1000</v>
      </c>
      <c r="E187" s="85">
        <f>+D187*(1+[1]Datos!$C$31)</f>
        <v>1014.9999999999999</v>
      </c>
      <c r="F187" s="85">
        <f>+E187*(1+[1]Datos!$C$31)</f>
        <v>1030.2249999999997</v>
      </c>
      <c r="G187" s="85">
        <f>+F187*(1+[1]Datos!$C$31)</f>
        <v>1045.6783749999995</v>
      </c>
    </row>
    <row r="188" spans="2:7" outlineLevel="3" x14ac:dyDescent="0.35">
      <c r="B188" s="91" t="s">
        <v>137</v>
      </c>
      <c r="C188" s="86"/>
      <c r="D188" s="93">
        <v>1</v>
      </c>
      <c r="E188" s="93">
        <f>+D188</f>
        <v>1</v>
      </c>
      <c r="F188" s="93">
        <f>+E188</f>
        <v>1</v>
      </c>
      <c r="G188" s="93">
        <f>+F188</f>
        <v>1</v>
      </c>
    </row>
    <row r="189" spans="2:7" outlineLevel="3" x14ac:dyDescent="0.35">
      <c r="B189" s="91" t="s">
        <v>136</v>
      </c>
      <c r="C189" s="86"/>
      <c r="D189" s="85">
        <f>+D187*'Histó. Vtas'!$B$17</f>
        <v>557.4523558259358</v>
      </c>
      <c r="E189" s="85">
        <f>+E187*'[1]Histó. Vtas'!$B$65</f>
        <v>809.44217242718457</v>
      </c>
      <c r="F189" s="85">
        <f>+F187*'[1]Histó. Vtas'!$B$65</f>
        <v>821.58380501359215</v>
      </c>
      <c r="G189" s="85">
        <f>+G187*'[1]Histó. Vtas'!$B$65</f>
        <v>833.90756208879588</v>
      </c>
    </row>
    <row r="190" spans="2:7" outlineLevel="3" x14ac:dyDescent="0.35">
      <c r="B190" s="81" t="s">
        <v>135</v>
      </c>
      <c r="C190" s="80"/>
      <c r="D190" s="79">
        <f>+D186+D182+D178+D174</f>
        <v>10510.663827673972</v>
      </c>
      <c r="E190" s="79">
        <f>+E186+E182+E178+E174</f>
        <v>11276.990058940028</v>
      </c>
      <c r="F190" s="79">
        <f>+F186+F182+F178+F174</f>
        <v>11313.913977798555</v>
      </c>
      <c r="G190" s="79">
        <f>+G186+G182+G178+G174</f>
        <v>11351.391755439956</v>
      </c>
    </row>
    <row r="191" spans="2:7" outlineLevel="3" x14ac:dyDescent="0.35">
      <c r="D191" s="92"/>
    </row>
    <row r="192" spans="2:7" outlineLevel="3" x14ac:dyDescent="0.35">
      <c r="B192" s="38" t="s">
        <v>134</v>
      </c>
    </row>
    <row r="193" spans="2:7" outlineLevel="3" x14ac:dyDescent="0.35"/>
    <row r="194" spans="2:7" outlineLevel="3" x14ac:dyDescent="0.35">
      <c r="C194" s="75" t="s">
        <v>121</v>
      </c>
      <c r="D194" s="75" t="s">
        <v>8</v>
      </c>
      <c r="E194" s="75" t="s">
        <v>7</v>
      </c>
      <c r="F194" s="75" t="s">
        <v>6</v>
      </c>
      <c r="G194" s="75" t="s">
        <v>5</v>
      </c>
    </row>
    <row r="195" spans="2:7" outlineLevel="3" x14ac:dyDescent="0.35">
      <c r="B195" s="90" t="s">
        <v>133</v>
      </c>
      <c r="C195" s="89"/>
      <c r="D195" s="88">
        <f>+D197*D198*3</f>
        <v>583.1482612633298</v>
      </c>
      <c r="E195" s="88">
        <f>+E197*E198*3</f>
        <v>601.99437725647567</v>
      </c>
      <c r="F195" s="88">
        <f>+F197*F198*3</f>
        <v>654.51633986032516</v>
      </c>
      <c r="G195" s="88">
        <f>+G197*G198*3</f>
        <v>693.13543001021469</v>
      </c>
    </row>
    <row r="196" spans="2:7" outlineLevel="3" x14ac:dyDescent="0.35">
      <c r="B196" s="91" t="s">
        <v>132</v>
      </c>
      <c r="C196" s="86"/>
      <c r="D196" s="85">
        <f>700*(1+'Sit. SP'!D19)</f>
        <v>633.99712092130517</v>
      </c>
      <c r="E196" s="85">
        <f>+D196*(1+E19)</f>
        <v>654.48656429942412</v>
      </c>
      <c r="F196" s="85">
        <f>+E196*(1+F19)</f>
        <v>711.58829174664095</v>
      </c>
      <c r="G196" s="85">
        <f>+F196*(1+G19)</f>
        <v>753.57485604606518</v>
      </c>
    </row>
    <row r="197" spans="2:7" outlineLevel="3" x14ac:dyDescent="0.35">
      <c r="B197" s="91" t="s">
        <v>131</v>
      </c>
      <c r="C197" s="86"/>
      <c r="D197" s="85">
        <f>+D196*'Histó. Vtas'!$B$17</f>
        <v>353.42318864444223</v>
      </c>
      <c r="E197" s="85">
        <f>+E196*'Histó. Vtas'!$B$17</f>
        <v>364.84507712513675</v>
      </c>
      <c r="F197" s="85">
        <f>+F196*'Histó. Vtas'!$B$17</f>
        <v>396.6765696123183</v>
      </c>
      <c r="G197" s="85">
        <f>+G196*'Histó. Vtas'!$B$17</f>
        <v>420.08207879406945</v>
      </c>
    </row>
    <row r="198" spans="2:7" outlineLevel="3" x14ac:dyDescent="0.35">
      <c r="B198" s="91" t="s">
        <v>35</v>
      </c>
      <c r="C198" s="86"/>
      <c r="D198" s="85">
        <f>+Datos!$C$49</f>
        <v>0.55000000000000004</v>
      </c>
      <c r="E198" s="85">
        <f>+Datos!$C$49</f>
        <v>0.55000000000000004</v>
      </c>
      <c r="F198" s="85">
        <f>+Datos!$C$49</f>
        <v>0.55000000000000004</v>
      </c>
      <c r="G198" s="85">
        <f>+Datos!$C$49</f>
        <v>0.55000000000000004</v>
      </c>
    </row>
    <row r="199" spans="2:7" outlineLevel="3" x14ac:dyDescent="0.35">
      <c r="B199" s="90" t="s">
        <v>130</v>
      </c>
      <c r="C199" s="89"/>
      <c r="D199" s="88">
        <f>+D201*D202*3</f>
        <v>56.981915814873929</v>
      </c>
      <c r="E199" s="88">
        <f>+E201*E202*3</f>
        <v>58.823450577632769</v>
      </c>
      <c r="F199" s="88">
        <f>+F201*F202*3</f>
        <v>63.95559663778036</v>
      </c>
      <c r="G199" s="88">
        <f>+G201*G202*3</f>
        <v>67.729233446712414</v>
      </c>
    </row>
    <row r="200" spans="2:7" outlineLevel="3" x14ac:dyDescent="0.35">
      <c r="B200" s="91" t="s">
        <v>129</v>
      </c>
      <c r="C200" s="86"/>
      <c r="D200" s="85">
        <f>3.8*(1+'Sit. SP'!D19)</f>
        <v>3.4416986564299421</v>
      </c>
      <c r="E200" s="85">
        <f>+D200*(1+E19)</f>
        <v>3.5529270633397312</v>
      </c>
      <c r="F200" s="85">
        <f>+E200*(1+F19)</f>
        <v>3.8629078694817656</v>
      </c>
      <c r="G200" s="85">
        <f>+F200*(1+G19)</f>
        <v>4.0908349328214966</v>
      </c>
    </row>
    <row r="201" spans="2:7" outlineLevel="3" x14ac:dyDescent="0.35">
      <c r="B201" s="91" t="s">
        <v>128</v>
      </c>
      <c r="C201" s="86"/>
      <c r="D201" s="85">
        <f>+D200*'Histó. Vtas'!$B$17</f>
        <v>1.9185830240698292</v>
      </c>
      <c r="E201" s="85">
        <f>+E200*'Histó. Vtas'!$B$17</f>
        <v>1.980587561536457</v>
      </c>
      <c r="F201" s="85">
        <f>+F200*'Histó. Vtas'!$B$17</f>
        <v>2.1533870921811569</v>
      </c>
      <c r="G201" s="85">
        <f>+G200*'Histó. Vtas'!$B$17</f>
        <v>2.2804455705963771</v>
      </c>
    </row>
    <row r="202" spans="2:7" outlineLevel="3" x14ac:dyDescent="0.35">
      <c r="B202" s="91" t="s">
        <v>33</v>
      </c>
      <c r="C202" s="86"/>
      <c r="D202" s="85">
        <f>+Datos!$C$50</f>
        <v>9.9</v>
      </c>
      <c r="E202" s="85">
        <f>+Datos!$C$50</f>
        <v>9.9</v>
      </c>
      <c r="F202" s="85">
        <f>+Datos!$C$50</f>
        <v>9.9</v>
      </c>
      <c r="G202" s="85">
        <f>+Datos!$C$50</f>
        <v>9.9</v>
      </c>
    </row>
    <row r="203" spans="2:7" outlineLevel="3" x14ac:dyDescent="0.35">
      <c r="B203" s="90" t="s">
        <v>309</v>
      </c>
      <c r="C203" s="89"/>
      <c r="D203" s="88">
        <f>+D204*D205*'Histó. Vtas'!$B$17*3</f>
        <v>3679.1855484511761</v>
      </c>
      <c r="E203" s="88">
        <f>+E204*E205*'Histó. Vtas'!$B$17*3</f>
        <v>3679.1855484511761</v>
      </c>
      <c r="F203" s="88">
        <f>+F204*F205*'Histó. Vtas'!$B$17*3</f>
        <v>3679.1855484511761</v>
      </c>
      <c r="G203" s="88">
        <f>+G204*G205*'Histó. Vtas'!$B$17*3</f>
        <v>3679.1855484511761</v>
      </c>
    </row>
    <row r="204" spans="2:7" outlineLevel="3" x14ac:dyDescent="0.35">
      <c r="B204" s="91" t="s">
        <v>310</v>
      </c>
      <c r="C204" s="86"/>
      <c r="D204" s="85">
        <f>+ROUNDUP(Planes!$C$188/Planes!$C$190,0)</f>
        <v>2</v>
      </c>
      <c r="E204" s="85">
        <f>+ROUNDUP(Planes!$C$188/Planes!$C$190,0)</f>
        <v>2</v>
      </c>
      <c r="F204" s="85">
        <f>+ROUNDUP(Planes!$C$188/Planes!$C$190,0)</f>
        <v>2</v>
      </c>
      <c r="G204" s="85">
        <f>+ROUNDUP(Planes!$C$188/Planes!$C$190,0)</f>
        <v>2</v>
      </c>
    </row>
    <row r="205" spans="2:7" outlineLevel="3" x14ac:dyDescent="0.35">
      <c r="B205" s="91" t="s">
        <v>311</v>
      </c>
      <c r="C205" s="86"/>
      <c r="D205" s="85">
        <f>+Planes!$C$189</f>
        <v>1100</v>
      </c>
      <c r="E205" s="85">
        <f>+Planes!$C$189</f>
        <v>1100</v>
      </c>
      <c r="F205" s="85">
        <f>+Planes!$C$189</f>
        <v>1100</v>
      </c>
      <c r="G205" s="85">
        <f>+Planes!$C$189</f>
        <v>1100</v>
      </c>
    </row>
    <row r="206" spans="2:7" outlineLevel="3" x14ac:dyDescent="0.35">
      <c r="B206" s="81" t="s">
        <v>127</v>
      </c>
      <c r="C206" s="80"/>
      <c r="D206" s="79">
        <f>+D199+D195+D203</f>
        <v>4319.31572552938</v>
      </c>
      <c r="E206" s="79">
        <f t="shared" ref="E206:G206" si="6">+E199+E195+E203</f>
        <v>4340.0033762852845</v>
      </c>
      <c r="F206" s="79">
        <f t="shared" si="6"/>
        <v>4397.6574849492818</v>
      </c>
      <c r="G206" s="79">
        <f t="shared" si="6"/>
        <v>4440.0502119081029</v>
      </c>
    </row>
    <row r="207" spans="2:7" outlineLevel="3" x14ac:dyDescent="0.35"/>
    <row r="208" spans="2:7" outlineLevel="3" x14ac:dyDescent="0.35">
      <c r="B208" s="38" t="s">
        <v>126</v>
      </c>
    </row>
    <row r="209" spans="1:7" outlineLevel="3" x14ac:dyDescent="0.35"/>
    <row r="210" spans="1:7" outlineLevel="3" x14ac:dyDescent="0.35">
      <c r="C210" s="75" t="s">
        <v>121</v>
      </c>
      <c r="D210" s="75" t="s">
        <v>8</v>
      </c>
      <c r="E210" s="75" t="s">
        <v>7</v>
      </c>
      <c r="F210" s="75" t="s">
        <v>6</v>
      </c>
      <c r="G210" s="75" t="s">
        <v>5</v>
      </c>
    </row>
    <row r="211" spans="1:7" outlineLevel="3" x14ac:dyDescent="0.35">
      <c r="A211" s="99"/>
      <c r="B211" s="90" t="s">
        <v>246</v>
      </c>
      <c r="C211" s="89"/>
      <c r="D211" s="88">
        <f>+Planes!$C$98*3</f>
        <v>720</v>
      </c>
      <c r="E211" s="88">
        <f>+Planes!$C$98*3</f>
        <v>720</v>
      </c>
      <c r="F211" s="88">
        <f>+Planes!$C$98*3</f>
        <v>720</v>
      </c>
      <c r="G211" s="88">
        <f>+Planes!$C$98*3</f>
        <v>720</v>
      </c>
    </row>
    <row r="212" spans="1:7" outlineLevel="3" x14ac:dyDescent="0.35">
      <c r="A212" s="99"/>
    </row>
    <row r="213" spans="1:7" outlineLevel="3" x14ac:dyDescent="0.35">
      <c r="A213" s="99"/>
      <c r="B213" s="38" t="s">
        <v>125</v>
      </c>
    </row>
    <row r="214" spans="1:7" outlineLevel="3" x14ac:dyDescent="0.35">
      <c r="A214" s="99"/>
    </row>
    <row r="215" spans="1:7" outlineLevel="3" x14ac:dyDescent="0.35">
      <c r="A215" s="99"/>
      <c r="C215" s="75" t="s">
        <v>121</v>
      </c>
      <c r="D215" s="75" t="s">
        <v>8</v>
      </c>
      <c r="E215" s="75" t="s">
        <v>7</v>
      </c>
      <c r="F215" s="75" t="s">
        <v>6</v>
      </c>
      <c r="G215" s="75" t="s">
        <v>5</v>
      </c>
    </row>
    <row r="216" spans="1:7" outlineLevel="3" x14ac:dyDescent="0.35">
      <c r="A216" s="99"/>
      <c r="B216" s="90" t="s">
        <v>124</v>
      </c>
      <c r="C216" s="89"/>
      <c r="D216" s="88">
        <f>+SUM(D217:D219)</f>
        <v>3613.24</v>
      </c>
      <c r="E216" s="88">
        <f t="shared" ref="E216:G216" si="7">+SUM(E217:E219)</f>
        <v>3648.5711999999999</v>
      </c>
      <c r="F216" s="88">
        <f t="shared" si="7"/>
        <v>3747.0352000000003</v>
      </c>
      <c r="G216" s="88">
        <f t="shared" si="7"/>
        <v>3819.4351999999999</v>
      </c>
    </row>
    <row r="217" spans="1:7" outlineLevel="3" x14ac:dyDescent="0.35">
      <c r="A217" s="99"/>
      <c r="B217" s="87" t="s">
        <v>247</v>
      </c>
      <c r="C217" s="86"/>
      <c r="D217" s="85">
        <f>+Planes!$C$97*3</f>
        <v>1860</v>
      </c>
      <c r="E217" s="85">
        <f>+Planes!$C$97*3</f>
        <v>1860</v>
      </c>
      <c r="F217" s="85">
        <f>+Planes!$C$97*3</f>
        <v>1860</v>
      </c>
      <c r="G217" s="85">
        <f>+Planes!$C$97*3</f>
        <v>1860</v>
      </c>
    </row>
    <row r="218" spans="1:7" outlineLevel="3" x14ac:dyDescent="0.35">
      <c r="A218" s="99"/>
      <c r="B218" s="87" t="s">
        <v>248</v>
      </c>
      <c r="C218" s="86"/>
      <c r="D218" s="86">
        <f>+(D21*Planes!$C$77*Planes!$C$78)+(D21*Planes!$C$79*Planes!$C$80)+(D21*Planes!$C$81*Planes!$C$82)</f>
        <v>1093.24</v>
      </c>
      <c r="E218" s="86">
        <f>+(E21*Planes!$C$77*Planes!$C$78)+(E21*Planes!$C$79*Planes!$C$80)+(E21*Planes!$C$81*Planes!$C$82)</f>
        <v>1128.5711999999999</v>
      </c>
      <c r="F218" s="86">
        <f>+(F21*Planes!$C$77*Planes!$C$78)+(F21*Planes!$C$79*Planes!$C$80)+(F21*Planes!$C$81*Planes!$C$82)</f>
        <v>1227.0352</v>
      </c>
      <c r="G218" s="86">
        <f>+(G21*Planes!$C$77*Planes!$C$78)+(G21*Planes!$C$79*Planes!$C$80)+(G21*Planes!$C$81*Planes!$C$82)</f>
        <v>1299.4351999999999</v>
      </c>
    </row>
    <row r="219" spans="1:7" ht="28.8" outlineLevel="3" x14ac:dyDescent="0.35">
      <c r="A219" s="99"/>
      <c r="B219" s="118" t="s">
        <v>279</v>
      </c>
      <c r="C219" s="119"/>
      <c r="D219" s="119">
        <f>+Planes!$C$192*3</f>
        <v>660</v>
      </c>
      <c r="E219" s="119">
        <f>+Planes!$C$192*3</f>
        <v>660</v>
      </c>
      <c r="F219" s="119">
        <f>+Planes!$C$192*3</f>
        <v>660</v>
      </c>
      <c r="G219" s="119">
        <f>+Planes!$C$192*3</f>
        <v>660</v>
      </c>
    </row>
    <row r="220" spans="1:7" outlineLevel="3" x14ac:dyDescent="0.35">
      <c r="A220" s="99"/>
    </row>
    <row r="221" spans="1:7" outlineLevel="3" x14ac:dyDescent="0.35">
      <c r="A221" s="99"/>
      <c r="B221" s="38" t="s">
        <v>466</v>
      </c>
    </row>
    <row r="222" spans="1:7" outlineLevel="3" x14ac:dyDescent="0.35">
      <c r="A222" s="99"/>
    </row>
    <row r="223" spans="1:7" outlineLevel="3" x14ac:dyDescent="0.35">
      <c r="C223" s="75" t="s">
        <v>121</v>
      </c>
      <c r="D223" s="75" t="s">
        <v>8</v>
      </c>
      <c r="E223" s="75" t="s">
        <v>7</v>
      </c>
      <c r="F223" s="75" t="s">
        <v>6</v>
      </c>
      <c r="G223" s="75" t="s">
        <v>5</v>
      </c>
    </row>
    <row r="224" spans="1:7" outlineLevel="3" x14ac:dyDescent="0.35">
      <c r="B224" s="81" t="s">
        <v>123</v>
      </c>
      <c r="C224" s="80"/>
      <c r="D224" s="79">
        <f>+D216+D211+D206+D190+D160</f>
        <v>20098.219553203351</v>
      </c>
      <c r="E224" s="79">
        <f>+E216+E211+E206+E190+E160</f>
        <v>20920.564635225313</v>
      </c>
      <c r="F224" s="79">
        <f>+F216+F211+F206+F190+F160</f>
        <v>21113.606662747836</v>
      </c>
      <c r="G224" s="79">
        <f>+G216+G211+G206+G190+G160</f>
        <v>21265.877167348059</v>
      </c>
    </row>
    <row r="225" spans="2:7" outlineLevel="3" x14ac:dyDescent="0.35">
      <c r="B225" s="78" t="s">
        <v>122</v>
      </c>
      <c r="C225" s="77"/>
      <c r="D225" s="76">
        <f>+D224/D21</f>
        <v>5.3240316697227419</v>
      </c>
      <c r="E225" s="76">
        <f>+E224/E21</f>
        <v>5.3683768630293338</v>
      </c>
      <c r="F225" s="76">
        <f>+F224/F21</f>
        <v>4.983150026610299</v>
      </c>
      <c r="G225" s="76">
        <f>+G224/G21</f>
        <v>4.7394422035542814</v>
      </c>
    </row>
    <row r="226" spans="2:7" outlineLevel="3" x14ac:dyDescent="0.35"/>
    <row r="227" spans="2:7" outlineLevel="3" x14ac:dyDescent="0.35"/>
    <row r="228" spans="2:7" outlineLevel="3" x14ac:dyDescent="0.35">
      <c r="B228" s="254" t="s">
        <v>217</v>
      </c>
      <c r="C228" s="254"/>
      <c r="D228" s="254"/>
      <c r="E228" s="254"/>
      <c r="F228" s="254"/>
      <c r="G228" s="254"/>
    </row>
    <row r="229" spans="2:7" outlineLevel="3" x14ac:dyDescent="0.35"/>
    <row r="230" spans="2:7" outlineLevel="3" x14ac:dyDescent="0.35"/>
    <row r="231" spans="2:7" outlineLevel="2" x14ac:dyDescent="0.35">
      <c r="C231" s="75" t="s">
        <v>121</v>
      </c>
      <c r="D231" s="75" t="s">
        <v>8</v>
      </c>
      <c r="E231" s="75" t="s">
        <v>7</v>
      </c>
      <c r="F231" s="75" t="s">
        <v>6</v>
      </c>
      <c r="G231" s="75" t="s">
        <v>5</v>
      </c>
    </row>
    <row r="232" spans="2:7" outlineLevel="2" x14ac:dyDescent="0.35">
      <c r="B232" s="81" t="s">
        <v>120</v>
      </c>
      <c r="C232" s="80"/>
      <c r="D232" s="79">
        <f>+D224+D122+D73</f>
        <v>219224.9591401323</v>
      </c>
      <c r="E232" s="79">
        <f>+E224+E122+E73</f>
        <v>226482.65845516225</v>
      </c>
      <c r="F232" s="79">
        <f>+F224+F122+F73</f>
        <v>244610.29424680554</v>
      </c>
      <c r="G232" s="79">
        <f>+G224+G122+G73</f>
        <v>257949.7660485534</v>
      </c>
    </row>
    <row r="233" spans="2:7" outlineLevel="2" x14ac:dyDescent="0.35">
      <c r="B233" s="78" t="s">
        <v>119</v>
      </c>
      <c r="C233" s="77"/>
      <c r="D233" s="76">
        <f>+D232/D21</f>
        <v>58.072836858313188</v>
      </c>
      <c r="E233" s="76">
        <f>+E232/E21</f>
        <v>58.117182051619771</v>
      </c>
      <c r="F233" s="76">
        <f>+F232/F21</f>
        <v>57.731955215200742</v>
      </c>
      <c r="G233" s="76">
        <f>+G232/G21</f>
        <v>57.488247392144729</v>
      </c>
    </row>
    <row r="234" spans="2:7" outlineLevel="2" x14ac:dyDescent="0.35"/>
    <row r="235" spans="2:7" outlineLevel="1" x14ac:dyDescent="0.35"/>
    <row r="236" spans="2:7" outlineLevel="1" x14ac:dyDescent="0.35">
      <c r="B236" s="253" t="s">
        <v>118</v>
      </c>
      <c r="C236" s="253"/>
      <c r="D236" s="253"/>
      <c r="E236" s="253"/>
      <c r="F236" s="253"/>
      <c r="G236" s="253"/>
    </row>
    <row r="237" spans="2:7" outlineLevel="2" x14ac:dyDescent="0.35"/>
    <row r="238" spans="2:7" outlineLevel="2" x14ac:dyDescent="0.35">
      <c r="B238" s="254" t="s">
        <v>117</v>
      </c>
      <c r="C238" s="254"/>
      <c r="D238" s="254"/>
      <c r="E238" s="254"/>
      <c r="F238" s="254"/>
      <c r="G238" s="254"/>
    </row>
    <row r="239" spans="2:7" outlineLevel="3" x14ac:dyDescent="0.35"/>
    <row r="240" spans="2:7" outlineLevel="3" x14ac:dyDescent="0.35">
      <c r="C240" s="75" t="s">
        <v>121</v>
      </c>
      <c r="D240" s="75" t="s">
        <v>8</v>
      </c>
      <c r="E240" s="75" t="s">
        <v>7</v>
      </c>
      <c r="F240" s="75" t="s">
        <v>6</v>
      </c>
      <c r="G240" s="75" t="s">
        <v>5</v>
      </c>
    </row>
    <row r="241" spans="2:7" outlineLevel="3" x14ac:dyDescent="0.35">
      <c r="B241" s="81" t="s">
        <v>221</v>
      </c>
      <c r="C241" s="80"/>
      <c r="D241" s="79">
        <f>+D17*Datos!$C$54</f>
        <v>65407.16</v>
      </c>
      <c r="E241" s="79">
        <f>+E17*Datos!$C$54</f>
        <v>67520.980800000005</v>
      </c>
      <c r="F241" s="79">
        <f>+F17*Datos!$C$54</f>
        <v>73411.9568</v>
      </c>
      <c r="G241" s="79">
        <f>+G17*Datos!$C$54</f>
        <v>77743.556800000006</v>
      </c>
    </row>
    <row r="242" spans="2:7" outlineLevel="3" x14ac:dyDescent="0.35">
      <c r="B242" s="78" t="s">
        <v>222</v>
      </c>
      <c r="C242" s="77"/>
      <c r="D242" s="76">
        <f>+D241/D18</f>
        <v>17.3264</v>
      </c>
      <c r="E242" s="76">
        <f>+E241/E18</f>
        <v>17.3264</v>
      </c>
      <c r="F242" s="76">
        <f>+F241/F18</f>
        <v>17.3264</v>
      </c>
      <c r="G242" s="76">
        <f>+G241/G18</f>
        <v>17.3264</v>
      </c>
    </row>
    <row r="243" spans="2:7" outlineLevel="3" x14ac:dyDescent="0.35"/>
    <row r="244" spans="2:7" outlineLevel="2" x14ac:dyDescent="0.35"/>
    <row r="245" spans="2:7" outlineLevel="2" x14ac:dyDescent="0.35">
      <c r="B245" s="254" t="s">
        <v>116</v>
      </c>
      <c r="C245" s="254"/>
      <c r="D245" s="254"/>
      <c r="E245" s="254"/>
      <c r="F245" s="254"/>
      <c r="G245" s="254"/>
    </row>
    <row r="246" spans="2:7" outlineLevel="3" x14ac:dyDescent="0.35"/>
    <row r="247" spans="2:7" outlineLevel="3" x14ac:dyDescent="0.35">
      <c r="C247" s="75" t="s">
        <v>121</v>
      </c>
      <c r="D247" s="75" t="s">
        <v>8</v>
      </c>
      <c r="E247" s="75" t="s">
        <v>7</v>
      </c>
      <c r="F247" s="75" t="s">
        <v>6</v>
      </c>
      <c r="G247" s="75" t="s">
        <v>5</v>
      </c>
    </row>
    <row r="248" spans="2:7" outlineLevel="3" x14ac:dyDescent="0.35">
      <c r="B248" s="81" t="s">
        <v>224</v>
      </c>
      <c r="C248" s="80"/>
      <c r="D248" s="79">
        <f>+D17*Datos!$C$55</f>
        <v>19237.400000000001</v>
      </c>
      <c r="E248" s="79">
        <f>+E17*Datos!$C$55</f>
        <v>19859.112000000001</v>
      </c>
      <c r="F248" s="79">
        <f>+F17*Datos!$C$55</f>
        <v>21591.752</v>
      </c>
      <c r="G248" s="79">
        <f>+G17*Datos!$C$55</f>
        <v>22865.752</v>
      </c>
    </row>
    <row r="249" spans="2:7" outlineLevel="3" x14ac:dyDescent="0.35">
      <c r="B249" s="78" t="s">
        <v>223</v>
      </c>
      <c r="C249" s="77"/>
      <c r="D249" s="76">
        <f>+D248/D18</f>
        <v>5.0960000000000001</v>
      </c>
      <c r="E249" s="76">
        <f>+E248/E18</f>
        <v>5.0960000000000001</v>
      </c>
      <c r="F249" s="76">
        <f>+F248/F18</f>
        <v>5.0960000000000001</v>
      </c>
      <c r="G249" s="76">
        <f>+G248/G18</f>
        <v>5.0960000000000001</v>
      </c>
    </row>
    <row r="250" spans="2:7" outlineLevel="3" x14ac:dyDescent="0.35"/>
    <row r="251" spans="2:7" outlineLevel="3" x14ac:dyDescent="0.35"/>
    <row r="252" spans="2:7" outlineLevel="3" x14ac:dyDescent="0.35">
      <c r="B252" s="254" t="s">
        <v>118</v>
      </c>
      <c r="C252" s="254"/>
      <c r="D252" s="254"/>
      <c r="E252" s="254"/>
      <c r="F252" s="254"/>
      <c r="G252" s="254"/>
    </row>
    <row r="253" spans="2:7" outlineLevel="2" x14ac:dyDescent="0.35"/>
    <row r="254" spans="2:7" outlineLevel="2" x14ac:dyDescent="0.35">
      <c r="C254" s="75" t="s">
        <v>121</v>
      </c>
      <c r="D254" s="75" t="s">
        <v>8</v>
      </c>
      <c r="E254" s="75" t="s">
        <v>7</v>
      </c>
      <c r="F254" s="75" t="s">
        <v>6</v>
      </c>
      <c r="G254" s="75" t="s">
        <v>5</v>
      </c>
    </row>
    <row r="255" spans="2:7" outlineLevel="2" x14ac:dyDescent="0.35">
      <c r="B255" s="81" t="s">
        <v>225</v>
      </c>
      <c r="C255" s="80"/>
      <c r="D255" s="79">
        <f>+D241+D248</f>
        <v>84644.56</v>
      </c>
      <c r="E255" s="79">
        <f>+E241+E248</f>
        <v>87380.092800000013</v>
      </c>
      <c r="F255" s="79">
        <f>+F241+F248</f>
        <v>95003.708799999993</v>
      </c>
      <c r="G255" s="79">
        <f>+G241+G248</f>
        <v>100609.3088</v>
      </c>
    </row>
    <row r="256" spans="2:7" outlineLevel="2" x14ac:dyDescent="0.35">
      <c r="B256" s="78" t="s">
        <v>226</v>
      </c>
      <c r="C256" s="77"/>
      <c r="D256" s="76">
        <f>+D255/D18</f>
        <v>22.4224</v>
      </c>
      <c r="E256" s="76">
        <f>+E255/E18</f>
        <v>22.422400000000003</v>
      </c>
      <c r="F256" s="76">
        <f>+F255/F18</f>
        <v>22.4224</v>
      </c>
      <c r="G256" s="76">
        <f>+G255/G18</f>
        <v>22.4224</v>
      </c>
    </row>
    <row r="257" spans="2:7" outlineLevel="2" x14ac:dyDescent="0.35">
      <c r="B257" s="84"/>
      <c r="C257" s="83"/>
      <c r="D257" s="82"/>
      <c r="E257" s="82"/>
      <c r="F257" s="82"/>
      <c r="G257" s="82"/>
    </row>
    <row r="258" spans="2:7" outlineLevel="2" x14ac:dyDescent="0.35">
      <c r="B258" s="84"/>
      <c r="C258" s="83"/>
      <c r="D258" s="82"/>
      <c r="E258" s="82"/>
      <c r="F258" s="82"/>
      <c r="G258" s="82"/>
    </row>
    <row r="259" spans="2:7" outlineLevel="2" x14ac:dyDescent="0.35">
      <c r="B259" s="254" t="s">
        <v>250</v>
      </c>
      <c r="C259" s="254"/>
      <c r="D259" s="254"/>
      <c r="E259" s="254"/>
      <c r="F259" s="254"/>
      <c r="G259" s="254"/>
    </row>
    <row r="260" spans="2:7" outlineLevel="1" x14ac:dyDescent="0.35"/>
    <row r="261" spans="2:7" outlineLevel="1" x14ac:dyDescent="0.35">
      <c r="C261" s="75" t="s">
        <v>121</v>
      </c>
      <c r="D261" s="75" t="s">
        <v>8</v>
      </c>
      <c r="E261" s="75" t="s">
        <v>7</v>
      </c>
      <c r="F261" s="75" t="s">
        <v>6</v>
      </c>
      <c r="G261" s="75" t="s">
        <v>5</v>
      </c>
    </row>
    <row r="262" spans="2:7" outlineLevel="1" x14ac:dyDescent="0.35">
      <c r="B262" s="81" t="s">
        <v>227</v>
      </c>
      <c r="C262" s="80"/>
      <c r="D262" s="79">
        <f>+D232+D255</f>
        <v>303869.5191401323</v>
      </c>
      <c r="E262" s="79">
        <f>+E232+E255</f>
        <v>313862.75125516229</v>
      </c>
      <c r="F262" s="79">
        <f>+F232+F255</f>
        <v>339614.0030468055</v>
      </c>
      <c r="G262" s="79">
        <f>+G232+G255</f>
        <v>358559.0748485534</v>
      </c>
    </row>
    <row r="263" spans="2:7" outlineLevel="1" x14ac:dyDescent="0.35">
      <c r="B263" s="78" t="s">
        <v>228</v>
      </c>
      <c r="C263" s="77"/>
      <c r="D263" s="76">
        <f>+D262/D18</f>
        <v>80.495236858313191</v>
      </c>
      <c r="E263" s="76">
        <f>+E262/E18</f>
        <v>80.539582051619789</v>
      </c>
      <c r="F263" s="76">
        <f>+F262/F18</f>
        <v>80.154355215200738</v>
      </c>
      <c r="G263" s="76">
        <f>+G262/G18</f>
        <v>79.910647392144725</v>
      </c>
    </row>
    <row r="264" spans="2:7" outlineLevel="1" x14ac:dyDescent="0.35"/>
    <row r="265" spans="2:7" outlineLevel="1" x14ac:dyDescent="0.35"/>
    <row r="266" spans="2:7" outlineLevel="1" x14ac:dyDescent="0.35">
      <c r="B266" s="254" t="s">
        <v>251</v>
      </c>
      <c r="C266" s="254"/>
      <c r="D266" s="254"/>
      <c r="E266" s="254"/>
      <c r="F266" s="254"/>
      <c r="G266" s="254"/>
    </row>
    <row r="268" spans="2:7" ht="15" thickBot="1" x14ac:dyDescent="0.4">
      <c r="C268" s="75" t="s">
        <v>121</v>
      </c>
      <c r="D268" s="75" t="s">
        <v>8</v>
      </c>
      <c r="E268" s="75" t="s">
        <v>7</v>
      </c>
      <c r="F268" s="75" t="s">
        <v>6</v>
      </c>
      <c r="G268" s="75" t="s">
        <v>5</v>
      </c>
    </row>
    <row r="269" spans="2:7" ht="15" thickBot="1" x14ac:dyDescent="0.4">
      <c r="B269" s="74" t="s">
        <v>115</v>
      </c>
      <c r="C269" s="73"/>
      <c r="D269" s="73">
        <f>(D20-D263)/D20</f>
        <v>0.21021156928656604</v>
      </c>
      <c r="E269" s="73">
        <f>(E20-E263)/E20</f>
        <v>0.2097764712360696</v>
      </c>
      <c r="F269" s="73">
        <f>(F20-F263)/F20</f>
        <v>0.21355616939559716</v>
      </c>
      <c r="G269" s="73">
        <f>(G20-G263)/G20</f>
        <v>0.21594733720423151</v>
      </c>
    </row>
  </sheetData>
  <mergeCells count="18">
    <mergeCell ref="I165:I169"/>
    <mergeCell ref="H164:I164"/>
    <mergeCell ref="B252:G252"/>
    <mergeCell ref="B259:G259"/>
    <mergeCell ref="B266:G266"/>
    <mergeCell ref="B2:G2"/>
    <mergeCell ref="B236:G236"/>
    <mergeCell ref="B238:G238"/>
    <mergeCell ref="B245:G245"/>
    <mergeCell ref="B125:G125"/>
    <mergeCell ref="C165:C169"/>
    <mergeCell ref="B164:C164"/>
    <mergeCell ref="B228:G228"/>
    <mergeCell ref="B13:G13"/>
    <mergeCell ref="B26:G26"/>
    <mergeCell ref="B28:G28"/>
    <mergeCell ref="B30:G30"/>
    <mergeCell ref="B76:G76"/>
  </mergeCells>
  <pageMargins left="0.7" right="0.7" top="0.75" bottom="0.75" header="0.3" footer="0.3"/>
  <pageSetup paperSize="9" orientation="portrait" r:id="rId1"/>
  <ignoredErrors>
    <ignoredError sqref="D19" formulaRange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5BB2-34B5-470D-A2F8-6B9B67A02C54}">
  <dimension ref="B2:E198"/>
  <sheetViews>
    <sheetView showGridLines="0" topLeftCell="A162" zoomScale="115" zoomScaleNormal="115" workbookViewId="0">
      <selection activeCell="C169" sqref="C169"/>
    </sheetView>
  </sheetViews>
  <sheetFormatPr baseColWidth="10" defaultRowHeight="14.4" x14ac:dyDescent="0.3"/>
  <cols>
    <col min="2" max="2" width="55.21875" customWidth="1"/>
    <col min="3" max="4" width="15.77734375" customWidth="1"/>
  </cols>
  <sheetData>
    <row r="2" spans="2:4" ht="15" x14ac:dyDescent="0.35">
      <c r="B2" s="262" t="s">
        <v>114</v>
      </c>
      <c r="C2" s="263"/>
      <c r="D2" s="263"/>
    </row>
    <row r="3" spans="2:4" ht="15" x14ac:dyDescent="0.35">
      <c r="B3" s="64"/>
      <c r="C3" s="64"/>
      <c r="D3" s="64"/>
    </row>
    <row r="4" spans="2:4" ht="14.4" customHeight="1" x14ac:dyDescent="0.3">
      <c r="B4" s="264" t="s">
        <v>113</v>
      </c>
      <c r="C4" s="265"/>
      <c r="D4" s="265"/>
    </row>
    <row r="5" spans="2:4" x14ac:dyDescent="0.3">
      <c r="B5" s="264"/>
      <c r="C5" s="265"/>
      <c r="D5" s="265"/>
    </row>
    <row r="6" spans="2:4" ht="15" x14ac:dyDescent="0.35">
      <c r="B6" s="64"/>
      <c r="C6" s="64"/>
      <c r="D6" s="64"/>
    </row>
    <row r="7" spans="2:4" ht="15" x14ac:dyDescent="0.35">
      <c r="B7" s="65" t="s">
        <v>93</v>
      </c>
      <c r="C7" s="64"/>
      <c r="D7" s="64"/>
    </row>
    <row r="8" spans="2:4" ht="15" x14ac:dyDescent="0.35">
      <c r="B8" s="64"/>
      <c r="C8" s="63" t="s">
        <v>92</v>
      </c>
      <c r="D8" s="63" t="s">
        <v>91</v>
      </c>
    </row>
    <row r="9" spans="2:4" ht="15" x14ac:dyDescent="0.35">
      <c r="B9" s="60" t="s">
        <v>237</v>
      </c>
      <c r="C9" s="67">
        <v>0.1</v>
      </c>
      <c r="D9" s="67">
        <f>+Flujos!D47</f>
        <v>5.3999999999999999E-2</v>
      </c>
    </row>
    <row r="10" spans="2:4" ht="28.8" x14ac:dyDescent="0.35">
      <c r="B10" s="114" t="s">
        <v>277</v>
      </c>
      <c r="C10" s="67"/>
      <c r="D10" s="115">
        <v>260</v>
      </c>
    </row>
    <row r="11" spans="2:4" ht="15" x14ac:dyDescent="0.35">
      <c r="B11" s="60" t="s">
        <v>229</v>
      </c>
      <c r="C11" s="58"/>
      <c r="D11" s="112">
        <f>D12*D13*D14</f>
        <v>756</v>
      </c>
    </row>
    <row r="12" spans="2:4" ht="15" x14ac:dyDescent="0.35">
      <c r="B12" s="60" t="s">
        <v>89</v>
      </c>
      <c r="C12" s="61"/>
      <c r="D12" s="61">
        <v>21</v>
      </c>
    </row>
    <row r="13" spans="2:4" ht="15" x14ac:dyDescent="0.35">
      <c r="B13" s="60" t="s">
        <v>88</v>
      </c>
      <c r="C13" s="58"/>
      <c r="D13" s="58">
        <v>3</v>
      </c>
    </row>
    <row r="14" spans="2:4" ht="15" x14ac:dyDescent="0.35">
      <c r="B14" s="60" t="s">
        <v>238</v>
      </c>
      <c r="C14" s="58"/>
      <c r="D14" s="112">
        <v>12</v>
      </c>
    </row>
    <row r="15" spans="2:4" ht="15" x14ac:dyDescent="0.35">
      <c r="B15" s="116" t="s">
        <v>236</v>
      </c>
      <c r="C15" s="67"/>
      <c r="D15" s="113">
        <f>+SUM(D10:D11)</f>
        <v>1016</v>
      </c>
    </row>
    <row r="18" spans="2:5" ht="15" x14ac:dyDescent="0.35">
      <c r="B18" s="262" t="s">
        <v>112</v>
      </c>
      <c r="C18" s="263"/>
      <c r="D18" s="263"/>
    </row>
    <row r="19" spans="2:5" ht="15" x14ac:dyDescent="0.35">
      <c r="B19" s="64"/>
      <c r="C19" s="64"/>
      <c r="D19" s="64"/>
    </row>
    <row r="20" spans="2:5" x14ac:dyDescent="0.3">
      <c r="B20" s="264" t="s">
        <v>111</v>
      </c>
      <c r="C20" s="265"/>
      <c r="D20" s="265"/>
    </row>
    <row r="21" spans="2:5" x14ac:dyDescent="0.3">
      <c r="B21" s="264"/>
      <c r="C21" s="265"/>
      <c r="D21" s="265"/>
    </row>
    <row r="22" spans="2:5" ht="15" x14ac:dyDescent="0.35">
      <c r="B22" s="64"/>
      <c r="C22" s="64"/>
      <c r="D22" s="64"/>
    </row>
    <row r="23" spans="2:5" ht="15" x14ac:dyDescent="0.35">
      <c r="B23" s="65" t="s">
        <v>93</v>
      </c>
      <c r="C23" s="64"/>
      <c r="D23" s="64"/>
    </row>
    <row r="24" spans="2:5" ht="15" x14ac:dyDescent="0.35">
      <c r="B24" s="64"/>
      <c r="C24" s="63" t="s">
        <v>92</v>
      </c>
      <c r="D24" s="63" t="s">
        <v>91</v>
      </c>
    </row>
    <row r="25" spans="2:5" ht="15" x14ac:dyDescent="0.35">
      <c r="B25" s="60" t="s">
        <v>237</v>
      </c>
      <c r="C25" s="67">
        <v>0.09</v>
      </c>
      <c r="D25" s="66">
        <f>+Flujos!D48</f>
        <v>6.2E-2</v>
      </c>
    </row>
    <row r="26" spans="2:5" ht="15" x14ac:dyDescent="0.35">
      <c r="B26" s="114" t="s">
        <v>281</v>
      </c>
      <c r="C26" s="67"/>
      <c r="D26" s="115">
        <v>530</v>
      </c>
    </row>
    <row r="27" spans="2:5" ht="15" x14ac:dyDescent="0.35">
      <c r="B27" s="114" t="s">
        <v>280</v>
      </c>
      <c r="C27" s="67"/>
      <c r="D27" s="115">
        <v>750</v>
      </c>
      <c r="E27" s="239"/>
    </row>
    <row r="28" spans="2:5" ht="15" x14ac:dyDescent="0.35">
      <c r="B28" s="60" t="s">
        <v>229</v>
      </c>
      <c r="C28" s="58"/>
      <c r="D28" s="112">
        <f>D29*D30*D31</f>
        <v>840</v>
      </c>
    </row>
    <row r="29" spans="2:5" ht="15" x14ac:dyDescent="0.35">
      <c r="B29" s="60" t="s">
        <v>89</v>
      </c>
      <c r="C29" s="61"/>
      <c r="D29" s="61">
        <v>14</v>
      </c>
    </row>
    <row r="30" spans="2:5" ht="15" x14ac:dyDescent="0.35">
      <c r="B30" s="60" t="s">
        <v>88</v>
      </c>
      <c r="C30" s="58"/>
      <c r="D30" s="58">
        <v>5</v>
      </c>
    </row>
    <row r="31" spans="2:5" ht="15" x14ac:dyDescent="0.35">
      <c r="B31" s="60" t="s">
        <v>238</v>
      </c>
      <c r="C31" s="59"/>
      <c r="D31" s="112">
        <v>12</v>
      </c>
    </row>
    <row r="32" spans="2:5" ht="15" x14ac:dyDescent="0.35">
      <c r="B32" s="116" t="s">
        <v>236</v>
      </c>
      <c r="C32" s="67"/>
      <c r="D32" s="113">
        <f>+D28+D27+D26</f>
        <v>2120</v>
      </c>
    </row>
    <row r="35" spans="2:4" ht="15" x14ac:dyDescent="0.35">
      <c r="B35" s="262" t="s">
        <v>283</v>
      </c>
      <c r="C35" s="263"/>
      <c r="D35" s="263"/>
    </row>
    <row r="36" spans="2:4" ht="15" x14ac:dyDescent="0.35">
      <c r="B36" s="64"/>
      <c r="C36" s="64"/>
      <c r="D36" s="64"/>
    </row>
    <row r="37" spans="2:4" x14ac:dyDescent="0.3">
      <c r="B37" s="264" t="s">
        <v>110</v>
      </c>
      <c r="C37" s="265"/>
      <c r="D37" s="265"/>
    </row>
    <row r="38" spans="2:4" x14ac:dyDescent="0.3">
      <c r="B38" s="264"/>
      <c r="C38" s="265"/>
      <c r="D38" s="265"/>
    </row>
    <row r="39" spans="2:4" ht="15" x14ac:dyDescent="0.35">
      <c r="B39" s="64"/>
      <c r="C39" s="64"/>
      <c r="D39" s="64"/>
    </row>
    <row r="40" spans="2:4" ht="15" x14ac:dyDescent="0.35">
      <c r="B40" s="65" t="s">
        <v>93</v>
      </c>
      <c r="C40" s="64"/>
      <c r="D40" s="64"/>
    </row>
    <row r="41" spans="2:4" ht="15" x14ac:dyDescent="0.35">
      <c r="B41" s="64"/>
      <c r="C41" s="63" t="s">
        <v>92</v>
      </c>
      <c r="D41" s="63" t="s">
        <v>91</v>
      </c>
    </row>
    <row r="42" spans="2:4" ht="15" x14ac:dyDescent="0.35">
      <c r="B42" s="60" t="s">
        <v>285</v>
      </c>
      <c r="C42" s="58"/>
      <c r="D42" s="112">
        <v>180</v>
      </c>
    </row>
    <row r="43" spans="2:4" ht="15" x14ac:dyDescent="0.35">
      <c r="B43" s="60" t="s">
        <v>286</v>
      </c>
      <c r="C43" s="58"/>
      <c r="D43" s="112">
        <v>150</v>
      </c>
    </row>
    <row r="44" spans="2:4" ht="15" x14ac:dyDescent="0.35">
      <c r="B44" s="60" t="s">
        <v>287</v>
      </c>
      <c r="C44" s="58"/>
      <c r="D44" s="112">
        <v>500</v>
      </c>
    </row>
    <row r="45" spans="2:4" ht="15" x14ac:dyDescent="0.35">
      <c r="B45" s="60" t="s">
        <v>229</v>
      </c>
      <c r="C45" s="58"/>
      <c r="D45" s="112">
        <f>+D46*D47*D48</f>
        <v>168</v>
      </c>
    </row>
    <row r="46" spans="2:4" ht="15" x14ac:dyDescent="0.35">
      <c r="B46" s="60" t="s">
        <v>89</v>
      </c>
      <c r="C46" s="61"/>
      <c r="D46" s="61">
        <v>2</v>
      </c>
    </row>
    <row r="47" spans="2:4" ht="15" x14ac:dyDescent="0.35">
      <c r="B47" s="60" t="s">
        <v>88</v>
      </c>
      <c r="C47" s="58"/>
      <c r="D47" s="58">
        <v>7</v>
      </c>
    </row>
    <row r="48" spans="2:4" ht="15" x14ac:dyDescent="0.35">
      <c r="B48" s="60" t="s">
        <v>238</v>
      </c>
      <c r="C48" s="59"/>
      <c r="D48" s="112">
        <v>12</v>
      </c>
    </row>
    <row r="49" spans="2:4" ht="15" x14ac:dyDescent="0.35">
      <c r="B49" s="116" t="s">
        <v>236</v>
      </c>
      <c r="C49" s="67"/>
      <c r="D49" s="113">
        <f>+SUM(D42:D45)</f>
        <v>998</v>
      </c>
    </row>
    <row r="52" spans="2:4" ht="15" x14ac:dyDescent="0.35">
      <c r="B52" s="262" t="s">
        <v>284</v>
      </c>
      <c r="C52" s="263"/>
      <c r="D52" s="263"/>
    </row>
    <row r="53" spans="2:4" ht="15" x14ac:dyDescent="0.35">
      <c r="B53" s="64"/>
      <c r="C53" s="64"/>
      <c r="D53" s="64"/>
    </row>
    <row r="54" spans="2:4" x14ac:dyDescent="0.3">
      <c r="B54" s="264" t="s">
        <v>109</v>
      </c>
      <c r="C54" s="265"/>
      <c r="D54" s="265"/>
    </row>
    <row r="55" spans="2:4" x14ac:dyDescent="0.3">
      <c r="B55" s="264"/>
      <c r="C55" s="265"/>
      <c r="D55" s="265"/>
    </row>
    <row r="56" spans="2:4" ht="15" x14ac:dyDescent="0.35">
      <c r="B56" s="64"/>
      <c r="C56" s="64"/>
      <c r="D56" s="64"/>
    </row>
    <row r="57" spans="2:4" ht="15" x14ac:dyDescent="0.35">
      <c r="B57" s="65" t="s">
        <v>93</v>
      </c>
      <c r="C57" s="64"/>
      <c r="D57" s="64"/>
    </row>
    <row r="58" spans="2:4" ht="15" x14ac:dyDescent="0.35">
      <c r="B58" s="64"/>
      <c r="C58" s="63" t="s">
        <v>92</v>
      </c>
      <c r="D58" s="63" t="s">
        <v>91</v>
      </c>
    </row>
    <row r="59" spans="2:4" ht="15" x14ac:dyDescent="0.35">
      <c r="B59" s="60" t="s">
        <v>229</v>
      </c>
      <c r="C59" s="58"/>
      <c r="D59" s="112">
        <f>SUM(D60*D61*D62)</f>
        <v>576</v>
      </c>
    </row>
    <row r="60" spans="2:4" ht="15" x14ac:dyDescent="0.35">
      <c r="B60" s="60" t="s">
        <v>89</v>
      </c>
      <c r="C60" s="61"/>
      <c r="D60" s="61">
        <v>4</v>
      </c>
    </row>
    <row r="61" spans="2:4" ht="15" x14ac:dyDescent="0.35">
      <c r="B61" s="60" t="s">
        <v>88</v>
      </c>
      <c r="C61" s="58"/>
      <c r="D61" s="58">
        <v>12</v>
      </c>
    </row>
    <row r="62" spans="2:4" ht="15" x14ac:dyDescent="0.35">
      <c r="B62" s="60" t="s">
        <v>238</v>
      </c>
      <c r="C62" s="59"/>
      <c r="D62" s="112">
        <v>12</v>
      </c>
    </row>
    <row r="63" spans="2:4" ht="15" x14ac:dyDescent="0.35">
      <c r="B63" s="116" t="s">
        <v>236</v>
      </c>
      <c r="C63" s="67"/>
      <c r="D63" s="113">
        <f>+D59</f>
        <v>576</v>
      </c>
    </row>
    <row r="66" spans="2:4" ht="15" x14ac:dyDescent="0.35">
      <c r="B66" s="262" t="s">
        <v>108</v>
      </c>
      <c r="C66" s="263"/>
      <c r="D66" s="263"/>
    </row>
    <row r="67" spans="2:4" ht="15" x14ac:dyDescent="0.35">
      <c r="B67" s="64"/>
      <c r="C67" s="64"/>
      <c r="D67" s="64"/>
    </row>
    <row r="68" spans="2:4" x14ac:dyDescent="0.3">
      <c r="B68" s="264" t="s">
        <v>107</v>
      </c>
      <c r="C68" s="265"/>
      <c r="D68" s="265"/>
    </row>
    <row r="69" spans="2:4" x14ac:dyDescent="0.3">
      <c r="B69" s="264"/>
      <c r="C69" s="265"/>
      <c r="D69" s="265"/>
    </row>
    <row r="70" spans="2:4" ht="15" x14ac:dyDescent="0.35">
      <c r="B70" s="64"/>
      <c r="C70" s="64"/>
      <c r="D70" s="64"/>
    </row>
    <row r="71" spans="2:4" ht="15" x14ac:dyDescent="0.35">
      <c r="B71" s="65" t="s">
        <v>93</v>
      </c>
      <c r="C71" s="64"/>
      <c r="D71" s="64"/>
    </row>
    <row r="72" spans="2:4" ht="15" x14ac:dyDescent="0.35">
      <c r="B72" s="64"/>
      <c r="C72" s="63" t="s">
        <v>92</v>
      </c>
      <c r="D72" s="63" t="s">
        <v>91</v>
      </c>
    </row>
    <row r="73" spans="2:4" ht="15" x14ac:dyDescent="0.35">
      <c r="B73" s="60" t="s">
        <v>290</v>
      </c>
      <c r="C73" s="71"/>
      <c r="D73" s="112">
        <v>120</v>
      </c>
    </row>
    <row r="74" spans="2:4" ht="15" x14ac:dyDescent="0.35">
      <c r="B74" s="60" t="s">
        <v>291</v>
      </c>
      <c r="C74" s="71"/>
      <c r="D74" s="112">
        <v>80</v>
      </c>
    </row>
    <row r="75" spans="2:4" ht="15" x14ac:dyDescent="0.35">
      <c r="B75" s="60" t="s">
        <v>292</v>
      </c>
      <c r="C75" s="71"/>
      <c r="D75" s="112">
        <v>120</v>
      </c>
    </row>
    <row r="76" spans="2:4" ht="15" x14ac:dyDescent="0.35">
      <c r="B76" s="60" t="s">
        <v>106</v>
      </c>
      <c r="C76" s="71">
        <v>1.83E-2</v>
      </c>
      <c r="D76" s="70">
        <f>+Flujos!D43</f>
        <v>1.38E-2</v>
      </c>
    </row>
    <row r="77" spans="2:4" ht="15" x14ac:dyDescent="0.35">
      <c r="B77" s="60" t="s">
        <v>230</v>
      </c>
      <c r="C77" s="71">
        <v>0.122</v>
      </c>
      <c r="D77" s="72">
        <f>+Flujos!D44</f>
        <v>4.2000000000000003E-2</v>
      </c>
    </row>
    <row r="78" spans="2:4" ht="15" x14ac:dyDescent="0.35">
      <c r="B78" s="60" t="s">
        <v>233</v>
      </c>
      <c r="C78" s="112">
        <v>0.5</v>
      </c>
      <c r="D78" s="112">
        <v>0.5</v>
      </c>
    </row>
    <row r="79" spans="2:4" ht="15" x14ac:dyDescent="0.35">
      <c r="B79" s="60" t="s">
        <v>231</v>
      </c>
      <c r="C79" s="71">
        <v>6.7000000000000004E-2</v>
      </c>
      <c r="D79" s="72">
        <f>+Flujos!D45</f>
        <v>2.8000000000000001E-2</v>
      </c>
    </row>
    <row r="80" spans="2:4" ht="15" x14ac:dyDescent="0.35">
      <c r="B80" s="60" t="s">
        <v>234</v>
      </c>
      <c r="C80" s="112">
        <v>2</v>
      </c>
      <c r="D80" s="112">
        <v>2</v>
      </c>
    </row>
    <row r="81" spans="2:4" ht="15" x14ac:dyDescent="0.35">
      <c r="B81" s="60" t="s">
        <v>232</v>
      </c>
      <c r="C81" s="71">
        <v>8.5999999999999993E-2</v>
      </c>
      <c r="D81" s="72">
        <f>+Flujos!D46</f>
        <v>2.4E-2</v>
      </c>
    </row>
    <row r="82" spans="2:4" ht="15" x14ac:dyDescent="0.35">
      <c r="B82" s="60" t="s">
        <v>235</v>
      </c>
      <c r="C82" s="112">
        <v>1.1000000000000001</v>
      </c>
      <c r="D82" s="112">
        <v>1.1000000000000001</v>
      </c>
    </row>
    <row r="83" spans="2:4" ht="15" x14ac:dyDescent="0.35">
      <c r="B83" s="60" t="s">
        <v>229</v>
      </c>
      <c r="C83" s="58"/>
      <c r="D83" s="112">
        <f>D84*D85*D86</f>
        <v>1152</v>
      </c>
    </row>
    <row r="84" spans="2:4" ht="15" x14ac:dyDescent="0.35">
      <c r="B84" s="60" t="s">
        <v>89</v>
      </c>
      <c r="C84" s="61"/>
      <c r="D84" s="61">
        <v>2</v>
      </c>
    </row>
    <row r="85" spans="2:4" ht="15" x14ac:dyDescent="0.35">
      <c r="B85" s="60" t="s">
        <v>88</v>
      </c>
      <c r="C85" s="58"/>
      <c r="D85" s="58">
        <v>48</v>
      </c>
    </row>
    <row r="86" spans="2:4" ht="15" x14ac:dyDescent="0.35">
      <c r="B86" s="60" t="s">
        <v>238</v>
      </c>
      <c r="C86" s="59"/>
      <c r="D86" s="112">
        <v>12</v>
      </c>
    </row>
    <row r="87" spans="2:4" ht="15" x14ac:dyDescent="0.35">
      <c r="B87" s="116" t="s">
        <v>236</v>
      </c>
      <c r="C87" s="67"/>
      <c r="D87" s="113">
        <f>+D73+D74+D75+D83</f>
        <v>1472</v>
      </c>
    </row>
    <row r="90" spans="2:4" ht="15" x14ac:dyDescent="0.35">
      <c r="B90" s="262" t="s">
        <v>105</v>
      </c>
      <c r="C90" s="263"/>
      <c r="D90" s="263"/>
    </row>
    <row r="91" spans="2:4" ht="15" x14ac:dyDescent="0.35">
      <c r="B91" s="64"/>
      <c r="C91" s="64"/>
      <c r="D91" s="64"/>
    </row>
    <row r="92" spans="2:4" x14ac:dyDescent="0.3">
      <c r="B92" s="264" t="s">
        <v>104</v>
      </c>
      <c r="C92" s="265"/>
      <c r="D92" s="265"/>
    </row>
    <row r="93" spans="2:4" x14ac:dyDescent="0.3">
      <c r="B93" s="264"/>
      <c r="C93" s="265"/>
      <c r="D93" s="265"/>
    </row>
    <row r="94" spans="2:4" ht="15" x14ac:dyDescent="0.35">
      <c r="B94" s="64"/>
      <c r="C94" s="64"/>
      <c r="D94" s="64"/>
    </row>
    <row r="95" spans="2:4" ht="15" x14ac:dyDescent="0.35">
      <c r="B95" s="65" t="s">
        <v>93</v>
      </c>
      <c r="C95" s="64"/>
      <c r="D95" s="64"/>
    </row>
    <row r="96" spans="2:4" ht="15" x14ac:dyDescent="0.35">
      <c r="B96" s="64"/>
      <c r="C96" s="63" t="s">
        <v>92</v>
      </c>
      <c r="D96" s="63" t="s">
        <v>91</v>
      </c>
    </row>
    <row r="97" spans="2:4" ht="15" x14ac:dyDescent="0.35">
      <c r="B97" s="60" t="s">
        <v>103</v>
      </c>
      <c r="C97" s="112">
        <v>620</v>
      </c>
      <c r="D97" s="112">
        <v>290</v>
      </c>
    </row>
    <row r="98" spans="2:4" ht="15" x14ac:dyDescent="0.35">
      <c r="B98" s="60" t="s">
        <v>245</v>
      </c>
      <c r="C98" s="112">
        <v>240</v>
      </c>
      <c r="D98" s="112">
        <v>150</v>
      </c>
    </row>
    <row r="99" spans="2:4" ht="15" x14ac:dyDescent="0.35">
      <c r="B99" s="60" t="s">
        <v>239</v>
      </c>
      <c r="C99" s="58"/>
      <c r="D99" s="112">
        <v>160</v>
      </c>
    </row>
    <row r="100" spans="2:4" ht="28.8" x14ac:dyDescent="0.35">
      <c r="B100" s="114" t="s">
        <v>295</v>
      </c>
      <c r="C100" s="58"/>
      <c r="D100" s="115">
        <v>215</v>
      </c>
    </row>
    <row r="101" spans="2:4" ht="15" x14ac:dyDescent="0.35">
      <c r="B101" s="60" t="s">
        <v>294</v>
      </c>
      <c r="C101" s="58"/>
      <c r="D101" s="112">
        <v>120</v>
      </c>
    </row>
    <row r="102" spans="2:4" ht="15" x14ac:dyDescent="0.35">
      <c r="B102" s="60" t="s">
        <v>229</v>
      </c>
      <c r="C102" s="58"/>
      <c r="D102" s="112">
        <f>D103*D104*D105</f>
        <v>432</v>
      </c>
    </row>
    <row r="103" spans="2:4" ht="15" x14ac:dyDescent="0.35">
      <c r="B103" s="60" t="s">
        <v>89</v>
      </c>
      <c r="C103" s="61"/>
      <c r="D103" s="61">
        <v>2</v>
      </c>
    </row>
    <row r="104" spans="2:4" ht="15" x14ac:dyDescent="0.35">
      <c r="B104" s="60" t="s">
        <v>88</v>
      </c>
      <c r="C104" s="58"/>
      <c r="D104" s="58">
        <v>18</v>
      </c>
    </row>
    <row r="105" spans="2:4" ht="15" x14ac:dyDescent="0.35">
      <c r="B105" s="60" t="s">
        <v>238</v>
      </c>
      <c r="C105" s="59"/>
      <c r="D105" s="112">
        <v>12</v>
      </c>
    </row>
    <row r="106" spans="2:4" ht="15" x14ac:dyDescent="0.35">
      <c r="B106" s="116" t="s">
        <v>236</v>
      </c>
      <c r="C106" s="67"/>
      <c r="D106" s="113">
        <f>+D102+D101+D100+D99</f>
        <v>927</v>
      </c>
    </row>
    <row r="109" spans="2:4" ht="15" x14ac:dyDescent="0.35">
      <c r="B109" s="262" t="s">
        <v>102</v>
      </c>
      <c r="C109" s="263"/>
      <c r="D109" s="263"/>
    </row>
    <row r="110" spans="2:4" ht="15" x14ac:dyDescent="0.35">
      <c r="B110" s="64"/>
      <c r="C110" s="64"/>
      <c r="D110" s="64"/>
    </row>
    <row r="111" spans="2:4" x14ac:dyDescent="0.3">
      <c r="B111" s="264" t="s">
        <v>101</v>
      </c>
      <c r="C111" s="265"/>
      <c r="D111" s="265"/>
    </row>
    <row r="112" spans="2:4" x14ac:dyDescent="0.3">
      <c r="B112" s="264"/>
      <c r="C112" s="265"/>
      <c r="D112" s="265"/>
    </row>
    <row r="113" spans="2:4" ht="15" x14ac:dyDescent="0.35">
      <c r="B113" s="64"/>
      <c r="C113" s="64"/>
      <c r="D113" s="64"/>
    </row>
    <row r="114" spans="2:4" ht="15" x14ac:dyDescent="0.35">
      <c r="B114" s="65" t="s">
        <v>93</v>
      </c>
      <c r="C114" s="64"/>
      <c r="D114" s="64"/>
    </row>
    <row r="115" spans="2:4" ht="15" x14ac:dyDescent="0.35">
      <c r="B115" s="64"/>
      <c r="C115" s="63" t="s">
        <v>92</v>
      </c>
      <c r="D115" s="63" t="s">
        <v>91</v>
      </c>
    </row>
    <row r="116" spans="2:4" ht="15" x14ac:dyDescent="0.35">
      <c r="B116" s="60" t="s">
        <v>237</v>
      </c>
      <c r="C116" s="71">
        <v>0.06</v>
      </c>
      <c r="D116" s="70">
        <f>+Flujos!D49</f>
        <v>4.4999999999999998E-2</v>
      </c>
    </row>
    <row r="117" spans="2:4" ht="15" x14ac:dyDescent="0.35">
      <c r="B117" s="60" t="s">
        <v>297</v>
      </c>
      <c r="C117" s="71"/>
      <c r="D117" s="113">
        <v>330</v>
      </c>
    </row>
    <row r="118" spans="2:4" ht="15" x14ac:dyDescent="0.35">
      <c r="B118" s="60" t="s">
        <v>298</v>
      </c>
      <c r="C118" s="71"/>
      <c r="D118" s="113">
        <v>140</v>
      </c>
    </row>
    <row r="119" spans="2:4" ht="15" x14ac:dyDescent="0.35">
      <c r="B119" s="60" t="s">
        <v>299</v>
      </c>
      <c r="C119" s="71"/>
      <c r="D119" s="113">
        <v>150</v>
      </c>
    </row>
    <row r="120" spans="2:4" ht="15" x14ac:dyDescent="0.35">
      <c r="B120" s="60" t="s">
        <v>229</v>
      </c>
      <c r="C120" s="58"/>
      <c r="D120" s="113">
        <f>D121*D122*D123</f>
        <v>1512</v>
      </c>
    </row>
    <row r="121" spans="2:4" ht="15" x14ac:dyDescent="0.35">
      <c r="B121" s="60" t="s">
        <v>89</v>
      </c>
      <c r="C121" s="61"/>
      <c r="D121" s="61">
        <v>21</v>
      </c>
    </row>
    <row r="122" spans="2:4" ht="15" x14ac:dyDescent="0.35">
      <c r="B122" s="60" t="s">
        <v>88</v>
      </c>
      <c r="C122" s="58"/>
      <c r="D122" s="58">
        <v>6</v>
      </c>
    </row>
    <row r="123" spans="2:4" ht="15" x14ac:dyDescent="0.35">
      <c r="B123" s="60" t="s">
        <v>238</v>
      </c>
      <c r="C123" s="59"/>
      <c r="D123" s="112">
        <v>12</v>
      </c>
    </row>
    <row r="124" spans="2:4" ht="15" x14ac:dyDescent="0.35">
      <c r="B124" s="116" t="s">
        <v>236</v>
      </c>
      <c r="C124" s="67"/>
      <c r="D124" s="113">
        <f>+D120+D119+D118+D117</f>
        <v>2132</v>
      </c>
    </row>
    <row r="127" spans="2:4" ht="15" x14ac:dyDescent="0.35">
      <c r="B127" s="262" t="s">
        <v>100</v>
      </c>
      <c r="C127" s="263"/>
      <c r="D127" s="263"/>
    </row>
    <row r="128" spans="2:4" ht="15" x14ac:dyDescent="0.35">
      <c r="B128" s="64"/>
      <c r="C128" s="64"/>
      <c r="D128" s="64"/>
    </row>
    <row r="129" spans="2:4" x14ac:dyDescent="0.3">
      <c r="B129" s="264" t="s">
        <v>99</v>
      </c>
      <c r="C129" s="265"/>
      <c r="D129" s="265"/>
    </row>
    <row r="130" spans="2:4" x14ac:dyDescent="0.3">
      <c r="B130" s="264"/>
      <c r="C130" s="265"/>
      <c r="D130" s="265"/>
    </row>
    <row r="131" spans="2:4" ht="15" x14ac:dyDescent="0.35">
      <c r="B131" s="64"/>
      <c r="C131" s="64"/>
      <c r="D131" s="64"/>
    </row>
    <row r="132" spans="2:4" ht="15" x14ac:dyDescent="0.35">
      <c r="B132" s="65" t="s">
        <v>93</v>
      </c>
      <c r="C132" s="64"/>
      <c r="D132" s="64"/>
    </row>
    <row r="133" spans="2:4" ht="15" x14ac:dyDescent="0.35">
      <c r="B133" s="64"/>
      <c r="C133" s="63" t="s">
        <v>92</v>
      </c>
      <c r="D133" s="63" t="s">
        <v>91</v>
      </c>
    </row>
    <row r="134" spans="2:4" ht="15" x14ac:dyDescent="0.35">
      <c r="B134" s="60" t="s">
        <v>237</v>
      </c>
      <c r="C134" s="71">
        <v>0.02</v>
      </c>
      <c r="D134" s="71">
        <f>+Flujos!D50</f>
        <v>1.4999999999999999E-2</v>
      </c>
    </row>
    <row r="135" spans="2:4" ht="15" x14ac:dyDescent="0.35">
      <c r="B135" s="60" t="s">
        <v>302</v>
      </c>
      <c r="C135" s="117"/>
      <c r="D135" s="112">
        <v>340</v>
      </c>
    </row>
    <row r="136" spans="2:4" ht="15" x14ac:dyDescent="0.35">
      <c r="B136" s="60" t="s">
        <v>301</v>
      </c>
      <c r="C136" s="117"/>
      <c r="D136" s="112">
        <v>90</v>
      </c>
    </row>
    <row r="137" spans="2:4" ht="15" x14ac:dyDescent="0.35">
      <c r="B137" s="60" t="s">
        <v>299</v>
      </c>
      <c r="C137" s="58"/>
      <c r="D137" s="112">
        <v>180</v>
      </c>
    </row>
    <row r="138" spans="2:4" ht="15" x14ac:dyDescent="0.35">
      <c r="B138" s="60" t="s">
        <v>343</v>
      </c>
      <c r="C138" s="58"/>
      <c r="D138" s="112">
        <v>400</v>
      </c>
    </row>
    <row r="139" spans="2:4" ht="15" x14ac:dyDescent="0.35">
      <c r="B139" s="60" t="s">
        <v>344</v>
      </c>
      <c r="C139" s="58"/>
      <c r="D139" s="112">
        <v>250</v>
      </c>
    </row>
    <row r="140" spans="2:4" ht="15" x14ac:dyDescent="0.35">
      <c r="B140" s="60" t="s">
        <v>229</v>
      </c>
      <c r="C140" s="58"/>
      <c r="D140" s="112">
        <f>+D141*D142*D143</f>
        <v>2268</v>
      </c>
    </row>
    <row r="141" spans="2:4" ht="15" x14ac:dyDescent="0.35">
      <c r="B141" s="60" t="s">
        <v>89</v>
      </c>
      <c r="C141" s="61"/>
      <c r="D141" s="61">
        <v>21</v>
      </c>
    </row>
    <row r="142" spans="2:4" ht="15" x14ac:dyDescent="0.35">
      <c r="B142" s="60" t="s">
        <v>88</v>
      </c>
      <c r="C142" s="58"/>
      <c r="D142" s="58">
        <v>9</v>
      </c>
    </row>
    <row r="143" spans="2:4" ht="15" x14ac:dyDescent="0.35">
      <c r="B143" s="60" t="s">
        <v>238</v>
      </c>
      <c r="C143" s="59"/>
      <c r="D143" s="112">
        <v>12</v>
      </c>
    </row>
    <row r="144" spans="2:4" ht="15" x14ac:dyDescent="0.35">
      <c r="B144" s="116" t="s">
        <v>236</v>
      </c>
      <c r="C144" s="67"/>
      <c r="D144" s="113">
        <f>+D135+D136+D137+D138+D139+D140</f>
        <v>3528</v>
      </c>
    </row>
    <row r="147" spans="2:4" ht="15" x14ac:dyDescent="0.35">
      <c r="B147" s="262" t="s">
        <v>98</v>
      </c>
      <c r="C147" s="263"/>
      <c r="D147" s="263"/>
    </row>
    <row r="148" spans="2:4" ht="15" x14ac:dyDescent="0.35">
      <c r="B148" s="64"/>
      <c r="C148" s="64"/>
      <c r="D148" s="64"/>
    </row>
    <row r="149" spans="2:4" x14ac:dyDescent="0.3">
      <c r="B149" s="264" t="s">
        <v>97</v>
      </c>
      <c r="C149" s="265"/>
      <c r="D149" s="265"/>
    </row>
    <row r="150" spans="2:4" x14ac:dyDescent="0.3">
      <c r="B150" s="264"/>
      <c r="C150" s="265"/>
      <c r="D150" s="265"/>
    </row>
    <row r="151" spans="2:4" ht="15" x14ac:dyDescent="0.35">
      <c r="B151" s="64"/>
      <c r="C151" s="64"/>
      <c r="D151" s="64"/>
    </row>
    <row r="152" spans="2:4" ht="15" x14ac:dyDescent="0.35">
      <c r="B152" s="65" t="s">
        <v>93</v>
      </c>
      <c r="C152" s="64"/>
      <c r="D152" s="64"/>
    </row>
    <row r="153" spans="2:4" ht="15" x14ac:dyDescent="0.35">
      <c r="B153" s="64"/>
      <c r="C153" s="63" t="s">
        <v>92</v>
      </c>
      <c r="D153" s="63" t="s">
        <v>91</v>
      </c>
    </row>
    <row r="154" spans="2:4" ht="15" x14ac:dyDescent="0.35">
      <c r="B154" s="60" t="s">
        <v>467</v>
      </c>
      <c r="C154" s="69">
        <v>1787</v>
      </c>
      <c r="D154" s="68">
        <v>1911</v>
      </c>
    </row>
    <row r="155" spans="2:4" ht="28.8" x14ac:dyDescent="0.35">
      <c r="B155" s="114" t="s">
        <v>241</v>
      </c>
      <c r="C155" s="69"/>
      <c r="D155" s="115">
        <v>340</v>
      </c>
    </row>
    <row r="156" spans="2:4" ht="15" x14ac:dyDescent="0.35">
      <c r="B156" s="60" t="s">
        <v>240</v>
      </c>
      <c r="C156" s="69"/>
      <c r="D156" s="112">
        <v>260</v>
      </c>
    </row>
    <row r="157" spans="2:4" ht="15" x14ac:dyDescent="0.35">
      <c r="B157" s="60" t="s">
        <v>229</v>
      </c>
      <c r="C157" s="58"/>
      <c r="D157" s="112">
        <f>D158*D159*D160</f>
        <v>3024</v>
      </c>
    </row>
    <row r="158" spans="2:4" ht="15" x14ac:dyDescent="0.35">
      <c r="B158" s="60" t="s">
        <v>89</v>
      </c>
      <c r="C158" s="61"/>
      <c r="D158" s="61">
        <v>21</v>
      </c>
    </row>
    <row r="159" spans="2:4" ht="15" x14ac:dyDescent="0.35">
      <c r="B159" s="60" t="s">
        <v>88</v>
      </c>
      <c r="C159" s="58"/>
      <c r="D159" s="58">
        <v>12</v>
      </c>
    </row>
    <row r="160" spans="2:4" ht="15" x14ac:dyDescent="0.35">
      <c r="B160" s="60" t="s">
        <v>238</v>
      </c>
      <c r="C160" s="59"/>
      <c r="D160" s="112">
        <v>12</v>
      </c>
    </row>
    <row r="161" spans="2:4" ht="15" x14ac:dyDescent="0.35">
      <c r="B161" s="116" t="s">
        <v>236</v>
      </c>
      <c r="C161" s="67"/>
      <c r="D161" s="113">
        <f>+D157+D156+D155</f>
        <v>3624</v>
      </c>
    </row>
    <row r="164" spans="2:4" ht="15" x14ac:dyDescent="0.35">
      <c r="B164" s="262" t="s">
        <v>96</v>
      </c>
      <c r="C164" s="263"/>
      <c r="D164" s="263"/>
    </row>
    <row r="165" spans="2:4" ht="15" x14ac:dyDescent="0.35">
      <c r="B165" s="64"/>
      <c r="C165" s="64"/>
      <c r="D165" s="64"/>
    </row>
    <row r="166" spans="2:4" x14ac:dyDescent="0.3">
      <c r="B166" s="264" t="s">
        <v>94</v>
      </c>
      <c r="C166" s="265"/>
      <c r="D166" s="265"/>
    </row>
    <row r="167" spans="2:4" x14ac:dyDescent="0.3">
      <c r="B167" s="264"/>
      <c r="C167" s="265"/>
      <c r="D167" s="265"/>
    </row>
    <row r="168" spans="2:4" ht="15" x14ac:dyDescent="0.35">
      <c r="B168" s="64"/>
      <c r="C168" s="64"/>
      <c r="D168" s="64"/>
    </row>
    <row r="169" spans="2:4" ht="15" x14ac:dyDescent="0.35">
      <c r="B169" s="65" t="s">
        <v>93</v>
      </c>
      <c r="C169" s="64"/>
      <c r="D169" s="64"/>
    </row>
    <row r="170" spans="2:4" ht="15" x14ac:dyDescent="0.35">
      <c r="B170" s="64"/>
      <c r="C170" s="63" t="s">
        <v>92</v>
      </c>
      <c r="D170" s="63" t="s">
        <v>91</v>
      </c>
    </row>
    <row r="171" spans="2:4" ht="15" x14ac:dyDescent="0.35">
      <c r="B171" s="60" t="s">
        <v>237</v>
      </c>
      <c r="C171" s="67">
        <v>0.14000000000000001</v>
      </c>
      <c r="D171" s="66">
        <f>+Flujos!D51</f>
        <v>7.5999999999999998E-2</v>
      </c>
    </row>
    <row r="172" spans="2:4" ht="15" x14ac:dyDescent="0.35">
      <c r="B172" s="60" t="s">
        <v>244</v>
      </c>
      <c r="C172" s="67"/>
      <c r="D172" s="113">
        <v>40</v>
      </c>
    </row>
    <row r="173" spans="2:4" ht="15" x14ac:dyDescent="0.35">
      <c r="B173" s="60" t="s">
        <v>242</v>
      </c>
      <c r="C173" s="67"/>
      <c r="D173" s="113">
        <v>240</v>
      </c>
    </row>
    <row r="174" spans="2:4" ht="15" x14ac:dyDescent="0.35">
      <c r="B174" s="60" t="s">
        <v>229</v>
      </c>
      <c r="C174" s="58"/>
      <c r="D174" s="113">
        <f>D175*D176*D177</f>
        <v>168</v>
      </c>
    </row>
    <row r="175" spans="2:4" ht="15" x14ac:dyDescent="0.35">
      <c r="B175" s="60" t="s">
        <v>89</v>
      </c>
      <c r="C175" s="61"/>
      <c r="D175" s="61">
        <v>14</v>
      </c>
    </row>
    <row r="176" spans="2:4" ht="15" x14ac:dyDescent="0.35">
      <c r="B176" s="60" t="s">
        <v>88</v>
      </c>
      <c r="C176" s="58"/>
      <c r="D176" s="58">
        <v>1</v>
      </c>
    </row>
    <row r="177" spans="2:4" ht="15" x14ac:dyDescent="0.35">
      <c r="B177" s="60" t="s">
        <v>238</v>
      </c>
      <c r="C177" s="59"/>
      <c r="D177" s="113">
        <v>12</v>
      </c>
    </row>
    <row r="178" spans="2:4" ht="15" x14ac:dyDescent="0.35">
      <c r="B178" s="116" t="s">
        <v>236</v>
      </c>
      <c r="C178" s="67"/>
      <c r="D178" s="113">
        <f>+D174+D173+D172</f>
        <v>448</v>
      </c>
    </row>
    <row r="181" spans="2:4" ht="15" x14ac:dyDescent="0.35">
      <c r="B181" s="262" t="s">
        <v>95</v>
      </c>
      <c r="C181" s="263"/>
      <c r="D181" s="263"/>
    </row>
    <row r="182" spans="2:4" ht="15" x14ac:dyDescent="0.35">
      <c r="B182" s="64"/>
      <c r="C182" s="64"/>
      <c r="D182" s="64"/>
    </row>
    <row r="183" spans="2:4" x14ac:dyDescent="0.3">
      <c r="B183" s="264" t="s">
        <v>94</v>
      </c>
      <c r="C183" s="265"/>
      <c r="D183" s="265"/>
    </row>
    <row r="184" spans="2:4" x14ac:dyDescent="0.3">
      <c r="B184" s="264"/>
      <c r="C184" s="265"/>
      <c r="D184" s="265"/>
    </row>
    <row r="185" spans="2:4" ht="15" x14ac:dyDescent="0.35">
      <c r="B185" s="64"/>
      <c r="C185" s="64"/>
      <c r="D185" s="64"/>
    </row>
    <row r="186" spans="2:4" ht="15" x14ac:dyDescent="0.35">
      <c r="B186" s="65" t="s">
        <v>93</v>
      </c>
      <c r="C186" s="64"/>
      <c r="D186" s="64"/>
    </row>
    <row r="187" spans="2:4" ht="15" x14ac:dyDescent="0.35">
      <c r="B187" s="64"/>
      <c r="C187" s="63" t="s">
        <v>92</v>
      </c>
      <c r="D187" s="63" t="s">
        <v>91</v>
      </c>
    </row>
    <row r="188" spans="2:4" ht="15" x14ac:dyDescent="0.35">
      <c r="B188" s="60" t="s">
        <v>90</v>
      </c>
      <c r="C188" s="61">
        <v>380</v>
      </c>
      <c r="D188" s="62">
        <v>364</v>
      </c>
    </row>
    <row r="189" spans="2:4" ht="15" x14ac:dyDescent="0.35">
      <c r="B189" s="60" t="s">
        <v>307</v>
      </c>
      <c r="C189" s="113">
        <v>1100</v>
      </c>
      <c r="D189" s="113">
        <v>1100</v>
      </c>
    </row>
    <row r="190" spans="2:4" ht="15" x14ac:dyDescent="0.35">
      <c r="B190" s="60" t="s">
        <v>308</v>
      </c>
      <c r="C190" s="61">
        <v>240</v>
      </c>
      <c r="D190" s="62">
        <v>240</v>
      </c>
    </row>
    <row r="191" spans="2:4" ht="15" x14ac:dyDescent="0.35">
      <c r="B191" s="60" t="s">
        <v>306</v>
      </c>
      <c r="C191" s="58"/>
      <c r="D191" s="113">
        <v>220</v>
      </c>
    </row>
    <row r="192" spans="2:4" ht="15" x14ac:dyDescent="0.35">
      <c r="B192" s="60" t="s">
        <v>249</v>
      </c>
      <c r="C192" s="113">
        <v>220</v>
      </c>
      <c r="D192" s="113">
        <v>90</v>
      </c>
    </row>
    <row r="193" spans="2:4" ht="15" x14ac:dyDescent="0.35">
      <c r="B193" s="60" t="s">
        <v>243</v>
      </c>
      <c r="C193" s="58"/>
      <c r="D193" s="113">
        <v>80</v>
      </c>
    </row>
    <row r="194" spans="2:4" ht="15" x14ac:dyDescent="0.35">
      <c r="B194" s="60" t="s">
        <v>229</v>
      </c>
      <c r="C194" s="58"/>
      <c r="D194" s="113">
        <f>D195*D196*D197</f>
        <v>2520</v>
      </c>
    </row>
    <row r="195" spans="2:4" ht="15" x14ac:dyDescent="0.35">
      <c r="B195" s="60" t="s">
        <v>89</v>
      </c>
      <c r="C195" s="61"/>
      <c r="D195" s="61">
        <v>21</v>
      </c>
    </row>
    <row r="196" spans="2:4" ht="15" x14ac:dyDescent="0.35">
      <c r="B196" s="60" t="s">
        <v>88</v>
      </c>
      <c r="C196" s="58"/>
      <c r="D196" s="58">
        <v>10</v>
      </c>
    </row>
    <row r="197" spans="2:4" ht="15" x14ac:dyDescent="0.35">
      <c r="B197" s="60" t="s">
        <v>238</v>
      </c>
      <c r="C197" s="59"/>
      <c r="D197" s="113">
        <v>12</v>
      </c>
    </row>
    <row r="198" spans="2:4" ht="15" x14ac:dyDescent="0.35">
      <c r="B198" s="116" t="s">
        <v>236</v>
      </c>
      <c r="C198" s="67"/>
      <c r="D198" s="113">
        <f>+D191+D194+D193</f>
        <v>2820</v>
      </c>
    </row>
  </sheetData>
  <mergeCells count="22">
    <mergeCell ref="B92:D93"/>
    <mergeCell ref="B109:D109"/>
    <mergeCell ref="B111:D112"/>
    <mergeCell ref="B127:D127"/>
    <mergeCell ref="B2:D2"/>
    <mergeCell ref="B4:D5"/>
    <mergeCell ref="B18:D18"/>
    <mergeCell ref="B20:D21"/>
    <mergeCell ref="B35:D35"/>
    <mergeCell ref="B37:D38"/>
    <mergeCell ref="B52:D52"/>
    <mergeCell ref="B54:D55"/>
    <mergeCell ref="B66:D66"/>
    <mergeCell ref="B68:D69"/>
    <mergeCell ref="B90:D90"/>
    <mergeCell ref="B181:D181"/>
    <mergeCell ref="B183:D184"/>
    <mergeCell ref="B129:D130"/>
    <mergeCell ref="B147:D147"/>
    <mergeCell ref="B149:D150"/>
    <mergeCell ref="B164:D164"/>
    <mergeCell ref="B166:D16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F137-40F4-40DB-B350-0090FAF04DE3}">
  <sheetPr>
    <tabColor rgb="FF002060"/>
    <outlinePr summaryBelow="0" summaryRight="0"/>
  </sheetPr>
  <dimension ref="B2:S68"/>
  <sheetViews>
    <sheetView showGridLines="0" tabSelected="1" topLeftCell="B1" zoomScale="90" zoomScaleNormal="90" workbookViewId="0">
      <selection activeCell="H8" sqref="H8"/>
    </sheetView>
  </sheetViews>
  <sheetFormatPr baseColWidth="10" defaultColWidth="11.44140625" defaultRowHeight="13.2" outlineLevelRow="1" x14ac:dyDescent="0.3"/>
  <cols>
    <col min="1" max="1" width="2.6640625" style="154" customWidth="1"/>
    <col min="2" max="2" width="21.33203125" style="154" customWidth="1"/>
    <col min="3" max="8" width="13.44140625" style="154" customWidth="1"/>
    <col min="9" max="9" width="1.6640625" style="154" customWidth="1"/>
    <col min="10" max="10" width="21.33203125" style="154" customWidth="1"/>
    <col min="11" max="15" width="13.44140625" style="154" customWidth="1"/>
    <col min="16" max="16384" width="11.44140625" style="154"/>
  </cols>
  <sheetData>
    <row r="2" spans="2:15" x14ac:dyDescent="0.3">
      <c r="B2" s="266" t="s">
        <v>380</v>
      </c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267"/>
      <c r="O2" s="267"/>
    </row>
    <row r="3" spans="2:15" outlineLevel="1" x14ac:dyDescent="0.3">
      <c r="C3" s="154">
        <v>0</v>
      </c>
      <c r="D3" s="154">
        <v>1</v>
      </c>
      <c r="E3" s="154">
        <v>2</v>
      </c>
      <c r="F3" s="154">
        <v>3</v>
      </c>
      <c r="G3" s="154">
        <v>4</v>
      </c>
      <c r="K3" s="154">
        <v>0</v>
      </c>
      <c r="L3" s="154">
        <v>1</v>
      </c>
      <c r="M3" s="154">
        <v>2</v>
      </c>
      <c r="N3" s="154">
        <v>3</v>
      </c>
      <c r="O3" s="154">
        <v>4</v>
      </c>
    </row>
    <row r="4" spans="2:15" ht="14.4" outlineLevel="1" x14ac:dyDescent="0.35">
      <c r="C4" s="75" t="s">
        <v>121</v>
      </c>
      <c r="D4" s="75" t="s">
        <v>8</v>
      </c>
      <c r="E4" s="75" t="s">
        <v>7</v>
      </c>
      <c r="F4" s="75" t="s">
        <v>6</v>
      </c>
      <c r="G4" s="75" t="s">
        <v>5</v>
      </c>
      <c r="K4" s="75" t="s">
        <v>121</v>
      </c>
      <c r="L4" s="75" t="s">
        <v>8</v>
      </c>
      <c r="M4" s="75" t="s">
        <v>7</v>
      </c>
      <c r="N4" s="75" t="s">
        <v>6</v>
      </c>
      <c r="O4" s="75" t="s">
        <v>5</v>
      </c>
    </row>
    <row r="5" spans="2:15" outlineLevel="1" x14ac:dyDescent="0.3">
      <c r="B5" s="156" t="s">
        <v>381</v>
      </c>
      <c r="C5" s="157"/>
      <c r="D5" s="157">
        <f>+'Sit. SP'!D7</f>
        <v>396290.44</v>
      </c>
      <c r="E5" s="157">
        <f>+'Sit. SP'!E7</f>
        <v>409097.7072</v>
      </c>
      <c r="F5" s="157">
        <f>+'Sit. SP'!F7</f>
        <v>444790.09119999997</v>
      </c>
      <c r="G5" s="157">
        <f>+'Sit. SP'!G7</f>
        <v>471034.49119999999</v>
      </c>
      <c r="J5" s="156" t="s">
        <v>381</v>
      </c>
      <c r="K5" s="157"/>
      <c r="L5" s="157">
        <f>+'Sit. CP'!D7</f>
        <v>396290.44</v>
      </c>
      <c r="M5" s="157">
        <f>+'Sit. CP'!E7</f>
        <v>409097.7072</v>
      </c>
      <c r="N5" s="157">
        <f>+'Sit. CP'!F7</f>
        <v>444790.09119999997</v>
      </c>
      <c r="O5" s="157">
        <f>+'Sit. CP'!G7</f>
        <v>471034.49119999999</v>
      </c>
    </row>
    <row r="6" spans="2:15" outlineLevel="1" x14ac:dyDescent="0.3">
      <c r="B6" s="156" t="s">
        <v>382</v>
      </c>
      <c r="C6" s="157"/>
      <c r="D6" s="157">
        <f>-'Sit. SP'!D232</f>
        <v>-219224.9591401323</v>
      </c>
      <c r="E6" s="157">
        <f>-'Sit. SP'!E232</f>
        <v>-226482.65845516225</v>
      </c>
      <c r="F6" s="157">
        <f>-'Sit. SP'!F232</f>
        <v>-244610.29424680554</v>
      </c>
      <c r="G6" s="157">
        <f>-'Sit. SP'!G232</f>
        <v>-257949.7660485534</v>
      </c>
      <c r="J6" s="156" t="s">
        <v>382</v>
      </c>
      <c r="K6" s="157"/>
      <c r="L6" s="157">
        <f>-'Sit. CP'!D233</f>
        <v>-214835.83672747746</v>
      </c>
      <c r="M6" s="157">
        <f>-'Sit. CP'!E233</f>
        <v>-220933.41603508266</v>
      </c>
      <c r="N6" s="157">
        <f>-'Sit. CP'!F233</f>
        <v>-238705.49453579122</v>
      </c>
      <c r="O6" s="157">
        <f>-'Sit. CP'!G233</f>
        <v>-251817.67635773408</v>
      </c>
    </row>
    <row r="7" spans="2:15" outlineLevel="1" x14ac:dyDescent="0.3">
      <c r="B7" s="158" t="s">
        <v>383</v>
      </c>
      <c r="C7" s="159"/>
      <c r="D7" s="159">
        <f>SUM(D5:D6)</f>
        <v>177065.4808598677</v>
      </c>
      <c r="E7" s="159">
        <f>SUM(E5:E6)</f>
        <v>182615.04874483775</v>
      </c>
      <c r="F7" s="159">
        <f>SUM(F5:F6)</f>
        <v>200179.79695319443</v>
      </c>
      <c r="G7" s="159">
        <f>SUM(G5:G6)</f>
        <v>213084.72515144659</v>
      </c>
      <c r="J7" s="158" t="s">
        <v>383</v>
      </c>
      <c r="K7" s="159"/>
      <c r="L7" s="159">
        <f>SUM(L5:L6)</f>
        <v>181454.60327252254</v>
      </c>
      <c r="M7" s="159">
        <f>SUM(M5:M6)</f>
        <v>188164.29116491735</v>
      </c>
      <c r="N7" s="159">
        <f>SUM(N5:N6)</f>
        <v>206084.59666420874</v>
      </c>
      <c r="O7" s="159">
        <f>SUM(O5:O6)</f>
        <v>219216.81484226591</v>
      </c>
    </row>
    <row r="8" spans="2:15" outlineLevel="1" x14ac:dyDescent="0.3">
      <c r="B8" s="156" t="s">
        <v>384</v>
      </c>
      <c r="C8" s="157"/>
      <c r="D8" s="157">
        <f>-'Sit. SP'!D248</f>
        <v>-19237.400000000001</v>
      </c>
      <c r="E8" s="157">
        <f>-'Sit. SP'!E248</f>
        <v>-19859.112000000001</v>
      </c>
      <c r="F8" s="157">
        <f>-'Sit. SP'!F248</f>
        <v>-21591.752</v>
      </c>
      <c r="G8" s="157">
        <f>-'Sit. SP'!G248</f>
        <v>-22865.752</v>
      </c>
      <c r="J8" s="156" t="s">
        <v>384</v>
      </c>
      <c r="K8" s="157"/>
      <c r="L8" s="157">
        <f>+-'Sit. CP'!D249</f>
        <v>-19237.400000000001</v>
      </c>
      <c r="M8" s="157">
        <f>+-'Sit. CP'!E249</f>
        <v>-19859.112000000001</v>
      </c>
      <c r="N8" s="157">
        <f>+-'Sit. CP'!F249</f>
        <v>-21591.752</v>
      </c>
      <c r="O8" s="157">
        <f>+-'Sit. CP'!G249</f>
        <v>-22865.752</v>
      </c>
    </row>
    <row r="9" spans="2:15" outlineLevel="1" x14ac:dyDescent="0.3">
      <c r="B9" s="156" t="s">
        <v>385</v>
      </c>
      <c r="C9" s="157"/>
      <c r="D9" s="157">
        <f>-'Sit. SP'!D241</f>
        <v>-65407.16</v>
      </c>
      <c r="E9" s="157">
        <f>-'Sit. SP'!E241</f>
        <v>-67520.980800000005</v>
      </c>
      <c r="F9" s="157">
        <f>-'Sit. SP'!F241</f>
        <v>-73411.9568</v>
      </c>
      <c r="G9" s="157">
        <f>-'Sit. SP'!G241</f>
        <v>-77743.556800000006</v>
      </c>
      <c r="J9" s="156" t="s">
        <v>385</v>
      </c>
      <c r="K9" s="157"/>
      <c r="L9" s="157">
        <f>-'Sit. CP'!D242</f>
        <v>-65407.16</v>
      </c>
      <c r="M9" s="157">
        <f>-'Sit. CP'!E242</f>
        <v>-67520.980800000005</v>
      </c>
      <c r="N9" s="157">
        <f>-'Sit. CP'!F242</f>
        <v>-73411.9568</v>
      </c>
      <c r="O9" s="157">
        <f>-'Sit. CP'!G242</f>
        <v>-77743.556800000006</v>
      </c>
    </row>
    <row r="10" spans="2:15" outlineLevel="1" x14ac:dyDescent="0.3">
      <c r="B10" s="156" t="s">
        <v>386</v>
      </c>
      <c r="C10" s="157"/>
      <c r="D10" s="157">
        <f>+'G.N.D. y V.R.'!D7</f>
        <v>0</v>
      </c>
      <c r="E10" s="157">
        <f>+'G.N.D. y V.R.'!E7</f>
        <v>0</v>
      </c>
      <c r="F10" s="157">
        <f>+'G.N.D. y V.R.'!F7</f>
        <v>0</v>
      </c>
      <c r="G10" s="157">
        <f>+'G.N.D. y V.R.'!G7</f>
        <v>0</v>
      </c>
      <c r="J10" s="156" t="s">
        <v>386</v>
      </c>
      <c r="K10" s="157"/>
      <c r="L10" s="157">
        <f>+'G.N.D. y V.R.'!C19</f>
        <v>0</v>
      </c>
      <c r="M10" s="157">
        <f>+'G.N.D. y V.R.'!D19</f>
        <v>0</v>
      </c>
      <c r="N10" s="157">
        <f>+'G.N.D. y V.R.'!E19</f>
        <v>0</v>
      </c>
      <c r="O10" s="157">
        <f>+'G.N.D. y V.R.'!F19</f>
        <v>0</v>
      </c>
    </row>
    <row r="11" spans="2:15" outlineLevel="1" x14ac:dyDescent="0.3">
      <c r="B11" s="156" t="s">
        <v>387</v>
      </c>
      <c r="C11" s="157"/>
      <c r="D11" s="157">
        <f>+'G.N.D. y V.R.'!C12</f>
        <v>0</v>
      </c>
      <c r="E11" s="157">
        <f>+'G.N.D. y V.R.'!D12</f>
        <v>0</v>
      </c>
      <c r="F11" s="157">
        <f>+'G.N.D. y V.R.'!E12</f>
        <v>0</v>
      </c>
      <c r="G11" s="157">
        <f>+'G.N.D. y V.R.'!F12</f>
        <v>0</v>
      </c>
      <c r="J11" s="156" t="s">
        <v>387</v>
      </c>
      <c r="K11" s="157"/>
      <c r="L11" s="157">
        <f>-'G.N.D. y V.R.'!D26</f>
        <v>-4752.75</v>
      </c>
      <c r="M11" s="157">
        <f>-'G.N.D. y V.R.'!E26</f>
        <v>-4752.75</v>
      </c>
      <c r="N11" s="157">
        <f>-'G.N.D. y V.R.'!F26</f>
        <v>-4752.75</v>
      </c>
      <c r="O11" s="157">
        <f>-'G.N.D. y V.R.'!G26</f>
        <v>-4752.75</v>
      </c>
    </row>
    <row r="12" spans="2:15" outlineLevel="1" x14ac:dyDescent="0.3">
      <c r="B12" s="158" t="s">
        <v>388</v>
      </c>
      <c r="C12" s="159"/>
      <c r="D12" s="159">
        <f>SUM(D7:D11)</f>
        <v>92420.920859867707</v>
      </c>
      <c r="E12" s="159">
        <f>SUM(E7:E11)</f>
        <v>95234.955944837755</v>
      </c>
      <c r="F12" s="159">
        <f>SUM(F7:F11)</f>
        <v>105176.08815319442</v>
      </c>
      <c r="G12" s="159">
        <f>SUM(G7:G11)</f>
        <v>112475.41635144658</v>
      </c>
      <c r="J12" s="158" t="s">
        <v>388</v>
      </c>
      <c r="K12" s="159"/>
      <c r="L12" s="159">
        <f>SUM(L7:L11)</f>
        <v>92057.29327252254</v>
      </c>
      <c r="M12" s="159">
        <f>SUM(M7:M11)</f>
        <v>96031.448364917349</v>
      </c>
      <c r="N12" s="159">
        <f>SUM(N7:N11)</f>
        <v>106328.13786420874</v>
      </c>
      <c r="O12" s="159">
        <f>SUM(O7:O11)</f>
        <v>113854.7560422659</v>
      </c>
    </row>
    <row r="13" spans="2:15" outlineLevel="1" x14ac:dyDescent="0.3">
      <c r="B13" s="156" t="s">
        <v>389</v>
      </c>
      <c r="C13" s="157"/>
      <c r="D13" s="157">
        <f>D12*(-29.5%)</f>
        <v>-27264.171653660971</v>
      </c>
      <c r="E13" s="157">
        <f>E12*(-29.5%)</f>
        <v>-28094.312003727136</v>
      </c>
      <c r="F13" s="157">
        <f>F12*(-29.5%)</f>
        <v>-31026.946005192352</v>
      </c>
      <c r="G13" s="157">
        <f>G12*(-29.5%)</f>
        <v>-33180.247823676735</v>
      </c>
      <c r="J13" s="156" t="s">
        <v>389</v>
      </c>
      <c r="K13" s="157"/>
      <c r="L13" s="157">
        <f>L12*(-29.5%)</f>
        <v>-27156.901515394147</v>
      </c>
      <c r="M13" s="157">
        <f>M12*(-29.5%)</f>
        <v>-28329.277267650617</v>
      </c>
      <c r="N13" s="157">
        <f>N12*(-29.5%)</f>
        <v>-31366.800669941575</v>
      </c>
      <c r="O13" s="157">
        <f>O12*(-29.5%)</f>
        <v>-33587.153032468435</v>
      </c>
    </row>
    <row r="14" spans="2:15" outlineLevel="1" x14ac:dyDescent="0.3">
      <c r="B14" s="158" t="s">
        <v>390</v>
      </c>
      <c r="C14" s="159"/>
      <c r="D14" s="159">
        <f>SUM(D12:D13)</f>
        <v>65156.749206206732</v>
      </c>
      <c r="E14" s="159">
        <f>SUM(E12:E13)</f>
        <v>67140.643941110611</v>
      </c>
      <c r="F14" s="159">
        <f>SUM(F12:F13)</f>
        <v>74149.142148002065</v>
      </c>
      <c r="G14" s="159">
        <f>SUM(G12:G13)</f>
        <v>79295.168527769842</v>
      </c>
      <c r="J14" s="158" t="s">
        <v>390</v>
      </c>
      <c r="K14" s="159"/>
      <c r="L14" s="159">
        <f>SUM(L12:L13)</f>
        <v>64900.391757128396</v>
      </c>
      <c r="M14" s="159">
        <f>SUM(M12:M13)</f>
        <v>67702.171097266735</v>
      </c>
      <c r="N14" s="159">
        <f>SUM(N12:N13)</f>
        <v>74961.337194267166</v>
      </c>
      <c r="O14" s="159">
        <f>SUM(O12:O13)</f>
        <v>80267.603009797458</v>
      </c>
    </row>
    <row r="15" spans="2:15" outlineLevel="1" x14ac:dyDescent="0.3">
      <c r="B15" s="156" t="s">
        <v>386</v>
      </c>
      <c r="C15" s="157"/>
      <c r="D15" s="157">
        <f t="shared" ref="D15:G16" si="0">-D10</f>
        <v>0</v>
      </c>
      <c r="E15" s="157">
        <f t="shared" si="0"/>
        <v>0</v>
      </c>
      <c r="F15" s="157">
        <f t="shared" si="0"/>
        <v>0</v>
      </c>
      <c r="G15" s="157">
        <f t="shared" si="0"/>
        <v>0</v>
      </c>
      <c r="J15" s="156" t="s">
        <v>386</v>
      </c>
      <c r="K15" s="157"/>
      <c r="L15" s="157">
        <f t="shared" ref="L15:O16" si="1">-L10</f>
        <v>0</v>
      </c>
      <c r="M15" s="157">
        <f t="shared" si="1"/>
        <v>0</v>
      </c>
      <c r="N15" s="157">
        <f t="shared" si="1"/>
        <v>0</v>
      </c>
      <c r="O15" s="157">
        <f t="shared" si="1"/>
        <v>0</v>
      </c>
    </row>
    <row r="16" spans="2:15" outlineLevel="1" x14ac:dyDescent="0.3">
      <c r="B16" s="156" t="s">
        <v>387</v>
      </c>
      <c r="C16" s="157"/>
      <c r="D16" s="157">
        <f t="shared" si="0"/>
        <v>0</v>
      </c>
      <c r="E16" s="157">
        <f t="shared" si="0"/>
        <v>0</v>
      </c>
      <c r="F16" s="157">
        <f t="shared" si="0"/>
        <v>0</v>
      </c>
      <c r="G16" s="157">
        <f t="shared" si="0"/>
        <v>0</v>
      </c>
      <c r="J16" s="156" t="s">
        <v>387</v>
      </c>
      <c r="K16" s="157"/>
      <c r="L16" s="157">
        <f t="shared" si="1"/>
        <v>4752.75</v>
      </c>
      <c r="M16" s="157">
        <f t="shared" si="1"/>
        <v>4752.75</v>
      </c>
      <c r="N16" s="157">
        <f t="shared" si="1"/>
        <v>4752.75</v>
      </c>
      <c r="O16" s="157">
        <f t="shared" si="1"/>
        <v>4752.75</v>
      </c>
    </row>
    <row r="17" spans="2:15" outlineLevel="1" x14ac:dyDescent="0.3">
      <c r="B17" s="158" t="s">
        <v>391</v>
      </c>
      <c r="C17" s="159"/>
      <c r="D17" s="159">
        <f>SUM(D14:D16)</f>
        <v>65156.749206206732</v>
      </c>
      <c r="E17" s="159">
        <f>SUM(E14:E16)</f>
        <v>67140.643941110611</v>
      </c>
      <c r="F17" s="159">
        <f>SUM(F14:F16)</f>
        <v>74149.142148002065</v>
      </c>
      <c r="G17" s="159">
        <f>SUM(G14:G16)</f>
        <v>79295.168527769842</v>
      </c>
      <c r="J17" s="158" t="s">
        <v>391</v>
      </c>
      <c r="K17" s="159"/>
      <c r="L17" s="159">
        <f>SUM(L14:L16)</f>
        <v>69653.141757128396</v>
      </c>
      <c r="M17" s="159">
        <f>SUM(M14:M16)</f>
        <v>72454.921097266735</v>
      </c>
      <c r="N17" s="159">
        <f>SUM(N14:N16)</f>
        <v>79714.087194267166</v>
      </c>
      <c r="O17" s="159">
        <f>SUM(O14:O16)</f>
        <v>85020.353009797458</v>
      </c>
    </row>
    <row r="18" spans="2:15" outlineLevel="1" x14ac:dyDescent="0.3">
      <c r="B18" s="156" t="s">
        <v>392</v>
      </c>
      <c r="C18" s="157"/>
      <c r="D18" s="157"/>
      <c r="E18" s="157"/>
      <c r="F18" s="157"/>
      <c r="G18" s="157"/>
      <c r="J18" s="156" t="s">
        <v>392</v>
      </c>
      <c r="K18" s="157"/>
      <c r="L18" s="157"/>
      <c r="M18" s="157"/>
      <c r="N18" s="157"/>
      <c r="O18" s="157"/>
    </row>
    <row r="19" spans="2:15" outlineLevel="1" x14ac:dyDescent="0.3">
      <c r="B19" s="156" t="s">
        <v>393</v>
      </c>
      <c r="C19" s="157"/>
      <c r="D19" s="157"/>
      <c r="E19" s="157"/>
      <c r="F19" s="157"/>
      <c r="G19" s="157"/>
      <c r="J19" s="156" t="s">
        <v>393</v>
      </c>
      <c r="K19" s="157">
        <f>-Inversiones!H6</f>
        <v>-19011</v>
      </c>
      <c r="L19" s="157"/>
      <c r="M19" s="157"/>
      <c r="N19" s="157"/>
      <c r="O19" s="157"/>
    </row>
    <row r="20" spans="2:15" outlineLevel="1" x14ac:dyDescent="0.3">
      <c r="B20" s="156" t="s">
        <v>394</v>
      </c>
      <c r="C20" s="157">
        <f>+Inversiones!D63</f>
        <v>-64124.666666666672</v>
      </c>
      <c r="D20" s="157">
        <f>+Inversiones!E63</f>
        <v>-2072.3733333333221</v>
      </c>
      <c r="E20" s="157">
        <f>+Inversiones!F63</f>
        <v>-5775.4666666666744</v>
      </c>
      <c r="F20" s="157">
        <f>+Inversiones!G63</f>
        <v>-4246.6666666666715</v>
      </c>
      <c r="G20" s="157"/>
      <c r="J20" s="156" t="s">
        <v>394</v>
      </c>
      <c r="K20" s="157">
        <f>Inversiones!D72</f>
        <v>-64124.666666666672</v>
      </c>
      <c r="L20" s="157">
        <f>Inversiones!E72</f>
        <v>-2072.3733333333221</v>
      </c>
      <c r="M20" s="157">
        <f>Inversiones!F72</f>
        <v>-5775.4666666666744</v>
      </c>
      <c r="N20" s="157">
        <f>Inversiones!G72</f>
        <v>-4246.6666666666715</v>
      </c>
      <c r="O20" s="157"/>
    </row>
    <row r="21" spans="2:15" outlineLevel="1" x14ac:dyDescent="0.3">
      <c r="B21" s="156" t="s">
        <v>395</v>
      </c>
      <c r="C21" s="157"/>
      <c r="D21" s="157"/>
      <c r="E21" s="157"/>
      <c r="F21" s="157"/>
      <c r="G21" s="157">
        <f>+Inversiones!H64</f>
        <v>76219.17333333334</v>
      </c>
      <c r="J21" s="156" t="s">
        <v>395</v>
      </c>
      <c r="K21" s="157"/>
      <c r="L21" s="157"/>
      <c r="M21" s="157"/>
      <c r="N21" s="157"/>
      <c r="O21" s="157">
        <f>+Inversiones!H73</f>
        <v>76219.17333333334</v>
      </c>
    </row>
    <row r="22" spans="2:15" outlineLevel="1" x14ac:dyDescent="0.3">
      <c r="B22" s="156" t="s">
        <v>396</v>
      </c>
      <c r="C22" s="157"/>
      <c r="D22" s="157"/>
      <c r="E22" s="157"/>
      <c r="F22" s="157"/>
      <c r="G22" s="157"/>
      <c r="J22" s="156" t="s">
        <v>396</v>
      </c>
      <c r="K22" s="157"/>
      <c r="L22" s="157"/>
      <c r="M22" s="157"/>
      <c r="N22" s="157"/>
      <c r="O22" s="157"/>
    </row>
    <row r="23" spans="2:15" outlineLevel="1" x14ac:dyDescent="0.3">
      <c r="B23" s="158" t="s">
        <v>397</v>
      </c>
      <c r="C23" s="159">
        <f t="shared" ref="C23:G23" si="2">SUM(C18:C22)</f>
        <v>-64124.666666666672</v>
      </c>
      <c r="D23" s="159">
        <f t="shared" si="2"/>
        <v>-2072.3733333333221</v>
      </c>
      <c r="E23" s="159">
        <f t="shared" si="2"/>
        <v>-5775.4666666666744</v>
      </c>
      <c r="F23" s="159">
        <f t="shared" si="2"/>
        <v>-4246.6666666666715</v>
      </c>
      <c r="G23" s="159">
        <f t="shared" si="2"/>
        <v>76219.17333333334</v>
      </c>
      <c r="J23" s="158" t="s">
        <v>397</v>
      </c>
      <c r="K23" s="159">
        <f t="shared" ref="K23:O23" si="3">SUM(K18:K22)</f>
        <v>-83135.666666666672</v>
      </c>
      <c r="L23" s="159">
        <f t="shared" si="3"/>
        <v>-2072.3733333333221</v>
      </c>
      <c r="M23" s="159">
        <f t="shared" si="3"/>
        <v>-5775.4666666666744</v>
      </c>
      <c r="N23" s="159">
        <f t="shared" si="3"/>
        <v>-4246.6666666666715</v>
      </c>
      <c r="O23" s="159">
        <f t="shared" si="3"/>
        <v>76219.17333333334</v>
      </c>
    </row>
    <row r="24" spans="2:15" outlineLevel="1" x14ac:dyDescent="0.3">
      <c r="B24" s="160" t="s">
        <v>398</v>
      </c>
      <c r="C24" s="161">
        <f t="shared" ref="C24:G24" si="4">+C17+C23</f>
        <v>-64124.666666666672</v>
      </c>
      <c r="D24" s="161">
        <f t="shared" si="4"/>
        <v>63084.37587287341</v>
      </c>
      <c r="E24" s="161">
        <f t="shared" si="4"/>
        <v>61365.177274443937</v>
      </c>
      <c r="F24" s="161">
        <f t="shared" si="4"/>
        <v>69902.475481335394</v>
      </c>
      <c r="G24" s="161">
        <f t="shared" si="4"/>
        <v>155514.3418611032</v>
      </c>
      <c r="J24" s="160" t="s">
        <v>399</v>
      </c>
      <c r="K24" s="161">
        <f t="shared" ref="K24:O24" si="5">+K17+K23</f>
        <v>-83135.666666666672</v>
      </c>
      <c r="L24" s="161">
        <f t="shared" si="5"/>
        <v>67580.768423795074</v>
      </c>
      <c r="M24" s="161">
        <f t="shared" si="5"/>
        <v>66679.454430600061</v>
      </c>
      <c r="N24" s="161">
        <f t="shared" si="5"/>
        <v>75467.420527600494</v>
      </c>
      <c r="O24" s="161">
        <f t="shared" si="5"/>
        <v>161239.5263431308</v>
      </c>
    </row>
    <row r="25" spans="2:15" outlineLevel="1" x14ac:dyDescent="0.3"/>
    <row r="26" spans="2:15" outlineLevel="1" x14ac:dyDescent="0.3">
      <c r="B26" s="162" t="s">
        <v>400</v>
      </c>
      <c r="C26" s="163">
        <f>+K24-C24</f>
        <v>-19011</v>
      </c>
      <c r="D26" s="163">
        <f>+L24-D24</f>
        <v>4496.3925509216642</v>
      </c>
      <c r="E26" s="163">
        <f>+M24-E24</f>
        <v>5314.277156156124</v>
      </c>
      <c r="F26" s="163">
        <f>+N24-F24</f>
        <v>5564.9450462651002</v>
      </c>
      <c r="G26" s="163">
        <f>+O24-G24</f>
        <v>5725.1844820276019</v>
      </c>
    </row>
    <row r="27" spans="2:15" outlineLevel="1" x14ac:dyDescent="0.3">
      <c r="B27" s="154" t="s">
        <v>401</v>
      </c>
      <c r="C27" s="164">
        <f>+C26</f>
        <v>-19011</v>
      </c>
      <c r="D27" s="164">
        <f>+D26/(1+TD!$D$6)^D3</f>
        <v>4378.5587999840318</v>
      </c>
      <c r="E27" s="164">
        <f>+E26/(1+TD!$D$6)^E3</f>
        <v>5039.391901055732</v>
      </c>
      <c r="F27" s="164">
        <f>+F26/(1+TD!$D$6)^F3</f>
        <v>5138.8007618942665</v>
      </c>
      <c r="G27" s="164">
        <f>+G26/(1+TD!$D$6)^G3</f>
        <v>5148.2230160961126</v>
      </c>
    </row>
    <row r="28" spans="2:15" outlineLevel="1" x14ac:dyDescent="0.3">
      <c r="B28" s="154" t="s">
        <v>402</v>
      </c>
      <c r="C28" s="164">
        <f>+C27</f>
        <v>-19011</v>
      </c>
      <c r="D28" s="164">
        <f>+C28+D27</f>
        <v>-14632.441200015968</v>
      </c>
      <c r="E28" s="164">
        <f>+D28+E27</f>
        <v>-9593.0492989602353</v>
      </c>
      <c r="F28" s="164">
        <f>+E28+F27</f>
        <v>-4454.2485370659688</v>
      </c>
      <c r="G28" s="164">
        <f>+F28+G27</f>
        <v>693.97447903014381</v>
      </c>
    </row>
    <row r="29" spans="2:15" outlineLevel="1" x14ac:dyDescent="0.3">
      <c r="C29" s="164"/>
      <c r="D29" s="165" t="str">
        <f>+IF(D28&gt;0,C3+(ABS(C28)/D27),"-")</f>
        <v>-</v>
      </c>
      <c r="E29" s="165" t="str">
        <f>+IF(E28&gt;0,D3+(ABS(D28)/E27),"-")</f>
        <v>-</v>
      </c>
      <c r="F29" s="165" t="str">
        <f>+IF(F28&gt;0,E3+(ABS(E28)/F27),"-")</f>
        <v>-</v>
      </c>
      <c r="G29" s="165">
        <f>+IF(G28&gt;0,F3+(ABS(F28)/G27),"-")</f>
        <v>3.8652011622533822</v>
      </c>
    </row>
    <row r="31" spans="2:15" x14ac:dyDescent="0.3">
      <c r="B31" s="266" t="s">
        <v>403</v>
      </c>
      <c r="C31" s="267"/>
      <c r="D31" s="267"/>
      <c r="E31" s="267"/>
      <c r="F31" s="267"/>
      <c r="G31" s="267"/>
      <c r="H31" s="267"/>
      <c r="I31" s="267"/>
      <c r="J31" s="267"/>
      <c r="K31" s="267"/>
      <c r="L31" s="267"/>
      <c r="M31" s="267"/>
      <c r="N31" s="267"/>
      <c r="O31" s="267"/>
    </row>
    <row r="32" spans="2:15" outlineLevel="1" x14ac:dyDescent="0.3">
      <c r="C32" s="166"/>
    </row>
    <row r="33" spans="2:15" outlineLevel="1" x14ac:dyDescent="0.3">
      <c r="B33" s="167" t="s">
        <v>404</v>
      </c>
      <c r="C33" s="168">
        <f>+NPV(TD!D6,D26:G26)+C26</f>
        <v>693.97447903014472</v>
      </c>
    </row>
    <row r="34" spans="2:15" outlineLevel="1" x14ac:dyDescent="0.3">
      <c r="B34" s="167" t="s">
        <v>405</v>
      </c>
      <c r="C34" s="175">
        <f>+IRR(C26:G26)</f>
        <v>4.143719006089408E-2</v>
      </c>
    </row>
    <row r="35" spans="2:15" outlineLevel="1" x14ac:dyDescent="0.3">
      <c r="B35" s="167" t="s">
        <v>406</v>
      </c>
      <c r="C35" s="168">
        <f>+NPV(TD!D6,D26:G26)/(-C26)</f>
        <v>1.0365038387791354</v>
      </c>
    </row>
    <row r="36" spans="2:15" outlineLevel="1" x14ac:dyDescent="0.3">
      <c r="B36" s="167" t="s">
        <v>407</v>
      </c>
      <c r="C36" s="168">
        <f>+IF(SUM(D29:G29)=0,"Más de 5 años",MIN(D29:G29))</f>
        <v>3.8652011622533822</v>
      </c>
    </row>
    <row r="37" spans="2:15" outlineLevel="1" x14ac:dyDescent="0.3"/>
    <row r="39" spans="2:15" x14ac:dyDescent="0.3">
      <c r="B39" s="266" t="s">
        <v>408</v>
      </c>
      <c r="C39" s="267"/>
      <c r="D39" s="267"/>
      <c r="E39" s="267"/>
      <c r="F39" s="267"/>
      <c r="G39" s="267"/>
      <c r="H39" s="267"/>
      <c r="I39" s="267"/>
      <c r="J39" s="267"/>
      <c r="K39" s="267"/>
      <c r="L39" s="267"/>
      <c r="M39" s="267"/>
      <c r="N39" s="267"/>
      <c r="O39" s="267"/>
    </row>
    <row r="40" spans="2:15" outlineLevel="1" x14ac:dyDescent="0.3"/>
    <row r="41" spans="2:15" ht="14.4" outlineLevel="1" x14ac:dyDescent="0.3">
      <c r="B41" s="268" t="s">
        <v>409</v>
      </c>
      <c r="C41" s="268"/>
      <c r="D41" s="155" t="s">
        <v>410</v>
      </c>
      <c r="J41" s="189" t="s">
        <v>473</v>
      </c>
      <c r="K41"/>
      <c r="L41"/>
      <c r="M41"/>
      <c r="N41"/>
      <c r="O41"/>
    </row>
    <row r="42" spans="2:15" ht="15" outlineLevel="1" thickBot="1" x14ac:dyDescent="0.35">
      <c r="B42" s="169" t="s">
        <v>27</v>
      </c>
      <c r="C42" s="170"/>
      <c r="D42" s="173">
        <v>3.92</v>
      </c>
      <c r="J42"/>
      <c r="K42"/>
      <c r="L42"/>
      <c r="M42"/>
      <c r="N42"/>
      <c r="O42"/>
    </row>
    <row r="43" spans="2:15" ht="15" outlineLevel="1" thickBot="1" x14ac:dyDescent="0.35">
      <c r="B43" s="169" t="s">
        <v>106</v>
      </c>
      <c r="C43" s="170"/>
      <c r="D43" s="174">
        <v>1.38E-2</v>
      </c>
      <c r="J43" s="188" t="s">
        <v>478</v>
      </c>
      <c r="K43" s="176">
        <f>+D43</f>
        <v>1.38E-2</v>
      </c>
      <c r="L43"/>
      <c r="M43"/>
      <c r="N43"/>
      <c r="O43"/>
    </row>
    <row r="44" spans="2:15" ht="14.4" outlineLevel="1" x14ac:dyDescent="0.3">
      <c r="B44" s="169" t="s">
        <v>230</v>
      </c>
      <c r="C44" s="170"/>
      <c r="D44" s="174">
        <v>4.2000000000000003E-2</v>
      </c>
      <c r="J44"/>
      <c r="K44"/>
      <c r="L44"/>
      <c r="M44"/>
      <c r="N44"/>
      <c r="O44"/>
    </row>
    <row r="45" spans="2:15" ht="14.4" outlineLevel="1" x14ac:dyDescent="0.3">
      <c r="B45" s="169" t="s">
        <v>231</v>
      </c>
      <c r="C45" s="170"/>
      <c r="D45" s="174">
        <v>2.8000000000000001E-2</v>
      </c>
      <c r="J45"/>
      <c r="K45"/>
      <c r="L45"/>
      <c r="M45"/>
      <c r="N45"/>
      <c r="O45"/>
    </row>
    <row r="46" spans="2:15" ht="26.4" outlineLevel="1" x14ac:dyDescent="0.3">
      <c r="B46" s="169" t="s">
        <v>232</v>
      </c>
      <c r="C46" s="170"/>
      <c r="D46" s="174">
        <v>2.4E-2</v>
      </c>
      <c r="J46"/>
      <c r="K46" s="181"/>
      <c r="L46" s="180" t="s">
        <v>474</v>
      </c>
      <c r="M46" s="178" t="s">
        <v>475</v>
      </c>
      <c r="N46" s="178" t="s">
        <v>476</v>
      </c>
      <c r="O46" s="178" t="s">
        <v>477</v>
      </c>
    </row>
    <row r="47" spans="2:15" ht="14.4" outlineLevel="1" x14ac:dyDescent="0.3">
      <c r="B47" s="169" t="s">
        <v>468</v>
      </c>
      <c r="C47" s="170"/>
      <c r="D47" s="174">
        <v>5.3999999999999999E-2</v>
      </c>
      <c r="J47"/>
      <c r="K47" s="182"/>
      <c r="L47" s="187">
        <f>+C33</f>
        <v>693.97447903014472</v>
      </c>
      <c r="M47" s="185">
        <f>+C34</f>
        <v>4.143719006089408E-2</v>
      </c>
      <c r="N47" s="179">
        <f>+C35</f>
        <v>1.0365038387791354</v>
      </c>
      <c r="O47" s="179">
        <f>+C36</f>
        <v>3.8652011622533822</v>
      </c>
    </row>
    <row r="48" spans="2:15" ht="14.4" outlineLevel="1" x14ac:dyDescent="0.3">
      <c r="B48" s="169" t="s">
        <v>469</v>
      </c>
      <c r="C48" s="170"/>
      <c r="D48" s="174">
        <v>6.2E-2</v>
      </c>
      <c r="J48"/>
      <c r="K48" s="183">
        <v>1E-3</v>
      </c>
      <c r="L48" s="164">
        <f t="dataTable" ref="L48:O53" dt2D="0" dtr="0" r1="D43" ca="1"/>
        <v>7601.5444331936269</v>
      </c>
      <c r="M48" s="177">
        <v>0.17654971112693385</v>
      </c>
      <c r="N48" s="186">
        <v>1.3998497939715757</v>
      </c>
      <c r="O48" s="165">
        <v>2.9080578786527167</v>
      </c>
    </row>
    <row r="49" spans="2:19" ht="14.4" x14ac:dyDescent="0.3">
      <c r="B49" s="169" t="s">
        <v>470</v>
      </c>
      <c r="C49" s="170"/>
      <c r="D49" s="174">
        <v>4.4999999999999998E-2</v>
      </c>
      <c r="J49"/>
      <c r="K49" s="184">
        <v>2.5000000000000001E-3</v>
      </c>
      <c r="L49" s="164">
        <v>6792.063579190115</v>
      </c>
      <c r="M49" s="177">
        <v>0.16145706994013032</v>
      </c>
      <c r="N49" s="186">
        <v>1.3572701898474628</v>
      </c>
      <c r="O49" s="165">
        <v>2.9942861615372767</v>
      </c>
    </row>
    <row r="50" spans="2:19" ht="14.4" x14ac:dyDescent="0.3">
      <c r="B50" s="169" t="s">
        <v>471</v>
      </c>
      <c r="C50" s="170"/>
      <c r="D50" s="174">
        <v>1.4999999999999999E-2</v>
      </c>
      <c r="J50"/>
      <c r="K50" s="184">
        <f t="shared" ref="K50:K53" si="6">+K49+0.0025</f>
        <v>5.0000000000000001E-3</v>
      </c>
      <c r="L50" s="164">
        <v>5442.9288225175333</v>
      </c>
      <c r="M50" s="177">
        <v>0.1359177033083725</v>
      </c>
      <c r="N50" s="186">
        <v>1.2863041829739379</v>
      </c>
      <c r="O50" s="197">
        <v>3.1493547679902809</v>
      </c>
    </row>
    <row r="51" spans="2:19" ht="14.4" x14ac:dyDescent="0.3">
      <c r="B51" s="169" t="s">
        <v>472</v>
      </c>
      <c r="C51" s="170"/>
      <c r="D51" s="174">
        <v>7.5999999999999998E-2</v>
      </c>
      <c r="J51"/>
      <c r="K51" s="184">
        <f t="shared" si="6"/>
        <v>7.4999999999999997E-3</v>
      </c>
      <c r="L51" s="164">
        <v>4093.7940658449479</v>
      </c>
      <c r="M51" s="177">
        <v>0.10985378546249214</v>
      </c>
      <c r="N51" s="186">
        <v>1.2153381761004127</v>
      </c>
      <c r="O51" s="197">
        <v>3.3225975982341147</v>
      </c>
    </row>
    <row r="52" spans="2:19" ht="14.4" x14ac:dyDescent="0.3">
      <c r="J52"/>
      <c r="K52" s="184">
        <f t="shared" si="6"/>
        <v>0.01</v>
      </c>
      <c r="L52" s="164">
        <v>2744.6593091724026</v>
      </c>
      <c r="M52" s="177">
        <v>8.3207968589582348E-2</v>
      </c>
      <c r="N52" s="186">
        <v>1.1443721692268898</v>
      </c>
      <c r="O52" s="197">
        <v>3.5174779879601235</v>
      </c>
    </row>
    <row r="53" spans="2:19" ht="14.4" x14ac:dyDescent="0.3">
      <c r="J53"/>
      <c r="K53" s="184">
        <f t="shared" si="6"/>
        <v>1.2500000000000001E-2</v>
      </c>
      <c r="L53" s="164">
        <v>1395.5245524998973</v>
      </c>
      <c r="M53" s="177">
        <v>5.5912991583637606E-2</v>
      </c>
      <c r="N53" s="186">
        <v>1.0734061623533691</v>
      </c>
      <c r="O53" s="197">
        <v>3.7383196562748227</v>
      </c>
    </row>
    <row r="56" spans="2:19" ht="14.4" x14ac:dyDescent="0.3">
      <c r="J56" s="189" t="s">
        <v>479</v>
      </c>
      <c r="K56"/>
      <c r="L56"/>
      <c r="M56"/>
      <c r="N56"/>
      <c r="O56"/>
      <c r="P56"/>
      <c r="Q56"/>
      <c r="R56"/>
      <c r="S56"/>
    </row>
    <row r="57" spans="2:19" ht="15" thickBot="1" x14ac:dyDescent="0.35">
      <c r="J57"/>
      <c r="K57"/>
      <c r="L57"/>
      <c r="M57"/>
      <c r="N57"/>
      <c r="O57"/>
      <c r="P57"/>
      <c r="Q57"/>
      <c r="R57"/>
      <c r="S57"/>
    </row>
    <row r="58" spans="2:19" ht="15" thickBot="1" x14ac:dyDescent="0.35">
      <c r="J58" s="188" t="s">
        <v>478</v>
      </c>
      <c r="K58" s="176">
        <f>+D43</f>
        <v>1.38E-2</v>
      </c>
      <c r="L58"/>
      <c r="M58"/>
      <c r="N58"/>
      <c r="O58"/>
      <c r="P58"/>
      <c r="Q58"/>
      <c r="R58"/>
      <c r="S58"/>
    </row>
    <row r="59" spans="2:19" ht="15" thickBot="1" x14ac:dyDescent="0.35">
      <c r="J59" s="188" t="s">
        <v>480</v>
      </c>
      <c r="K59" s="176">
        <f>+D45</f>
        <v>2.8000000000000001E-2</v>
      </c>
      <c r="L59"/>
      <c r="M59"/>
      <c r="N59"/>
      <c r="O59"/>
      <c r="P59"/>
      <c r="Q59"/>
      <c r="R59"/>
      <c r="S59"/>
    </row>
    <row r="60" spans="2:19" ht="14.4" x14ac:dyDescent="0.3">
      <c r="J60"/>
      <c r="K60"/>
      <c r="L60"/>
      <c r="M60"/>
      <c r="N60"/>
      <c r="O60"/>
      <c r="P60"/>
      <c r="Q60"/>
      <c r="R60"/>
      <c r="S60"/>
    </row>
    <row r="61" spans="2:19" x14ac:dyDescent="0.3">
      <c r="J61" s="180" t="s">
        <v>474</v>
      </c>
      <c r="K61" s="181"/>
      <c r="L61" s="270" t="s">
        <v>480</v>
      </c>
      <c r="M61" s="271"/>
      <c r="N61" s="271"/>
      <c r="O61" s="271"/>
      <c r="P61" s="271"/>
      <c r="Q61" s="271"/>
      <c r="R61" s="271"/>
      <c r="S61" s="272"/>
    </row>
    <row r="62" spans="2:19" ht="14.4" x14ac:dyDescent="0.3">
      <c r="J62"/>
      <c r="K62" s="190">
        <f>+C33</f>
        <v>693.97447903014472</v>
      </c>
      <c r="L62" s="198">
        <v>7.4999999999999997E-3</v>
      </c>
      <c r="M62" s="195">
        <f>+L62+0.004</f>
        <v>1.15E-2</v>
      </c>
      <c r="N62" s="195">
        <f t="shared" ref="N62:S62" si="7">+M62+0.004</f>
        <v>1.55E-2</v>
      </c>
      <c r="O62" s="195">
        <f t="shared" si="7"/>
        <v>1.95E-2</v>
      </c>
      <c r="P62" s="195">
        <f t="shared" si="7"/>
        <v>2.35E-2</v>
      </c>
      <c r="Q62" s="195">
        <f t="shared" si="7"/>
        <v>2.75E-2</v>
      </c>
      <c r="R62" s="195">
        <f t="shared" si="7"/>
        <v>3.15E-2</v>
      </c>
      <c r="S62" s="196">
        <f t="shared" si="7"/>
        <v>3.5500000000000004E-2</v>
      </c>
    </row>
    <row r="63" spans="2:19" x14ac:dyDescent="0.3">
      <c r="J63" s="269" t="s">
        <v>478</v>
      </c>
      <c r="K63" s="191">
        <f>+K48</f>
        <v>1E-3</v>
      </c>
      <c r="L63" s="164">
        <f t="dataTable" ref="L63:S68" dt2D="1" dtr="1" r1="D45" r2="D43"/>
        <v>8044.3360482509415</v>
      </c>
      <c r="M63" s="192">
        <v>7957.9376843373175</v>
      </c>
      <c r="N63" s="164">
        <v>7871.5393204236971</v>
      </c>
      <c r="O63" s="164">
        <v>7785.140956510113</v>
      </c>
      <c r="P63" s="164">
        <v>7698.7425925964781</v>
      </c>
      <c r="Q63" s="192">
        <v>7612.3442286828176</v>
      </c>
      <c r="R63" s="164">
        <v>7525.9458647692154</v>
      </c>
      <c r="S63" s="164">
        <v>7439.5475008555804</v>
      </c>
    </row>
    <row r="64" spans="2:19" x14ac:dyDescent="0.3">
      <c r="J64" s="269"/>
      <c r="K64" s="193">
        <f t="shared" ref="K64:K68" si="8">+K49</f>
        <v>2.5000000000000001E-3</v>
      </c>
      <c r="L64" s="164">
        <v>7234.8551942474514</v>
      </c>
      <c r="M64" s="192">
        <v>7148.4568303338201</v>
      </c>
      <c r="N64" s="164">
        <v>7062.0584664201451</v>
      </c>
      <c r="O64" s="164">
        <v>6975.6601025065502</v>
      </c>
      <c r="P64" s="164">
        <v>6889.2617385929552</v>
      </c>
      <c r="Q64" s="192">
        <v>6802.8633746792948</v>
      </c>
      <c r="R64" s="164">
        <v>6716.4650107657108</v>
      </c>
      <c r="S64" s="164">
        <v>6630.0666468520722</v>
      </c>
    </row>
    <row r="65" spans="10:19" x14ac:dyDescent="0.3">
      <c r="J65" s="269"/>
      <c r="K65" s="193">
        <f t="shared" si="8"/>
        <v>5.0000000000000001E-3</v>
      </c>
      <c r="L65" s="164">
        <v>5885.7204375748333</v>
      </c>
      <c r="M65" s="192">
        <v>5799.3220736612493</v>
      </c>
      <c r="N65" s="164">
        <v>5712.9237097476143</v>
      </c>
      <c r="O65" s="164">
        <v>5626.5253458339721</v>
      </c>
      <c r="P65" s="164">
        <v>5540.1269819203517</v>
      </c>
      <c r="Q65" s="192">
        <v>5453.7286180067531</v>
      </c>
      <c r="R65" s="164">
        <v>5367.3302540931363</v>
      </c>
      <c r="S65" s="164">
        <v>5280.9318901795232</v>
      </c>
    </row>
    <row r="66" spans="10:19" x14ac:dyDescent="0.3">
      <c r="J66" s="269"/>
      <c r="K66" s="193">
        <f t="shared" si="8"/>
        <v>7.4999999999999997E-3</v>
      </c>
      <c r="L66" s="164">
        <v>4536.5856809022735</v>
      </c>
      <c r="M66" s="192">
        <v>4450.187316988653</v>
      </c>
      <c r="N66" s="164">
        <v>4363.7889530750072</v>
      </c>
      <c r="O66" s="164">
        <v>4277.3905891613904</v>
      </c>
      <c r="P66" s="164">
        <v>4190.9922252478245</v>
      </c>
      <c r="Q66" s="192">
        <v>4104.5938613342005</v>
      </c>
      <c r="R66" s="164">
        <v>4018.195497420551</v>
      </c>
      <c r="S66" s="164">
        <v>3931.7971335069415</v>
      </c>
    </row>
    <row r="67" spans="10:19" x14ac:dyDescent="0.3">
      <c r="J67" s="269"/>
      <c r="K67" s="193">
        <f t="shared" si="8"/>
        <v>0.01</v>
      </c>
      <c r="L67" s="164">
        <v>3187.4509242297027</v>
      </c>
      <c r="M67" s="192">
        <v>3101.0525603161077</v>
      </c>
      <c r="N67" s="164">
        <v>3014.6541964024691</v>
      </c>
      <c r="O67" s="164">
        <v>2928.2558324888305</v>
      </c>
      <c r="P67" s="164">
        <v>2841.8574685752355</v>
      </c>
      <c r="Q67" s="192">
        <v>2755.4591046615897</v>
      </c>
      <c r="R67" s="164">
        <v>2669.0607407479765</v>
      </c>
      <c r="S67" s="164">
        <v>2582.6623768343561</v>
      </c>
    </row>
    <row r="68" spans="10:19" x14ac:dyDescent="0.3">
      <c r="J68" s="269"/>
      <c r="K68" s="194">
        <f t="shared" si="8"/>
        <v>1.2500000000000001E-2</v>
      </c>
      <c r="L68" s="164">
        <v>1838.3161675572119</v>
      </c>
      <c r="M68" s="192">
        <v>1751.9178036436206</v>
      </c>
      <c r="N68" s="164">
        <v>1665.5194397299892</v>
      </c>
      <c r="O68" s="164">
        <v>1579.121075816347</v>
      </c>
      <c r="P68" s="164">
        <v>1492.7227119027339</v>
      </c>
      <c r="Q68" s="192">
        <v>1406.3243479891244</v>
      </c>
      <c r="R68" s="164">
        <v>1319.9259840754894</v>
      </c>
      <c r="S68" s="164">
        <v>1233.5276201618653</v>
      </c>
    </row>
  </sheetData>
  <scenarios current="1" show="1" sqref="C33:C36">
    <scenario name="Pesimista" locked="1" count="9" user="Usuario">
      <inputCells r="D43" val="0.012" numFmtId="10"/>
      <inputCells r="D44" val="0.075" numFmtId="10"/>
      <inputCells r="D45" val="0.046" numFmtId="10"/>
      <inputCells r="D46" val="0.063" numFmtId="10"/>
      <inputCells r="D47" val="0.058" numFmtId="4"/>
      <inputCells r="D48" val="0.062" numFmtId="10"/>
      <inputCells r="D49" val="0.034" numFmtId="10"/>
      <inputCells r="D50" val="0.016" numFmtId="10"/>
      <inputCells r="D51" val="0.068" numFmtId="10"/>
    </scenario>
    <scenario name="Moderado" locked="1" count="9" user="Usuario" comment="Creado por Usuario el 8/06/2022_x000a_Modificado por Usuario el 8/06/2022">
      <inputCells r="D43" val="0.0052" numFmtId="10"/>
      <inputCells r="D44" val="0.041" numFmtId="10"/>
      <inputCells r="D45" val="0.024" numFmtId="10"/>
      <inputCells r="D46" val="0.045" numFmtId="10"/>
      <inputCells r="D47" val="0.034" numFmtId="4"/>
      <inputCells r="D48" val="0.043" numFmtId="10"/>
      <inputCells r="D49" val="0.022" numFmtId="10"/>
      <inputCells r="D50" val="0.01" numFmtId="10"/>
      <inputCells r="D51" val="0.042" numFmtId="10"/>
    </scenario>
    <scenario name="Optimista" locked="1" count="9" user="Usuario">
      <inputCells r="D43" val="0.0015" numFmtId="10"/>
      <inputCells r="D44" val="0.021" numFmtId="10"/>
      <inputCells r="D45" val="0.009" numFmtId="10"/>
      <inputCells r="D46" val="0.018" numFmtId="10"/>
      <inputCells r="D47" val="0.018" numFmtId="4"/>
      <inputCells r="D48" val="0.021" numFmtId="10"/>
      <inputCells r="D49" val="0.016" numFmtId="10"/>
      <inputCells r="D50" val="0.007" numFmtId="10"/>
      <inputCells r="D51" val="0.021" numFmtId="10"/>
    </scenario>
  </scenarios>
  <mergeCells count="6">
    <mergeCell ref="B2:O2"/>
    <mergeCell ref="B31:O31"/>
    <mergeCell ref="B39:O39"/>
    <mergeCell ref="B41:C41"/>
    <mergeCell ref="J63:J68"/>
    <mergeCell ref="L61:S6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DBB3-A03E-4979-812F-F5875D437317}">
  <sheetPr>
    <outlinePr summaryBelow="0" summaryRight="0"/>
  </sheetPr>
  <dimension ref="A2:G270"/>
  <sheetViews>
    <sheetView showGridLines="0" topLeftCell="A3" zoomScaleNormal="100" workbookViewId="0">
      <selection activeCell="A210" sqref="A210"/>
    </sheetView>
  </sheetViews>
  <sheetFormatPr baseColWidth="10" defaultColWidth="11.44140625" defaultRowHeight="14.4" outlineLevelRow="3" x14ac:dyDescent="0.35"/>
  <cols>
    <col min="1" max="1" width="1.88671875" style="64" customWidth="1"/>
    <col min="2" max="2" width="40.44140625" style="64" customWidth="1"/>
    <col min="3" max="7" width="18.5546875" style="64" customWidth="1"/>
    <col min="8" max="16384" width="11.44140625" style="64"/>
  </cols>
  <sheetData>
    <row r="2" spans="2:7" x14ac:dyDescent="0.35">
      <c r="B2" s="252" t="s">
        <v>252</v>
      </c>
      <c r="C2" s="252"/>
      <c r="D2" s="252"/>
      <c r="E2" s="252"/>
      <c r="F2" s="252"/>
      <c r="G2" s="252"/>
    </row>
    <row r="5" spans="2:7" x14ac:dyDescent="0.35">
      <c r="C5" s="111" t="s">
        <v>533</v>
      </c>
      <c r="D5" s="111" t="s">
        <v>529</v>
      </c>
      <c r="E5" s="111" t="s">
        <v>530</v>
      </c>
      <c r="F5" s="111" t="s">
        <v>531</v>
      </c>
      <c r="G5" s="111" t="s">
        <v>532</v>
      </c>
    </row>
    <row r="6" spans="2:7" x14ac:dyDescent="0.35">
      <c r="C6" s="75" t="s">
        <v>121</v>
      </c>
      <c r="D6" s="75" t="s">
        <v>8</v>
      </c>
      <c r="E6" s="75" t="s">
        <v>7</v>
      </c>
      <c r="F6" s="75" t="s">
        <v>6</v>
      </c>
      <c r="G6" s="75" t="s">
        <v>5</v>
      </c>
    </row>
    <row r="7" spans="2:7" x14ac:dyDescent="0.35">
      <c r="B7" s="81" t="s">
        <v>255</v>
      </c>
      <c r="C7" s="81"/>
      <c r="D7" s="79">
        <f>+D8+D9</f>
        <v>396290.44</v>
      </c>
      <c r="E7" s="79">
        <f t="shared" ref="E7:G7" si="0">+E8+E9</f>
        <v>409097.7072</v>
      </c>
      <c r="F7" s="79">
        <f t="shared" si="0"/>
        <v>444790.09119999997</v>
      </c>
      <c r="G7" s="79">
        <f t="shared" si="0"/>
        <v>471034.49119999999</v>
      </c>
    </row>
    <row r="8" spans="2:7" x14ac:dyDescent="0.35">
      <c r="B8" s="98" t="s">
        <v>253</v>
      </c>
      <c r="C8" s="98"/>
      <c r="D8" s="85">
        <f>+D17</f>
        <v>384748</v>
      </c>
      <c r="E8" s="85">
        <f t="shared" ref="E8:G8" si="1">+E17</f>
        <v>397182.24</v>
      </c>
      <c r="F8" s="85">
        <f t="shared" si="1"/>
        <v>431835.04</v>
      </c>
      <c r="G8" s="85">
        <f t="shared" si="1"/>
        <v>457315.04</v>
      </c>
    </row>
    <row r="9" spans="2:7" x14ac:dyDescent="0.35">
      <c r="B9" s="98" t="s">
        <v>31</v>
      </c>
      <c r="C9" s="98"/>
      <c r="D9" s="85">
        <f>+D10*Datos!$D$51</f>
        <v>11542.439999999999</v>
      </c>
      <c r="E9" s="85">
        <f>+E10*Datos!$D$51</f>
        <v>11915.467199999999</v>
      </c>
      <c r="F9" s="85">
        <f>+F10*Datos!$D$51</f>
        <v>12955.0512</v>
      </c>
      <c r="G9" s="85">
        <f>+G10*Datos!$D$51</f>
        <v>13719.4512</v>
      </c>
    </row>
    <row r="10" spans="2:7" x14ac:dyDescent="0.35">
      <c r="B10" s="109" t="s">
        <v>214</v>
      </c>
      <c r="C10" s="109"/>
      <c r="D10" s="107">
        <f t="shared" ref="D10:G10" si="2">+D18</f>
        <v>3775</v>
      </c>
      <c r="E10" s="107">
        <f t="shared" si="2"/>
        <v>3897</v>
      </c>
      <c r="F10" s="107">
        <f t="shared" si="2"/>
        <v>4237</v>
      </c>
      <c r="G10" s="107">
        <f t="shared" si="2"/>
        <v>4487</v>
      </c>
    </row>
    <row r="13" spans="2:7" x14ac:dyDescent="0.35">
      <c r="B13" s="252" t="s">
        <v>216</v>
      </c>
      <c r="C13" s="252"/>
      <c r="D13" s="252"/>
      <c r="E13" s="252"/>
      <c r="F13" s="252"/>
      <c r="G13" s="252"/>
    </row>
    <row r="14" spans="2:7" outlineLevel="1" x14ac:dyDescent="0.35"/>
    <row r="15" spans="2:7" outlineLevel="1" x14ac:dyDescent="0.35"/>
    <row r="16" spans="2:7" outlineLevel="1" x14ac:dyDescent="0.35">
      <c r="C16" s="75" t="s">
        <v>121</v>
      </c>
      <c r="D16" s="75" t="s">
        <v>8</v>
      </c>
      <c r="E16" s="75" t="s">
        <v>7</v>
      </c>
      <c r="F16" s="75" t="s">
        <v>6</v>
      </c>
      <c r="G16" s="75" t="s">
        <v>5</v>
      </c>
    </row>
    <row r="17" spans="1:7" outlineLevel="1" x14ac:dyDescent="0.35">
      <c r="B17" s="81" t="s">
        <v>215</v>
      </c>
      <c r="C17" s="80"/>
      <c r="D17" s="79">
        <f>+D18*D20</f>
        <v>384748</v>
      </c>
      <c r="E17" s="79">
        <f>+E18*E20</f>
        <v>397182.24</v>
      </c>
      <c r="F17" s="79">
        <f>+F18*F20</f>
        <v>431835.04</v>
      </c>
      <c r="G17" s="79">
        <f>+G18*G20</f>
        <v>457315.04</v>
      </c>
    </row>
    <row r="18" spans="1:7" outlineLevel="1" x14ac:dyDescent="0.35">
      <c r="B18" s="98" t="s">
        <v>214</v>
      </c>
      <c r="C18" s="86"/>
      <c r="D18" s="85">
        <f>+Pronóstico!C5</f>
        <v>3775</v>
      </c>
      <c r="E18" s="85">
        <f>+Pronóstico!C9</f>
        <v>3897</v>
      </c>
      <c r="F18" s="85">
        <f>+Pronóstico!C13</f>
        <v>4237</v>
      </c>
      <c r="G18" s="85">
        <f>+Pronóstico!C17</f>
        <v>4487</v>
      </c>
    </row>
    <row r="19" spans="1:7" outlineLevel="1" x14ac:dyDescent="0.35">
      <c r="B19" s="91" t="s">
        <v>213</v>
      </c>
      <c r="C19" s="86"/>
      <c r="D19" s="110">
        <f>D18/SUM('Histó. Vtas'!B44:B46)-1</f>
        <v>-9.4289827255278347E-2</v>
      </c>
      <c r="E19" s="110">
        <f>+E18/D18-1</f>
        <v>3.2317880794701992E-2</v>
      </c>
      <c r="F19" s="110">
        <f>+F18/E18-1</f>
        <v>8.7246599948678449E-2</v>
      </c>
      <c r="G19" s="110">
        <f>+G18/F18-1</f>
        <v>5.9004012272834583E-2</v>
      </c>
    </row>
    <row r="20" spans="1:7" outlineLevel="1" x14ac:dyDescent="0.35">
      <c r="B20" s="78" t="s">
        <v>212</v>
      </c>
      <c r="C20" s="77"/>
      <c r="D20" s="76">
        <f>+Datos!$C$48</f>
        <v>101.92</v>
      </c>
      <c r="E20" s="76">
        <f>+Datos!$C$48</f>
        <v>101.92</v>
      </c>
      <c r="F20" s="76">
        <f>+Datos!$C$48</f>
        <v>101.92</v>
      </c>
      <c r="G20" s="76">
        <f>+Datos!$C$48</f>
        <v>101.92</v>
      </c>
    </row>
    <row r="21" spans="1:7" outlineLevel="1" x14ac:dyDescent="0.35">
      <c r="A21" s="99"/>
      <c r="B21" s="109" t="s">
        <v>211</v>
      </c>
      <c r="C21" s="108"/>
      <c r="D21" s="107">
        <f>+D18</f>
        <v>3775</v>
      </c>
      <c r="E21" s="107">
        <f t="shared" ref="E21:G21" si="3">+E18</f>
        <v>3897</v>
      </c>
      <c r="F21" s="107">
        <f t="shared" si="3"/>
        <v>4237</v>
      </c>
      <c r="G21" s="107">
        <f t="shared" si="3"/>
        <v>4487</v>
      </c>
    </row>
    <row r="22" spans="1:7" outlineLevel="1" x14ac:dyDescent="0.35">
      <c r="B22" s="109" t="s">
        <v>516</v>
      </c>
      <c r="C22" s="108"/>
      <c r="D22" s="107">
        <f>+Planes!$D$154*3</f>
        <v>5733</v>
      </c>
      <c r="E22" s="107">
        <f>+Planes!$D$154*3</f>
        <v>5733</v>
      </c>
      <c r="F22" s="107">
        <f>+Planes!$D$154*3</f>
        <v>5733</v>
      </c>
      <c r="G22" s="107">
        <f>+Planes!$D$154*3</f>
        <v>5733</v>
      </c>
    </row>
    <row r="23" spans="1:7" outlineLevel="1" x14ac:dyDescent="0.35">
      <c r="B23" s="106" t="s">
        <v>210</v>
      </c>
      <c r="C23" s="105"/>
      <c r="D23" s="104">
        <f>+D21/D22</f>
        <v>0.65846851561137276</v>
      </c>
      <c r="E23" s="104">
        <f>+E21/E22</f>
        <v>0.67974882260596547</v>
      </c>
      <c r="F23" s="104">
        <f>+F21/F22</f>
        <v>0.7390545961974534</v>
      </c>
      <c r="G23" s="104">
        <f>+G21/G22</f>
        <v>0.78266178266178266</v>
      </c>
    </row>
    <row r="24" spans="1:7" outlineLevel="1" x14ac:dyDescent="0.35"/>
    <row r="25" spans="1:7" x14ac:dyDescent="0.35">
      <c r="E25" s="92">
        <f>+AVERAGE(D21:G21)</f>
        <v>4099</v>
      </c>
      <c r="F25" s="64">
        <f>+(E25/3)/26</f>
        <v>52.551282051282051</v>
      </c>
    </row>
    <row r="26" spans="1:7" x14ac:dyDescent="0.35">
      <c r="B26" s="252" t="s">
        <v>209</v>
      </c>
      <c r="C26" s="252"/>
      <c r="D26" s="252"/>
      <c r="E26" s="252"/>
      <c r="F26" s="252"/>
      <c r="G26" s="252"/>
    </row>
    <row r="27" spans="1:7" outlineLevel="1" x14ac:dyDescent="0.35"/>
    <row r="28" spans="1:7" outlineLevel="1" x14ac:dyDescent="0.35">
      <c r="B28" s="253" t="s">
        <v>208</v>
      </c>
      <c r="C28" s="253"/>
      <c r="D28" s="253"/>
      <c r="E28" s="253"/>
      <c r="F28" s="253"/>
      <c r="G28" s="253"/>
    </row>
    <row r="29" spans="1:7" outlineLevel="2" x14ac:dyDescent="0.35"/>
    <row r="30" spans="1:7" outlineLevel="2" x14ac:dyDescent="0.35">
      <c r="B30" s="254" t="s">
        <v>517</v>
      </c>
      <c r="C30" s="254"/>
      <c r="D30" s="254"/>
      <c r="E30" s="254"/>
      <c r="F30" s="254"/>
      <c r="G30" s="254"/>
    </row>
    <row r="31" spans="1:7" outlineLevel="3" x14ac:dyDescent="0.35"/>
    <row r="32" spans="1:7" outlineLevel="3" x14ac:dyDescent="0.35">
      <c r="B32" s="96" t="s">
        <v>174</v>
      </c>
      <c r="C32" s="75" t="s">
        <v>121</v>
      </c>
      <c r="D32" s="75" t="s">
        <v>8</v>
      </c>
      <c r="E32" s="75" t="s">
        <v>7</v>
      </c>
      <c r="F32" s="75" t="s">
        <v>6</v>
      </c>
      <c r="G32" s="75" t="s">
        <v>5</v>
      </c>
    </row>
    <row r="33" spans="1:7" outlineLevel="3" x14ac:dyDescent="0.35">
      <c r="A33" s="99"/>
      <c r="B33" s="90" t="s">
        <v>207</v>
      </c>
      <c r="C33" s="89"/>
      <c r="D33" s="88">
        <f>+D34*D35</f>
        <v>167610</v>
      </c>
      <c r="E33" s="88">
        <f>+E34*E35</f>
        <v>173026.8</v>
      </c>
      <c r="F33" s="88">
        <f>+F34*F35</f>
        <v>188122.8</v>
      </c>
      <c r="G33" s="88">
        <f>+G34*G35</f>
        <v>199222.8</v>
      </c>
    </row>
    <row r="34" spans="1:7" outlineLevel="3" x14ac:dyDescent="0.35">
      <c r="A34" s="99"/>
      <c r="B34" s="91" t="s">
        <v>206</v>
      </c>
      <c r="C34" s="86"/>
      <c r="D34" s="85">
        <v>2265</v>
      </c>
      <c r="E34" s="85">
        <v>2338.1999999999998</v>
      </c>
      <c r="F34" s="85">
        <v>2542.1999999999998</v>
      </c>
      <c r="G34" s="85">
        <v>2692.2</v>
      </c>
    </row>
    <row r="35" spans="1:7" outlineLevel="3" x14ac:dyDescent="0.35">
      <c r="A35" s="99"/>
      <c r="B35" s="91" t="s">
        <v>205</v>
      </c>
      <c r="C35" s="86"/>
      <c r="D35" s="85">
        <f>+Datos!$D$14</f>
        <v>74</v>
      </c>
      <c r="E35" s="85">
        <f>+Datos!$D$14</f>
        <v>74</v>
      </c>
      <c r="F35" s="85">
        <f>+Datos!$D$14</f>
        <v>74</v>
      </c>
      <c r="G35" s="85">
        <f>+Datos!$D$14</f>
        <v>74</v>
      </c>
    </row>
    <row r="36" spans="1:7" outlineLevel="3" x14ac:dyDescent="0.35">
      <c r="A36" s="99"/>
      <c r="B36" s="90" t="s">
        <v>204</v>
      </c>
      <c r="C36" s="89"/>
      <c r="D36" s="88">
        <f>+D37*D38</f>
        <v>1893.7679999999998</v>
      </c>
      <c r="E36" s="88">
        <f>+E37*E38</f>
        <v>1954.8719999999998</v>
      </c>
      <c r="F36" s="88">
        <f>+F37*F38</f>
        <v>2125.4159999999997</v>
      </c>
      <c r="G36" s="88">
        <f>+G37*G38</f>
        <v>2250.8159999999998</v>
      </c>
    </row>
    <row r="37" spans="1:7" outlineLevel="3" x14ac:dyDescent="0.35">
      <c r="A37" s="99"/>
      <c r="B37" s="91" t="s">
        <v>203</v>
      </c>
      <c r="C37" s="86"/>
      <c r="D37" s="85">
        <v>415.3</v>
      </c>
      <c r="E37" s="85">
        <v>428.7</v>
      </c>
      <c r="F37" s="85">
        <v>466.1</v>
      </c>
      <c r="G37" s="85">
        <v>493.6</v>
      </c>
    </row>
    <row r="38" spans="1:7" outlineLevel="3" x14ac:dyDescent="0.35">
      <c r="A38" s="99"/>
      <c r="B38" s="91" t="s">
        <v>202</v>
      </c>
      <c r="C38" s="86"/>
      <c r="D38" s="85">
        <f>+Datos!$D$15</f>
        <v>4.5599999999999996</v>
      </c>
      <c r="E38" s="85">
        <f>+Datos!$D$15</f>
        <v>4.5599999999999996</v>
      </c>
      <c r="F38" s="85">
        <f>+Datos!$D$15</f>
        <v>4.5599999999999996</v>
      </c>
      <c r="G38" s="85">
        <f>+Datos!$D$15</f>
        <v>4.5599999999999996</v>
      </c>
    </row>
    <row r="39" spans="1:7" outlineLevel="3" x14ac:dyDescent="0.35">
      <c r="A39" s="99"/>
      <c r="B39" s="81" t="s">
        <v>518</v>
      </c>
      <c r="C39" s="80"/>
      <c r="D39" s="79">
        <f>+D33+D36+(D33+D36)*Planes!$D$76</f>
        <v>171842.9199984</v>
      </c>
      <c r="E39" s="79">
        <f>+E33+E36+(E33+E36)*Planes!$D$76</f>
        <v>177396.4190736</v>
      </c>
      <c r="F39" s="79">
        <f>+F33+F36+(F33+F36)*Planes!$D$76</f>
        <v>192873.64138079999</v>
      </c>
      <c r="G39" s="79">
        <f>+G33+G36+(G33+G36)*Planes!$D$76</f>
        <v>204253.95190079999</v>
      </c>
    </row>
    <row r="40" spans="1:7" outlineLevel="3" x14ac:dyDescent="0.35">
      <c r="A40" s="99"/>
      <c r="B40" s="78" t="s">
        <v>519</v>
      </c>
      <c r="C40" s="77"/>
      <c r="D40" s="76">
        <f>+D39/D21</f>
        <v>45.52130331083444</v>
      </c>
      <c r="E40" s="76">
        <f>+E39/E21</f>
        <v>45.521277668360277</v>
      </c>
      <c r="F40" s="76">
        <f>+F39/F21</f>
        <v>45.521274812556051</v>
      </c>
      <c r="G40" s="76">
        <f>+G39/G21</f>
        <v>45.521272988812122</v>
      </c>
    </row>
    <row r="41" spans="1:7" outlineLevel="3" x14ac:dyDescent="0.35">
      <c r="A41" s="99"/>
    </row>
    <row r="42" spans="1:7" outlineLevel="3" x14ac:dyDescent="0.35">
      <c r="A42" s="99"/>
      <c r="B42" s="96" t="s">
        <v>173</v>
      </c>
      <c r="C42" s="75" t="s">
        <v>121</v>
      </c>
      <c r="D42" s="75" t="s">
        <v>8</v>
      </c>
      <c r="E42" s="75" t="s">
        <v>7</v>
      </c>
      <c r="F42" s="75" t="s">
        <v>6</v>
      </c>
      <c r="G42" s="75" t="s">
        <v>5</v>
      </c>
    </row>
    <row r="43" spans="1:7" outlineLevel="3" x14ac:dyDescent="0.35">
      <c r="A43" s="99"/>
      <c r="B43" s="90" t="s">
        <v>201</v>
      </c>
      <c r="C43" s="89"/>
      <c r="D43" s="88">
        <f>+D44*D45</f>
        <v>664</v>
      </c>
      <c r="E43" s="88">
        <f>+E44*E45</f>
        <v>680</v>
      </c>
      <c r="F43" s="88">
        <f>+F44*F45</f>
        <v>740</v>
      </c>
      <c r="G43" s="88">
        <f>+G44*G45</f>
        <v>788</v>
      </c>
    </row>
    <row r="44" spans="1:7" outlineLevel="3" x14ac:dyDescent="0.35">
      <c r="A44" s="99"/>
      <c r="B44" s="91" t="s">
        <v>200</v>
      </c>
      <c r="C44" s="86"/>
      <c r="D44" s="85">
        <v>166</v>
      </c>
      <c r="E44" s="85">
        <v>170</v>
      </c>
      <c r="F44" s="85">
        <v>185</v>
      </c>
      <c r="G44" s="85">
        <v>197</v>
      </c>
    </row>
    <row r="45" spans="1:7" outlineLevel="3" x14ac:dyDescent="0.35">
      <c r="A45" s="99"/>
      <c r="B45" s="91" t="s">
        <v>199</v>
      </c>
      <c r="C45" s="86"/>
      <c r="D45" s="85">
        <f>+Datos!$D$16</f>
        <v>4</v>
      </c>
      <c r="E45" s="85">
        <f>+Datos!$D$16</f>
        <v>4</v>
      </c>
      <c r="F45" s="85">
        <f>+Datos!$D$16</f>
        <v>4</v>
      </c>
      <c r="G45" s="85">
        <f>+Datos!$D$16</f>
        <v>4</v>
      </c>
    </row>
    <row r="46" spans="1:7" outlineLevel="3" x14ac:dyDescent="0.35">
      <c r="A46" s="99"/>
      <c r="B46" s="90" t="s">
        <v>198</v>
      </c>
      <c r="C46" s="89"/>
      <c r="D46" s="88">
        <f>+D47*D48</f>
        <v>812.25</v>
      </c>
      <c r="E46" s="88">
        <f>+E47*E48</f>
        <v>740.43000000000006</v>
      </c>
      <c r="F46" s="88">
        <f>+F47*F48</f>
        <v>805.03</v>
      </c>
      <c r="G46" s="88">
        <f>+G47*G48</f>
        <v>852.53</v>
      </c>
    </row>
    <row r="47" spans="1:7" outlineLevel="3" x14ac:dyDescent="0.35">
      <c r="A47" s="99"/>
      <c r="B47" s="91" t="s">
        <v>195</v>
      </c>
      <c r="C47" s="86"/>
      <c r="D47" s="85">
        <v>4275</v>
      </c>
      <c r="E47" s="85">
        <v>3897</v>
      </c>
      <c r="F47" s="85">
        <v>4237</v>
      </c>
      <c r="G47" s="85">
        <v>4487</v>
      </c>
    </row>
    <row r="48" spans="1:7" outlineLevel="3" x14ac:dyDescent="0.35">
      <c r="A48" s="99"/>
      <c r="B48" s="91" t="s">
        <v>197</v>
      </c>
      <c r="C48" s="86"/>
      <c r="D48" s="85">
        <f>+Datos!$D$17</f>
        <v>0.19</v>
      </c>
      <c r="E48" s="85">
        <f>+Datos!$D$17</f>
        <v>0.19</v>
      </c>
      <c r="F48" s="85">
        <f>+Datos!$D$17</f>
        <v>0.19</v>
      </c>
      <c r="G48" s="85">
        <f>+Datos!$D$17</f>
        <v>0.19</v>
      </c>
    </row>
    <row r="49" spans="1:7" outlineLevel="3" x14ac:dyDescent="0.35">
      <c r="A49" s="99"/>
      <c r="B49" s="90" t="s">
        <v>196</v>
      </c>
      <c r="C49" s="89"/>
      <c r="D49" s="88">
        <f>+D50*D51</f>
        <v>211.4</v>
      </c>
      <c r="E49" s="88">
        <f>+E50*E51</f>
        <v>218.232</v>
      </c>
      <c r="F49" s="88">
        <f>+F50*F51</f>
        <v>237.27199999999999</v>
      </c>
      <c r="G49" s="88">
        <f>+G50*G51</f>
        <v>251.27199999999999</v>
      </c>
    </row>
    <row r="50" spans="1:7" outlineLevel="3" x14ac:dyDescent="0.35">
      <c r="A50" s="99"/>
      <c r="B50" s="91" t="s">
        <v>195</v>
      </c>
      <c r="C50" s="86"/>
      <c r="D50" s="85">
        <v>7550</v>
      </c>
      <c r="E50" s="85">
        <v>7794</v>
      </c>
      <c r="F50" s="85">
        <v>8474</v>
      </c>
      <c r="G50" s="85">
        <v>8974</v>
      </c>
    </row>
    <row r="51" spans="1:7" outlineLevel="3" x14ac:dyDescent="0.35">
      <c r="A51" s="99"/>
      <c r="B51" s="91" t="s">
        <v>194</v>
      </c>
      <c r="C51" s="86"/>
      <c r="D51" s="85">
        <f>+Datos!$D$18</f>
        <v>2.8000000000000001E-2</v>
      </c>
      <c r="E51" s="85">
        <f>+Datos!$D$18</f>
        <v>2.8000000000000001E-2</v>
      </c>
      <c r="F51" s="85">
        <f>+Datos!$D$18</f>
        <v>2.8000000000000001E-2</v>
      </c>
      <c r="G51" s="85">
        <f>+Datos!$D$18</f>
        <v>2.8000000000000001E-2</v>
      </c>
    </row>
    <row r="52" spans="1:7" outlineLevel="3" x14ac:dyDescent="0.35">
      <c r="A52" s="99"/>
      <c r="B52" s="90" t="s">
        <v>193</v>
      </c>
      <c r="C52" s="89"/>
      <c r="D52" s="88">
        <f>+D53*D54</f>
        <v>3807.5999999999995</v>
      </c>
      <c r="E52" s="88">
        <f>+E53*E54</f>
        <v>3693.5999999999995</v>
      </c>
      <c r="F52" s="88">
        <f>+F53*F54</f>
        <v>4012.7999999999993</v>
      </c>
      <c r="G52" s="88">
        <f>+G53*G54</f>
        <v>4263.5999999999995</v>
      </c>
    </row>
    <row r="53" spans="1:7" outlineLevel="3" x14ac:dyDescent="0.35">
      <c r="A53" s="99"/>
      <c r="B53" s="91" t="s">
        <v>219</v>
      </c>
      <c r="C53" s="86"/>
      <c r="D53" s="85">
        <v>167</v>
      </c>
      <c r="E53" s="85">
        <v>162</v>
      </c>
      <c r="F53" s="85">
        <v>176</v>
      </c>
      <c r="G53" s="85">
        <v>187</v>
      </c>
    </row>
    <row r="54" spans="1:7" outlineLevel="3" x14ac:dyDescent="0.35">
      <c r="B54" s="91" t="s">
        <v>220</v>
      </c>
      <c r="C54" s="86"/>
      <c r="D54" s="85">
        <f>+Datos!$D$19</f>
        <v>22.799999999999997</v>
      </c>
      <c r="E54" s="85">
        <f>+Datos!$D$19</f>
        <v>22.799999999999997</v>
      </c>
      <c r="F54" s="85">
        <f>+Datos!$D$19</f>
        <v>22.799999999999997</v>
      </c>
      <c r="G54" s="85">
        <f>+Datos!$D$19</f>
        <v>22.799999999999997</v>
      </c>
    </row>
    <row r="55" spans="1:7" outlineLevel="3" x14ac:dyDescent="0.35">
      <c r="B55" s="81" t="s">
        <v>520</v>
      </c>
      <c r="C55" s="80"/>
      <c r="D55" s="79">
        <f>+D43+D46+D49+D52+(D43+D46+D49+D52)*Planes!$D$76</f>
        <v>5571.0844500000003</v>
      </c>
      <c r="E55" s="79">
        <f>+E43+E46+E49+E52+(E43+E46+E49+E52)*Planes!$D$76</f>
        <v>5405.8472155999998</v>
      </c>
      <c r="F55" s="79">
        <f>+F43+F46+F49+F52+(F43+F46+F49+F52)*Planes!$D$76</f>
        <v>5875.0744075999992</v>
      </c>
      <c r="G55" s="79">
        <f>+G43+G46+G49+G52+(G43+G46+G49+G52)*Planes!$D$76</f>
        <v>6240.3465475999992</v>
      </c>
    </row>
    <row r="56" spans="1:7" outlineLevel="3" x14ac:dyDescent="0.35">
      <c r="B56" s="78" t="s">
        <v>521</v>
      </c>
      <c r="C56" s="77"/>
      <c r="D56" s="76">
        <f>+D55/D21</f>
        <v>1.4757839602649008</v>
      </c>
      <c r="E56" s="76">
        <f>+E55/E21</f>
        <v>1.3871817335386194</v>
      </c>
      <c r="F56" s="76">
        <f>+F55/F21</f>
        <v>1.3866118497993862</v>
      </c>
      <c r="G56" s="76">
        <f>+G55/G21</f>
        <v>1.3907614324938711</v>
      </c>
    </row>
    <row r="57" spans="1:7" outlineLevel="3" x14ac:dyDescent="0.35"/>
    <row r="58" spans="1:7" outlineLevel="3" x14ac:dyDescent="0.35">
      <c r="B58" s="96" t="s">
        <v>182</v>
      </c>
      <c r="C58" s="75" t="s">
        <v>121</v>
      </c>
      <c r="D58" s="75" t="s">
        <v>8</v>
      </c>
      <c r="E58" s="75" t="s">
        <v>7</v>
      </c>
      <c r="F58" s="75" t="s">
        <v>6</v>
      </c>
      <c r="G58" s="75" t="s">
        <v>5</v>
      </c>
    </row>
    <row r="59" spans="1:7" outlineLevel="3" x14ac:dyDescent="0.35">
      <c r="A59" s="99"/>
      <c r="B59" s="90" t="s">
        <v>192</v>
      </c>
      <c r="C59" s="89"/>
      <c r="D59" s="88">
        <f>+D60*D61</f>
        <v>626.25</v>
      </c>
      <c r="E59" s="88">
        <f>+E60*E61</f>
        <v>584.54999999999995</v>
      </c>
      <c r="F59" s="88">
        <f>+F60*F61</f>
        <v>635.54999999999995</v>
      </c>
      <c r="G59" s="88">
        <f>+G60*G61</f>
        <v>673.05</v>
      </c>
    </row>
    <row r="60" spans="1:7" outlineLevel="3" x14ac:dyDescent="0.35">
      <c r="A60" s="99"/>
      <c r="B60" s="91" t="s">
        <v>166</v>
      </c>
      <c r="C60" s="86"/>
      <c r="D60" s="85">
        <v>4175</v>
      </c>
      <c r="E60" s="85">
        <v>3897</v>
      </c>
      <c r="F60" s="85">
        <v>4237</v>
      </c>
      <c r="G60" s="85">
        <v>4487</v>
      </c>
    </row>
    <row r="61" spans="1:7" outlineLevel="3" x14ac:dyDescent="0.35">
      <c r="A61" s="99"/>
      <c r="B61" s="91" t="s">
        <v>165</v>
      </c>
      <c r="C61" s="86"/>
      <c r="D61" s="85">
        <f>+Datos!$D$23</f>
        <v>0.15</v>
      </c>
      <c r="E61" s="85">
        <f>+Datos!$D$23</f>
        <v>0.15</v>
      </c>
      <c r="F61" s="85">
        <f>+Datos!$D$23</f>
        <v>0.15</v>
      </c>
      <c r="G61" s="85">
        <f>+Datos!$D$23</f>
        <v>0.15</v>
      </c>
    </row>
    <row r="62" spans="1:7" outlineLevel="3" x14ac:dyDescent="0.35">
      <c r="A62" s="99"/>
      <c r="B62" s="90" t="s">
        <v>191</v>
      </c>
      <c r="C62" s="89"/>
      <c r="D62" s="88">
        <f>+D63*D64</f>
        <v>37.75</v>
      </c>
      <c r="E62" s="88">
        <f>+E63*E64</f>
        <v>38.97</v>
      </c>
      <c r="F62" s="88">
        <f>+F63*F64</f>
        <v>42.37</v>
      </c>
      <c r="G62" s="88">
        <f>+G63*G64</f>
        <v>44.87</v>
      </c>
    </row>
    <row r="63" spans="1:7" outlineLevel="3" x14ac:dyDescent="0.35">
      <c r="A63" s="99"/>
      <c r="B63" s="91" t="s">
        <v>166</v>
      </c>
      <c r="C63" s="86"/>
      <c r="D63" s="85">
        <v>3775</v>
      </c>
      <c r="E63" s="85">
        <v>3897</v>
      </c>
      <c r="F63" s="85">
        <v>4237</v>
      </c>
      <c r="G63" s="85">
        <v>4487</v>
      </c>
    </row>
    <row r="64" spans="1:7" outlineLevel="3" x14ac:dyDescent="0.35">
      <c r="A64" s="99"/>
      <c r="B64" s="91" t="s">
        <v>165</v>
      </c>
      <c r="C64" s="86"/>
      <c r="D64" s="85">
        <f>+Datos!$D$24</f>
        <v>0.01</v>
      </c>
      <c r="E64" s="85">
        <f>+Datos!$D$24</f>
        <v>0.01</v>
      </c>
      <c r="F64" s="85">
        <f>+Datos!$D$24</f>
        <v>0.01</v>
      </c>
      <c r="G64" s="85">
        <f>+Datos!$D$24</f>
        <v>0.01</v>
      </c>
    </row>
    <row r="65" spans="1:7" outlineLevel="3" x14ac:dyDescent="0.35">
      <c r="A65" s="99"/>
      <c r="B65" s="90" t="s">
        <v>190</v>
      </c>
      <c r="C65" s="89"/>
      <c r="D65" s="88">
        <f>+D66*D67</f>
        <v>720</v>
      </c>
      <c r="E65" s="88">
        <f>+E66*E67</f>
        <v>750</v>
      </c>
      <c r="F65" s="88">
        <f>+F66*F67</f>
        <v>802.5</v>
      </c>
      <c r="G65" s="88">
        <f>+G66*G67</f>
        <v>855</v>
      </c>
    </row>
    <row r="66" spans="1:7" outlineLevel="3" x14ac:dyDescent="0.35">
      <c r="B66" s="91" t="s">
        <v>153</v>
      </c>
      <c r="C66" s="86"/>
      <c r="D66" s="85">
        <v>96</v>
      </c>
      <c r="E66" s="85">
        <v>100</v>
      </c>
      <c r="F66" s="85">
        <v>107</v>
      </c>
      <c r="G66" s="85">
        <v>114</v>
      </c>
    </row>
    <row r="67" spans="1:7" outlineLevel="3" x14ac:dyDescent="0.35">
      <c r="B67" s="91" t="s">
        <v>152</v>
      </c>
      <c r="C67" s="86"/>
      <c r="D67" s="85">
        <f>+Datos!$D$25</f>
        <v>7.5</v>
      </c>
      <c r="E67" s="85">
        <f>+Datos!$D$25</f>
        <v>7.5</v>
      </c>
      <c r="F67" s="85">
        <f>+Datos!$D$25</f>
        <v>7.5</v>
      </c>
      <c r="G67" s="85">
        <f>+Datos!$D$25</f>
        <v>7.5</v>
      </c>
    </row>
    <row r="68" spans="1:7" outlineLevel="3" x14ac:dyDescent="0.35">
      <c r="B68" s="81" t="s">
        <v>522</v>
      </c>
      <c r="C68" s="80"/>
      <c r="D68" s="79">
        <f>+D59+D62+D65</f>
        <v>1384</v>
      </c>
      <c r="E68" s="79">
        <f>+E59+E62+E65</f>
        <v>1373.52</v>
      </c>
      <c r="F68" s="79">
        <f>+F59+F62+F65</f>
        <v>1480.42</v>
      </c>
      <c r="G68" s="79">
        <f>+G59+G62+G65</f>
        <v>1572.92</v>
      </c>
    </row>
    <row r="69" spans="1:7" outlineLevel="3" x14ac:dyDescent="0.35">
      <c r="B69" s="78" t="s">
        <v>523</v>
      </c>
      <c r="C69" s="77"/>
      <c r="D69" s="76">
        <f>+D68/D18</f>
        <v>0.36662251655629141</v>
      </c>
      <c r="E69" s="76">
        <f>+E68/E34</f>
        <v>0.587426225301514</v>
      </c>
      <c r="F69" s="76">
        <f>+F68/F34</f>
        <v>0.58233813232633158</v>
      </c>
      <c r="G69" s="76">
        <f>+G68/G34</f>
        <v>0.58425079860337281</v>
      </c>
    </row>
    <row r="70" spans="1:7" outlineLevel="3" x14ac:dyDescent="0.35"/>
    <row r="71" spans="1:7" outlineLevel="3" x14ac:dyDescent="0.35"/>
    <row r="72" spans="1:7" outlineLevel="3" x14ac:dyDescent="0.35">
      <c r="C72" s="75" t="s">
        <v>121</v>
      </c>
      <c r="D72" s="75" t="s">
        <v>8</v>
      </c>
      <c r="E72" s="75" t="s">
        <v>7</v>
      </c>
      <c r="F72" s="75" t="s">
        <v>6</v>
      </c>
      <c r="G72" s="75" t="s">
        <v>5</v>
      </c>
    </row>
    <row r="73" spans="1:7" outlineLevel="3" x14ac:dyDescent="0.35">
      <c r="B73" s="81" t="s">
        <v>524</v>
      </c>
      <c r="C73" s="80"/>
      <c r="D73" s="79">
        <f>+D39+D55+D68</f>
        <v>178798.0044484</v>
      </c>
      <c r="E73" s="79">
        <f t="shared" ref="E73:G73" si="4">+E39+E55+E68</f>
        <v>184175.78628919998</v>
      </c>
      <c r="F73" s="79">
        <f t="shared" si="4"/>
        <v>200229.13578840002</v>
      </c>
      <c r="G73" s="79">
        <f t="shared" si="4"/>
        <v>212067.2184484</v>
      </c>
    </row>
    <row r="74" spans="1:7" outlineLevel="3" x14ac:dyDescent="0.35">
      <c r="C74" s="102"/>
      <c r="D74" s="103"/>
      <c r="E74" s="103"/>
      <c r="F74" s="103"/>
      <c r="G74" s="103"/>
    </row>
    <row r="75" spans="1:7" outlineLevel="2" x14ac:dyDescent="0.35">
      <c r="C75" s="102"/>
      <c r="D75" s="102"/>
      <c r="E75" s="102"/>
      <c r="F75" s="102"/>
      <c r="G75" s="102"/>
    </row>
    <row r="76" spans="1:7" outlineLevel="2" x14ac:dyDescent="0.35">
      <c r="B76" s="254" t="s">
        <v>189</v>
      </c>
      <c r="C76" s="254"/>
      <c r="D76" s="254"/>
      <c r="E76" s="254"/>
      <c r="F76" s="254"/>
      <c r="G76" s="254"/>
    </row>
    <row r="77" spans="1:7" ht="15" outlineLevel="3" x14ac:dyDescent="0.35">
      <c r="B77"/>
      <c r="C77"/>
      <c r="D77"/>
    </row>
    <row r="78" spans="1:7" ht="15" outlineLevel="3" x14ac:dyDescent="0.35">
      <c r="B78"/>
      <c r="C78" s="95"/>
      <c r="D78"/>
      <c r="E78" s="95"/>
    </row>
    <row r="79" spans="1:7" ht="15" outlineLevel="3" x14ac:dyDescent="0.35">
      <c r="B79" s="96" t="s">
        <v>174</v>
      </c>
      <c r="D79"/>
      <c r="E79" s="95"/>
    </row>
    <row r="80" spans="1:7" outlineLevel="3" x14ac:dyDescent="0.35">
      <c r="B80" s="98" t="s">
        <v>188</v>
      </c>
      <c r="C80" s="97">
        <v>1200</v>
      </c>
    </row>
    <row r="81" spans="1:7" outlineLevel="3" x14ac:dyDescent="0.35">
      <c r="B81" s="98" t="s">
        <v>183</v>
      </c>
      <c r="C81" s="97">
        <f>+Datos!C60*Datos!C62</f>
        <v>286</v>
      </c>
    </row>
    <row r="82" spans="1:7" outlineLevel="3" x14ac:dyDescent="0.35">
      <c r="B82" s="101" t="s">
        <v>177</v>
      </c>
      <c r="C82" s="100">
        <f>+C80/C81</f>
        <v>4.1958041958041958</v>
      </c>
    </row>
    <row r="83" spans="1:7" outlineLevel="3" x14ac:dyDescent="0.35"/>
    <row r="84" spans="1:7" outlineLevel="3" x14ac:dyDescent="0.35">
      <c r="B84" s="96" t="s">
        <v>174</v>
      </c>
      <c r="C84" s="75" t="s">
        <v>121</v>
      </c>
      <c r="D84" s="75" t="s">
        <v>8</v>
      </c>
      <c r="E84" s="75" t="s">
        <v>7</v>
      </c>
      <c r="F84" s="75" t="s">
        <v>6</v>
      </c>
      <c r="G84" s="75" t="s">
        <v>5</v>
      </c>
    </row>
    <row r="85" spans="1:7" outlineLevel="3" x14ac:dyDescent="0.35">
      <c r="B85" s="81" t="s">
        <v>181</v>
      </c>
      <c r="C85" s="80"/>
      <c r="D85" s="79">
        <f>+(D88*D89)+(D88*D89*Planes!$D$76)</f>
        <v>2010.4292055944054</v>
      </c>
      <c r="E85" s="79">
        <f>+(E88*E89)+(E88*E89*Planes!$D$76)</f>
        <v>2075.4020170069934</v>
      </c>
      <c r="F85" s="79">
        <f>+(F88*F89)+(F88*F89*Planes!$D$76)</f>
        <v>2256.4737865174829</v>
      </c>
      <c r="G85" s="79">
        <f>+(G88*G89)+(G88*G89*Planes!$D$76)</f>
        <v>2389.61479351049</v>
      </c>
    </row>
    <row r="86" spans="1:7" outlineLevel="3" x14ac:dyDescent="0.35">
      <c r="A86" s="99"/>
      <c r="B86" s="87" t="s">
        <v>180</v>
      </c>
      <c r="C86" s="86"/>
      <c r="D86" s="85">
        <f>Datos!$C$60*Datos!$C$62*Datos!$C$56*Datos!$C$61*3</f>
        <v>1716</v>
      </c>
      <c r="E86" s="85">
        <f>Datos!$C$60*Datos!$C$62*Datos!$C$56*Datos!$C$61*3</f>
        <v>1716</v>
      </c>
      <c r="F86" s="85">
        <f>Datos!$C$60*Datos!$C$62*Datos!$C$56*Datos!$C$61*3</f>
        <v>1716</v>
      </c>
      <c r="G86" s="85">
        <f>Datos!$C$60*Datos!$C$62*Datos!$C$56*Datos!$C$61*3</f>
        <v>1716</v>
      </c>
    </row>
    <row r="87" spans="1:7" outlineLevel="3" x14ac:dyDescent="0.35">
      <c r="B87" s="87" t="s">
        <v>179</v>
      </c>
      <c r="C87" s="86"/>
      <c r="D87" s="85">
        <v>0.1</v>
      </c>
      <c r="E87" s="85">
        <f>+D87</f>
        <v>0.1</v>
      </c>
      <c r="F87" s="85">
        <f>+E87</f>
        <v>0.1</v>
      </c>
      <c r="G87" s="85">
        <f>+F87</f>
        <v>0.1</v>
      </c>
    </row>
    <row r="88" spans="1:7" outlineLevel="3" x14ac:dyDescent="0.35">
      <c r="B88" s="87" t="s">
        <v>178</v>
      </c>
      <c r="C88" s="86"/>
      <c r="D88" s="85">
        <f>+(D87*D21)+(D87*D21*(Planes!$D$9+Planes!$D$25+Planes!$D$116+Planes!$D$134+Planes!$D$171))</f>
        <v>472.63</v>
      </c>
      <c r="E88" s="85">
        <f>+(E87*E21)+(E87*E21*(Planes!$D$9+Planes!$D$25+Planes!$D$116+Planes!$D$134+Planes!$D$171))</f>
        <v>487.90440000000007</v>
      </c>
      <c r="F88" s="85">
        <f>+(F87*F21)+(F87*F21*(Planes!$D$9+Planes!$D$25+Planes!$D$116+Planes!$D$134+Planes!$D$171))</f>
        <v>530.47240000000011</v>
      </c>
      <c r="G88" s="85">
        <f>+(G87*G21)+(G87*G21*(Planes!$D$9+Planes!$D$25+Planes!$D$116+Planes!$D$134+Planes!$D$171))</f>
        <v>561.77240000000006</v>
      </c>
    </row>
    <row r="89" spans="1:7" outlineLevel="3" x14ac:dyDescent="0.35">
      <c r="B89" s="87" t="s">
        <v>177</v>
      </c>
      <c r="C89" s="86"/>
      <c r="D89" s="85">
        <f>+$C$82</f>
        <v>4.1958041958041958</v>
      </c>
      <c r="E89" s="85">
        <f>+$C$82</f>
        <v>4.1958041958041958</v>
      </c>
      <c r="F89" s="85">
        <f>+$C$82</f>
        <v>4.1958041958041958</v>
      </c>
      <c r="G89" s="85">
        <f>+$C$82</f>
        <v>4.1958041958041958</v>
      </c>
    </row>
    <row r="90" spans="1:7" outlineLevel="3" x14ac:dyDescent="0.35">
      <c r="B90" s="78" t="s">
        <v>187</v>
      </c>
      <c r="C90" s="77"/>
      <c r="D90" s="76">
        <f>+D85/D21</f>
        <v>0.53256402797202795</v>
      </c>
      <c r="E90" s="76">
        <f>+E85/E21</f>
        <v>0.53256402797202806</v>
      </c>
      <c r="F90" s="76">
        <f>+F85/F21</f>
        <v>0.53256402797202806</v>
      </c>
      <c r="G90" s="76">
        <f>+G85/G21</f>
        <v>0.53256402797202806</v>
      </c>
    </row>
    <row r="91" spans="1:7" ht="15" outlineLevel="3" x14ac:dyDescent="0.35">
      <c r="B91" s="95"/>
      <c r="D91"/>
      <c r="E91" s="95"/>
    </row>
    <row r="92" spans="1:7" ht="15" outlineLevel="3" x14ac:dyDescent="0.35">
      <c r="B92" s="95"/>
      <c r="D92">
        <f>+((D88)/3)/2</f>
        <v>78.771666666666661</v>
      </c>
      <c r="E92">
        <f t="shared" ref="E92:G92" si="5">+((E88)/3)/2</f>
        <v>81.317400000000006</v>
      </c>
      <c r="F92">
        <f t="shared" si="5"/>
        <v>88.412066666666689</v>
      </c>
      <c r="G92">
        <f t="shared" si="5"/>
        <v>93.628733333333344</v>
      </c>
    </row>
    <row r="93" spans="1:7" outlineLevel="3" x14ac:dyDescent="0.35">
      <c r="B93" s="96" t="s">
        <v>173</v>
      </c>
      <c r="C93" s="92"/>
      <c r="D93" s="64">
        <f>+D92/11</f>
        <v>7.1610606060606052</v>
      </c>
      <c r="E93" s="64">
        <f t="shared" ref="E93:G93" si="6">+E92/11</f>
        <v>7.3924909090909097</v>
      </c>
      <c r="F93" s="64">
        <f t="shared" si="6"/>
        <v>8.0374606060606073</v>
      </c>
      <c r="G93" s="64">
        <f t="shared" si="6"/>
        <v>8.5117030303030319</v>
      </c>
    </row>
    <row r="94" spans="1:7" outlineLevel="3" x14ac:dyDescent="0.35">
      <c r="B94" s="98" t="s">
        <v>186</v>
      </c>
      <c r="C94" s="97">
        <v>1200</v>
      </c>
      <c r="E94" s="64">
        <f>+AVERAGE(D93:G93)</f>
        <v>7.775678787878789</v>
      </c>
    </row>
    <row r="95" spans="1:7" outlineLevel="3" x14ac:dyDescent="0.35">
      <c r="B95" s="98" t="s">
        <v>183</v>
      </c>
      <c r="C95" s="97">
        <f>+Datos!C60*Datos!C62</f>
        <v>286</v>
      </c>
    </row>
    <row r="96" spans="1:7" outlineLevel="3" x14ac:dyDescent="0.35">
      <c r="B96" s="101" t="s">
        <v>177</v>
      </c>
      <c r="C96" s="100">
        <f>+C94/C95</f>
        <v>4.1958041958041958</v>
      </c>
    </row>
    <row r="97" spans="1:7" outlineLevel="3" x14ac:dyDescent="0.35"/>
    <row r="98" spans="1:7" outlineLevel="3" x14ac:dyDescent="0.35">
      <c r="B98" s="96" t="s">
        <v>173</v>
      </c>
      <c r="C98" s="75" t="s">
        <v>121</v>
      </c>
      <c r="D98" s="75" t="s">
        <v>8</v>
      </c>
      <c r="E98" s="75" t="s">
        <v>7</v>
      </c>
      <c r="F98" s="75" t="s">
        <v>6</v>
      </c>
      <c r="G98" s="75" t="s">
        <v>5</v>
      </c>
    </row>
    <row r="99" spans="1:7" outlineLevel="3" x14ac:dyDescent="0.35">
      <c r="B99" s="81" t="s">
        <v>181</v>
      </c>
      <c r="C99" s="80"/>
      <c r="D99" s="79">
        <f>+(D102*D103)+(D102*D103*Planes!$D$76)</f>
        <v>12062.575233566433</v>
      </c>
      <c r="E99" s="79">
        <f>+(E102*E103)+(E102*E103*Planes!$D$76)</f>
        <v>12452.412102041957</v>
      </c>
      <c r="F99" s="79">
        <f>+(F102*F103)+(F102*F103*Planes!$D$76)</f>
        <v>13538.842719104894</v>
      </c>
      <c r="G99" s="79">
        <f>+(G102*G103)+(G102*G103*Planes!$D$76)</f>
        <v>14337.688761062936</v>
      </c>
    </row>
    <row r="100" spans="1:7" outlineLevel="3" x14ac:dyDescent="0.35">
      <c r="A100" s="99"/>
      <c r="B100" s="87" t="s">
        <v>180</v>
      </c>
      <c r="C100" s="86"/>
      <c r="D100" s="85">
        <f>Datos!$C$60*Datos!$C$62*Datos!$C$57*Datos!$C$61*3</f>
        <v>4290</v>
      </c>
      <c r="E100" s="85">
        <f>Datos!$C$60*Datos!$C$62*Datos!$C$57*Datos!$C$61*3</f>
        <v>4290</v>
      </c>
      <c r="F100" s="85">
        <f>Datos!$C$60*Datos!$C$62*Datos!$C$57*Datos!$C$61*3</f>
        <v>4290</v>
      </c>
      <c r="G100" s="85">
        <f>Datos!$C$60*Datos!$C$62*Datos!$C$57*Datos!$C$61*3</f>
        <v>4290</v>
      </c>
    </row>
    <row r="101" spans="1:7" outlineLevel="3" x14ac:dyDescent="0.35">
      <c r="B101" s="87" t="s">
        <v>179</v>
      </c>
      <c r="C101" s="86"/>
      <c r="D101" s="85">
        <v>0.6</v>
      </c>
      <c r="E101" s="85">
        <f>+D101</f>
        <v>0.6</v>
      </c>
      <c r="F101" s="85">
        <f>+E101</f>
        <v>0.6</v>
      </c>
      <c r="G101" s="85">
        <f>+F101</f>
        <v>0.6</v>
      </c>
    </row>
    <row r="102" spans="1:7" outlineLevel="3" x14ac:dyDescent="0.35">
      <c r="B102" s="87" t="s">
        <v>178</v>
      </c>
      <c r="C102" s="86"/>
      <c r="D102" s="85">
        <f>+(D101*D21)+(D101*D21*(Planes!$D$9+Planes!$D$25+Planes!$D$116+Planes!$D$134+Planes!$D$171))</f>
        <v>2835.7799999999997</v>
      </c>
      <c r="E102" s="85">
        <f>+(E101*E21)+(E101*E21*(Planes!$D$9+Planes!$D$25+Planes!$D$116+Planes!$D$134+Planes!$D$171))</f>
        <v>2927.4263999999998</v>
      </c>
      <c r="F102" s="85">
        <f>+(F101*F21)+(F101*F21*(Planes!$D$9+Planes!$D$25+Planes!$D$116+Planes!$D$134+Planes!$D$171))</f>
        <v>3182.8343999999997</v>
      </c>
      <c r="G102" s="85">
        <f>+(G101*G21)+(G101*G21*(Planes!$D$9+Planes!$D$25+Planes!$D$116+Planes!$D$134+Planes!$D$171))</f>
        <v>3370.6343999999999</v>
      </c>
    </row>
    <row r="103" spans="1:7" outlineLevel="3" x14ac:dyDescent="0.35">
      <c r="B103" s="87" t="s">
        <v>177</v>
      </c>
      <c r="C103" s="86"/>
      <c r="D103" s="85">
        <f>+$C$96</f>
        <v>4.1958041958041958</v>
      </c>
      <c r="E103" s="85">
        <f>+$C$96</f>
        <v>4.1958041958041958</v>
      </c>
      <c r="F103" s="85">
        <f>+$C$96</f>
        <v>4.1958041958041958</v>
      </c>
      <c r="G103" s="85">
        <f>+$C$96</f>
        <v>4.1958041958041958</v>
      </c>
    </row>
    <row r="104" spans="1:7" outlineLevel="3" x14ac:dyDescent="0.35">
      <c r="B104" s="78" t="s">
        <v>185</v>
      </c>
      <c r="C104" s="77"/>
      <c r="D104" s="76">
        <f>+D99/D21</f>
        <v>3.1953841678321675</v>
      </c>
      <c r="E104" s="76">
        <f>+E99/E21</f>
        <v>3.1953841678321675</v>
      </c>
      <c r="F104" s="76">
        <f>+F99/F21</f>
        <v>3.1953841678321675</v>
      </c>
      <c r="G104" s="76">
        <f>+G99/G21</f>
        <v>3.1953841678321675</v>
      </c>
    </row>
    <row r="105" spans="1:7" outlineLevel="3" x14ac:dyDescent="0.35"/>
    <row r="106" spans="1:7" ht="15" outlineLevel="3" x14ac:dyDescent="0.35">
      <c r="D106">
        <f>+((D102)/3)/5</f>
        <v>189.05199999999996</v>
      </c>
      <c r="E106">
        <f t="shared" ref="E106:G106" si="7">+((E102)/3)/5</f>
        <v>195.16175999999999</v>
      </c>
      <c r="F106">
        <f t="shared" si="7"/>
        <v>212.18896000000001</v>
      </c>
      <c r="G106">
        <f t="shared" si="7"/>
        <v>224.70895999999999</v>
      </c>
    </row>
    <row r="107" spans="1:7" outlineLevel="3" x14ac:dyDescent="0.35">
      <c r="B107" s="96" t="s">
        <v>182</v>
      </c>
      <c r="D107" s="64">
        <f>+D106/11</f>
        <v>17.186545454545453</v>
      </c>
      <c r="E107" s="64">
        <f t="shared" ref="E107:G107" si="8">+E106/11</f>
        <v>17.74197818181818</v>
      </c>
      <c r="F107" s="64">
        <f t="shared" si="8"/>
        <v>19.289905454545455</v>
      </c>
      <c r="G107" s="64">
        <f t="shared" si="8"/>
        <v>20.428087272727272</v>
      </c>
    </row>
    <row r="108" spans="1:7" outlineLevel="3" x14ac:dyDescent="0.35">
      <c r="B108" s="98" t="s">
        <v>184</v>
      </c>
      <c r="C108" s="97">
        <v>1200</v>
      </c>
      <c r="E108" s="64">
        <f>+AVERAGE(D107:G107)</f>
        <v>18.661629090909091</v>
      </c>
    </row>
    <row r="109" spans="1:7" outlineLevel="3" x14ac:dyDescent="0.35">
      <c r="B109" s="98" t="s">
        <v>183</v>
      </c>
      <c r="C109" s="97">
        <f>+Datos!C60*Datos!C62</f>
        <v>286</v>
      </c>
    </row>
    <row r="110" spans="1:7" outlineLevel="3" x14ac:dyDescent="0.35">
      <c r="B110" s="101" t="s">
        <v>177</v>
      </c>
      <c r="C110" s="100">
        <f>+C108/C109</f>
        <v>4.1958041958041958</v>
      </c>
    </row>
    <row r="111" spans="1:7" outlineLevel="3" x14ac:dyDescent="0.35"/>
    <row r="112" spans="1:7" outlineLevel="3" x14ac:dyDescent="0.35">
      <c r="B112" s="96" t="s">
        <v>182</v>
      </c>
      <c r="C112" s="75" t="s">
        <v>121</v>
      </c>
      <c r="D112" s="75" t="s">
        <v>8</v>
      </c>
      <c r="E112" s="75" t="s">
        <v>7</v>
      </c>
      <c r="F112" s="75" t="s">
        <v>6</v>
      </c>
      <c r="G112" s="75" t="s">
        <v>5</v>
      </c>
    </row>
    <row r="113" spans="1:7" outlineLevel="3" x14ac:dyDescent="0.35">
      <c r="B113" s="81" t="s">
        <v>181</v>
      </c>
      <c r="C113" s="80"/>
      <c r="D113" s="79">
        <f>+D116*D117</f>
        <v>3569.513286713287</v>
      </c>
      <c r="E113" s="79">
        <f>+E116*E117</f>
        <v>3684.8723916083914</v>
      </c>
      <c r="F113" s="79">
        <f>+F116*F117</f>
        <v>4006.3649790209793</v>
      </c>
      <c r="G113" s="79">
        <f>+G116*G117</f>
        <v>4242.7565874125876</v>
      </c>
    </row>
    <row r="114" spans="1:7" outlineLevel="3" x14ac:dyDescent="0.35">
      <c r="A114" s="99"/>
      <c r="B114" s="87" t="s">
        <v>180</v>
      </c>
      <c r="C114" s="86"/>
      <c r="D114" s="85">
        <f>Datos!$C$60*Datos!$C$62*Datos!$C$58*Datos!$C$61*3</f>
        <v>4290</v>
      </c>
      <c r="E114" s="85">
        <f>Datos!$C$60*Datos!$C$62*Datos!$C$58*Datos!$C$61*3</f>
        <v>4290</v>
      </c>
      <c r="F114" s="85">
        <f>Datos!$C$60*Datos!$C$62*Datos!$C$58*Datos!$C$61*3</f>
        <v>4290</v>
      </c>
      <c r="G114" s="85">
        <f>Datos!$C$60*Datos!$C$62*Datos!$C$58*Datos!$C$61*3</f>
        <v>4290</v>
      </c>
    </row>
    <row r="115" spans="1:7" outlineLevel="3" x14ac:dyDescent="0.35">
      <c r="B115" s="87" t="s">
        <v>179</v>
      </c>
      <c r="C115" s="86"/>
      <c r="D115" s="85">
        <v>0.18</v>
      </c>
      <c r="E115" s="85">
        <f>+D115</f>
        <v>0.18</v>
      </c>
      <c r="F115" s="85">
        <f>+E115</f>
        <v>0.18</v>
      </c>
      <c r="G115" s="85">
        <f>+F115</f>
        <v>0.18</v>
      </c>
    </row>
    <row r="116" spans="1:7" outlineLevel="3" x14ac:dyDescent="0.35">
      <c r="B116" s="87" t="s">
        <v>178</v>
      </c>
      <c r="C116" s="86"/>
      <c r="D116" s="85">
        <f>+(D115*D18)+(D115*D18*(Planes!$D$9+Planes!$D$25+Planes!$D$116+Planes!$D$134+Planes!$D$171))</f>
        <v>850.73400000000004</v>
      </c>
      <c r="E116" s="85">
        <f>+(E115*E18)+(E115*E18*(Planes!$D$9+Planes!$D$25+Planes!$D$116+Planes!$D$134+Planes!$D$171))</f>
        <v>878.22791999999993</v>
      </c>
      <c r="F116" s="85">
        <f>+(F115*F18)+(F115*F18*(Planes!$D$9+Planes!$D$25+Planes!$D$116+Planes!$D$134+Planes!$D$171))</f>
        <v>954.85032000000001</v>
      </c>
      <c r="G116" s="85">
        <f>+(G115*G18)+(G115*G18*(Planes!$D$9+Planes!$D$25+Planes!$D$116+Planes!$D$134+Planes!$D$171))</f>
        <v>1011.1903199999999</v>
      </c>
    </row>
    <row r="117" spans="1:7" outlineLevel="3" x14ac:dyDescent="0.35">
      <c r="B117" s="87" t="s">
        <v>177</v>
      </c>
      <c r="C117" s="86"/>
      <c r="D117" s="85">
        <f>+$C$110</f>
        <v>4.1958041958041958</v>
      </c>
      <c r="E117" s="85">
        <f>+$C$110</f>
        <v>4.1958041958041958</v>
      </c>
      <c r="F117" s="85">
        <f>+$C$110</f>
        <v>4.1958041958041958</v>
      </c>
      <c r="G117" s="85">
        <f>+$C$110</f>
        <v>4.1958041958041958</v>
      </c>
    </row>
    <row r="118" spans="1:7" outlineLevel="3" x14ac:dyDescent="0.35">
      <c r="B118" s="78" t="s">
        <v>176</v>
      </c>
      <c r="C118" s="77"/>
      <c r="D118" s="76">
        <f>+D113/D18</f>
        <v>0.94556643356643366</v>
      </c>
      <c r="E118" s="76">
        <f>+E113/E18</f>
        <v>0.94556643356643355</v>
      </c>
      <c r="F118" s="76">
        <f>+F113/F18</f>
        <v>0.94556643356643366</v>
      </c>
      <c r="G118" s="76">
        <f>+G113/G18</f>
        <v>0.94556643356643355</v>
      </c>
    </row>
    <row r="119" spans="1:7" ht="15" outlineLevel="3" x14ac:dyDescent="0.35">
      <c r="D119" s="241">
        <f>+((D116)/3)/5</f>
        <v>56.715600000000009</v>
      </c>
      <c r="E119" s="241">
        <f t="shared" ref="E119:G119" si="9">+((E116)/3)/5</f>
        <v>58.548527999999997</v>
      </c>
      <c r="F119" s="241">
        <f t="shared" si="9"/>
        <v>63.656687999999995</v>
      </c>
      <c r="G119" s="241">
        <f t="shared" si="9"/>
        <v>67.412687999999989</v>
      </c>
    </row>
    <row r="120" spans="1:7" outlineLevel="3" x14ac:dyDescent="0.35">
      <c r="D120" s="242">
        <f>+D119/11</f>
        <v>5.1559636363636372</v>
      </c>
      <c r="E120" s="242">
        <f t="shared" ref="E120:G120" si="10">+E119/11</f>
        <v>5.3225934545454541</v>
      </c>
      <c r="F120" s="242">
        <f t="shared" si="10"/>
        <v>5.7869716363636359</v>
      </c>
      <c r="G120" s="242">
        <f t="shared" si="10"/>
        <v>6.1284261818181811</v>
      </c>
    </row>
    <row r="121" spans="1:7" outlineLevel="3" x14ac:dyDescent="0.35">
      <c r="C121" s="75" t="s">
        <v>121</v>
      </c>
      <c r="D121" s="75" t="s">
        <v>8</v>
      </c>
      <c r="E121" s="75" t="s">
        <v>7</v>
      </c>
      <c r="F121" s="75" t="s">
        <v>6</v>
      </c>
      <c r="G121" s="75" t="s">
        <v>5</v>
      </c>
    </row>
    <row r="122" spans="1:7" outlineLevel="3" x14ac:dyDescent="0.35">
      <c r="B122" s="81" t="s">
        <v>175</v>
      </c>
      <c r="C122" s="80"/>
      <c r="D122" s="79">
        <f>+D113+D99+D85</f>
        <v>17642.517725874124</v>
      </c>
      <c r="E122" s="79">
        <f>+E113+E99+E85</f>
        <v>18212.686510657342</v>
      </c>
      <c r="F122" s="79">
        <f>+F113+F99+F85</f>
        <v>19801.681484643355</v>
      </c>
      <c r="G122" s="79">
        <f>+G113+G99+G85</f>
        <v>20970.060141986014</v>
      </c>
    </row>
    <row r="123" spans="1:7" outlineLevel="3" x14ac:dyDescent="0.35">
      <c r="E123" s="92">
        <f>+AVERAGE(D120:G120)</f>
        <v>5.5984887272727271</v>
      </c>
    </row>
    <row r="124" spans="1:7" outlineLevel="3" x14ac:dyDescent="0.35"/>
    <row r="125" spans="1:7" outlineLevel="2" x14ac:dyDescent="0.35">
      <c r="B125" s="254" t="s">
        <v>172</v>
      </c>
      <c r="C125" s="254"/>
      <c r="D125" s="254"/>
      <c r="E125" s="254"/>
      <c r="F125" s="254"/>
      <c r="G125" s="254"/>
    </row>
    <row r="126" spans="1:7" outlineLevel="2" x14ac:dyDescent="0.35"/>
    <row r="127" spans="1:7" outlineLevel="2" x14ac:dyDescent="0.35">
      <c r="B127" s="38" t="s">
        <v>61</v>
      </c>
    </row>
    <row r="128" spans="1:7" outlineLevel="2" x14ac:dyDescent="0.35"/>
    <row r="129" spans="2:7" outlineLevel="2" x14ac:dyDescent="0.35">
      <c r="C129" s="75" t="s">
        <v>121</v>
      </c>
      <c r="D129" s="75" t="s">
        <v>8</v>
      </c>
      <c r="E129" s="75" t="s">
        <v>7</v>
      </c>
      <c r="F129" s="75" t="s">
        <v>6</v>
      </c>
      <c r="G129" s="75" t="s">
        <v>5</v>
      </c>
    </row>
    <row r="130" spans="2:7" outlineLevel="2" x14ac:dyDescent="0.35">
      <c r="B130" s="90" t="s">
        <v>171</v>
      </c>
      <c r="C130" s="89"/>
      <c r="D130" s="88">
        <f>+D131*D132</f>
        <v>340</v>
      </c>
      <c r="E130" s="88">
        <f>+E131*E132</f>
        <v>340</v>
      </c>
      <c r="F130" s="88">
        <f>+F131*F132</f>
        <v>340</v>
      </c>
      <c r="G130" s="88">
        <f>+G131*G132</f>
        <v>340</v>
      </c>
    </row>
    <row r="131" spans="2:7" outlineLevel="2" x14ac:dyDescent="0.35">
      <c r="B131" s="91" t="s">
        <v>156</v>
      </c>
      <c r="C131" s="86"/>
      <c r="D131" s="85">
        <f>+Datos!$C$33</f>
        <v>2</v>
      </c>
      <c r="E131" s="85">
        <f>+Datos!$C$33</f>
        <v>2</v>
      </c>
      <c r="F131" s="85">
        <f>+Datos!$C$33</f>
        <v>2</v>
      </c>
      <c r="G131" s="85">
        <f>+Datos!$C$33</f>
        <v>2</v>
      </c>
    </row>
    <row r="132" spans="2:7" outlineLevel="2" x14ac:dyDescent="0.35">
      <c r="B132" s="91" t="s">
        <v>155</v>
      </c>
      <c r="C132" s="86"/>
      <c r="D132" s="85">
        <f>+Datos!$D$33</f>
        <v>170</v>
      </c>
      <c r="E132" s="85">
        <f>+Datos!$D$33</f>
        <v>170</v>
      </c>
      <c r="F132" s="85">
        <f>+Datos!$D$33</f>
        <v>170</v>
      </c>
      <c r="G132" s="85">
        <f>+Datos!$D$33</f>
        <v>170</v>
      </c>
    </row>
    <row r="133" spans="2:7" outlineLevel="2" x14ac:dyDescent="0.35">
      <c r="B133" s="90" t="s">
        <v>170</v>
      </c>
      <c r="C133" s="89"/>
      <c r="D133" s="88">
        <f>+D134*D135</f>
        <v>41</v>
      </c>
      <c r="E133" s="88">
        <f>+E134*E135</f>
        <v>41</v>
      </c>
      <c r="F133" s="88">
        <f>+F134*F135</f>
        <v>41</v>
      </c>
      <c r="G133" s="88">
        <f>+G134*G135</f>
        <v>41</v>
      </c>
    </row>
    <row r="134" spans="2:7" outlineLevel="2" x14ac:dyDescent="0.35">
      <c r="B134" s="91" t="s">
        <v>166</v>
      </c>
      <c r="C134" s="86"/>
      <c r="D134" s="85">
        <f>+Datos!$C$34</f>
        <v>41</v>
      </c>
      <c r="E134" s="85">
        <f>+Datos!$C$34</f>
        <v>41</v>
      </c>
      <c r="F134" s="85">
        <f>+Datos!$C$34</f>
        <v>41</v>
      </c>
      <c r="G134" s="85">
        <f>+Datos!$C$34</f>
        <v>41</v>
      </c>
    </row>
    <row r="135" spans="2:7" outlineLevel="2" x14ac:dyDescent="0.35">
      <c r="B135" s="91" t="s">
        <v>165</v>
      </c>
      <c r="C135" s="86"/>
      <c r="D135" s="85">
        <f>+Datos!$D$34</f>
        <v>1</v>
      </c>
      <c r="E135" s="85">
        <f>+Datos!$D$34</f>
        <v>1</v>
      </c>
      <c r="F135" s="85">
        <f>+Datos!$D$34</f>
        <v>1</v>
      </c>
      <c r="G135" s="85">
        <f>+Datos!$D$34</f>
        <v>1</v>
      </c>
    </row>
    <row r="136" spans="2:7" outlineLevel="2" x14ac:dyDescent="0.35">
      <c r="B136" s="90" t="s">
        <v>169</v>
      </c>
      <c r="C136" s="89"/>
      <c r="D136" s="88">
        <f>+D137*D138</f>
        <v>120</v>
      </c>
      <c r="E136" s="88">
        <f>+E137*E138</f>
        <v>120</v>
      </c>
      <c r="F136" s="88">
        <f>+F137*F138</f>
        <v>120</v>
      </c>
      <c r="G136" s="88">
        <f>+G137*G138</f>
        <v>120</v>
      </c>
    </row>
    <row r="137" spans="2:7" outlineLevel="2" x14ac:dyDescent="0.35">
      <c r="B137" s="91" t="s">
        <v>166</v>
      </c>
      <c r="C137" s="86"/>
      <c r="D137" s="85">
        <f>+Datos!$C$35</f>
        <v>4</v>
      </c>
      <c r="E137" s="85">
        <f>+Datos!$C$35</f>
        <v>4</v>
      </c>
      <c r="F137" s="85">
        <f>+Datos!$C$35</f>
        <v>4</v>
      </c>
      <c r="G137" s="85">
        <f>+Datos!$C$35</f>
        <v>4</v>
      </c>
    </row>
    <row r="138" spans="2:7" outlineLevel="2" x14ac:dyDescent="0.35">
      <c r="B138" s="91" t="s">
        <v>165</v>
      </c>
      <c r="C138" s="86"/>
      <c r="D138" s="85">
        <f>+Datos!$D$35</f>
        <v>30</v>
      </c>
      <c r="E138" s="85">
        <f>+Datos!$D$35</f>
        <v>30</v>
      </c>
      <c r="F138" s="85">
        <f>+Datos!$D$35</f>
        <v>30</v>
      </c>
      <c r="G138" s="85">
        <f>+Datos!$D$35</f>
        <v>30</v>
      </c>
    </row>
    <row r="139" spans="2:7" outlineLevel="2" x14ac:dyDescent="0.35">
      <c r="B139" s="90" t="s">
        <v>168</v>
      </c>
      <c r="C139" s="89"/>
      <c r="D139" s="88">
        <f>+D140*D141</f>
        <v>34</v>
      </c>
      <c r="E139" s="88">
        <f>+E140*E141</f>
        <v>34</v>
      </c>
      <c r="F139" s="88">
        <f>+F140*F141</f>
        <v>34</v>
      </c>
      <c r="G139" s="88">
        <f>+G140*G141</f>
        <v>34</v>
      </c>
    </row>
    <row r="140" spans="2:7" outlineLevel="2" x14ac:dyDescent="0.35">
      <c r="B140" s="91" t="s">
        <v>166</v>
      </c>
      <c r="C140" s="86"/>
      <c r="D140" s="85">
        <f>+Datos!$C$36</f>
        <v>17</v>
      </c>
      <c r="E140" s="85">
        <f>+Datos!$C$36</f>
        <v>17</v>
      </c>
      <c r="F140" s="85">
        <f>+Datos!$C$36</f>
        <v>17</v>
      </c>
      <c r="G140" s="85">
        <f>+Datos!$C$36</f>
        <v>17</v>
      </c>
    </row>
    <row r="141" spans="2:7" outlineLevel="2" x14ac:dyDescent="0.35">
      <c r="B141" s="91" t="s">
        <v>165</v>
      </c>
      <c r="C141" s="86"/>
      <c r="D141" s="85">
        <f>+Datos!$D$36</f>
        <v>2</v>
      </c>
      <c r="E141" s="85">
        <f>+Datos!$D$36</f>
        <v>2</v>
      </c>
      <c r="F141" s="85">
        <f>+Datos!$D$36</f>
        <v>2</v>
      </c>
      <c r="G141" s="85">
        <f>+Datos!$D$36</f>
        <v>2</v>
      </c>
    </row>
    <row r="142" spans="2:7" outlineLevel="2" x14ac:dyDescent="0.35">
      <c r="B142" s="90" t="s">
        <v>167</v>
      </c>
      <c r="C142" s="89"/>
      <c r="D142" s="88">
        <f>+D143*D144</f>
        <v>18</v>
      </c>
      <c r="E142" s="88">
        <f>+E143*E144</f>
        <v>18</v>
      </c>
      <c r="F142" s="88">
        <f>+F143*F144</f>
        <v>18</v>
      </c>
      <c r="G142" s="88">
        <f>+G143*G144</f>
        <v>18</v>
      </c>
    </row>
    <row r="143" spans="2:7" outlineLevel="2" x14ac:dyDescent="0.35">
      <c r="B143" s="91" t="s">
        <v>166</v>
      </c>
      <c r="C143" s="86"/>
      <c r="D143" s="85">
        <f>+Datos!$C$37</f>
        <v>9</v>
      </c>
      <c r="E143" s="85">
        <f>+Datos!$C$37</f>
        <v>9</v>
      </c>
      <c r="F143" s="85">
        <f>+Datos!$C$37</f>
        <v>9</v>
      </c>
      <c r="G143" s="85">
        <f>+Datos!$C$37</f>
        <v>9</v>
      </c>
    </row>
    <row r="144" spans="2:7" outlineLevel="2" x14ac:dyDescent="0.35">
      <c r="B144" s="91" t="s">
        <v>165</v>
      </c>
      <c r="C144" s="86"/>
      <c r="D144" s="85">
        <f>+Datos!$D$37</f>
        <v>2</v>
      </c>
      <c r="E144" s="85">
        <f>+Datos!$D$37</f>
        <v>2</v>
      </c>
      <c r="F144" s="85">
        <f>+Datos!$D$37</f>
        <v>2</v>
      </c>
      <c r="G144" s="85">
        <f>+Datos!$D$37</f>
        <v>2</v>
      </c>
    </row>
    <row r="145" spans="2:7" outlineLevel="2" x14ac:dyDescent="0.35">
      <c r="B145" s="90" t="s">
        <v>164</v>
      </c>
      <c r="C145" s="89"/>
      <c r="D145" s="88">
        <f>+D146*D147</f>
        <v>60</v>
      </c>
      <c r="E145" s="88">
        <f>+E146*E147</f>
        <v>60</v>
      </c>
      <c r="F145" s="88">
        <f>+F146*F147</f>
        <v>60</v>
      </c>
      <c r="G145" s="88">
        <f>+G146*G147</f>
        <v>60</v>
      </c>
    </row>
    <row r="146" spans="2:7" outlineLevel="2" x14ac:dyDescent="0.35">
      <c r="B146" s="91" t="s">
        <v>159</v>
      </c>
      <c r="C146" s="86"/>
      <c r="D146" s="85">
        <f>+Datos!$C$38</f>
        <v>6</v>
      </c>
      <c r="E146" s="85">
        <f>+Datos!$C$38</f>
        <v>6</v>
      </c>
      <c r="F146" s="85">
        <f>+Datos!$C$38</f>
        <v>6</v>
      </c>
      <c r="G146" s="85">
        <f>+Datos!$C$38</f>
        <v>6</v>
      </c>
    </row>
    <row r="147" spans="2:7" outlineLevel="2" x14ac:dyDescent="0.35">
      <c r="B147" s="91" t="s">
        <v>158</v>
      </c>
      <c r="C147" s="86"/>
      <c r="D147" s="85">
        <f>+Datos!$D$38</f>
        <v>10</v>
      </c>
      <c r="E147" s="85">
        <f>+Datos!$D$38</f>
        <v>10</v>
      </c>
      <c r="F147" s="85">
        <f>+Datos!$D$38</f>
        <v>10</v>
      </c>
      <c r="G147" s="85">
        <f>+Datos!$D$38</f>
        <v>10</v>
      </c>
    </row>
    <row r="148" spans="2:7" outlineLevel="2" x14ac:dyDescent="0.35">
      <c r="B148" s="90" t="s">
        <v>163</v>
      </c>
      <c r="C148" s="89"/>
      <c r="D148" s="88">
        <f>+D149*D150</f>
        <v>120</v>
      </c>
      <c r="E148" s="88">
        <f>+E149*E150</f>
        <v>120</v>
      </c>
      <c r="F148" s="88">
        <f>+F149*F150</f>
        <v>120</v>
      </c>
      <c r="G148" s="88">
        <f>+G149*G150</f>
        <v>120</v>
      </c>
    </row>
    <row r="149" spans="2:7" outlineLevel="2" x14ac:dyDescent="0.35">
      <c r="B149" s="91" t="s">
        <v>162</v>
      </c>
      <c r="C149" s="86"/>
      <c r="D149" s="85">
        <f>+Datos!$C$39</f>
        <v>4</v>
      </c>
      <c r="E149" s="85">
        <f>+Datos!$C$39</f>
        <v>4</v>
      </c>
      <c r="F149" s="85">
        <f>+Datos!$C$39</f>
        <v>4</v>
      </c>
      <c r="G149" s="85">
        <f>+Datos!$C$39</f>
        <v>4</v>
      </c>
    </row>
    <row r="150" spans="2:7" outlineLevel="2" x14ac:dyDescent="0.35">
      <c r="B150" s="91" t="s">
        <v>161</v>
      </c>
      <c r="C150" s="86"/>
      <c r="D150" s="85">
        <f>+Datos!$D$39</f>
        <v>30</v>
      </c>
      <c r="E150" s="85">
        <f>+Datos!$D$39</f>
        <v>30</v>
      </c>
      <c r="F150" s="85">
        <f>+Datos!$D$39</f>
        <v>30</v>
      </c>
      <c r="G150" s="85">
        <f>+Datos!$D$39</f>
        <v>30</v>
      </c>
    </row>
    <row r="151" spans="2:7" outlineLevel="2" x14ac:dyDescent="0.35">
      <c r="B151" s="90" t="s">
        <v>160</v>
      </c>
      <c r="C151" s="89"/>
      <c r="D151" s="88">
        <f>+D152*D153</f>
        <v>16</v>
      </c>
      <c r="E151" s="88">
        <f>+E152*E153</f>
        <v>16</v>
      </c>
      <c r="F151" s="88">
        <f>+F152*F153</f>
        <v>16</v>
      </c>
      <c r="G151" s="88">
        <f>+G152*G153</f>
        <v>16</v>
      </c>
    </row>
    <row r="152" spans="2:7" outlineLevel="2" x14ac:dyDescent="0.35">
      <c r="B152" s="91" t="s">
        <v>159</v>
      </c>
      <c r="C152" s="86"/>
      <c r="D152" s="85">
        <f>+Datos!$C$40</f>
        <v>4</v>
      </c>
      <c r="E152" s="85">
        <f>+Datos!$C$40</f>
        <v>4</v>
      </c>
      <c r="F152" s="85">
        <f>+Datos!$C$40</f>
        <v>4</v>
      </c>
      <c r="G152" s="85">
        <f>+Datos!$C$40</f>
        <v>4</v>
      </c>
    </row>
    <row r="153" spans="2:7" outlineLevel="2" x14ac:dyDescent="0.35">
      <c r="B153" s="91" t="s">
        <v>158</v>
      </c>
      <c r="C153" s="86"/>
      <c r="D153" s="85">
        <f>+Datos!$D$40</f>
        <v>4</v>
      </c>
      <c r="E153" s="85">
        <f>+Datos!$D$40</f>
        <v>4</v>
      </c>
      <c r="F153" s="85">
        <f>+Datos!$D$40</f>
        <v>4</v>
      </c>
      <c r="G153" s="85">
        <f>+Datos!$D$40</f>
        <v>4</v>
      </c>
    </row>
    <row r="154" spans="2:7" outlineLevel="2" x14ac:dyDescent="0.35">
      <c r="B154" s="90" t="s">
        <v>157</v>
      </c>
      <c r="C154" s="89"/>
      <c r="D154" s="88">
        <f>+D155*D156</f>
        <v>180</v>
      </c>
      <c r="E154" s="88">
        <f>+E155*E156</f>
        <v>180</v>
      </c>
      <c r="F154" s="88">
        <f>+F155*F156</f>
        <v>180</v>
      </c>
      <c r="G154" s="88">
        <f>+G155*G156</f>
        <v>180</v>
      </c>
    </row>
    <row r="155" spans="2:7" outlineLevel="2" x14ac:dyDescent="0.35">
      <c r="B155" s="91" t="s">
        <v>156</v>
      </c>
      <c r="C155" s="86"/>
      <c r="D155" s="85">
        <f>+Datos!$C$41</f>
        <v>6</v>
      </c>
      <c r="E155" s="85">
        <f>+Datos!$C$41</f>
        <v>6</v>
      </c>
      <c r="F155" s="85">
        <f>+Datos!$C$41</f>
        <v>6</v>
      </c>
      <c r="G155" s="85">
        <f>+Datos!$C$41</f>
        <v>6</v>
      </c>
    </row>
    <row r="156" spans="2:7" outlineLevel="2" x14ac:dyDescent="0.35">
      <c r="B156" s="91" t="s">
        <v>155</v>
      </c>
      <c r="C156" s="86"/>
      <c r="D156" s="85">
        <f>+Datos!$D$41</f>
        <v>30</v>
      </c>
      <c r="E156" s="85">
        <f>+Datos!$D$41</f>
        <v>30</v>
      </c>
      <c r="F156" s="85">
        <f>+Datos!$D$41</f>
        <v>30</v>
      </c>
      <c r="G156" s="85">
        <f>+Datos!$D$41</f>
        <v>30</v>
      </c>
    </row>
    <row r="157" spans="2:7" outlineLevel="2" x14ac:dyDescent="0.35">
      <c r="B157" s="90" t="s">
        <v>154</v>
      </c>
      <c r="C157" s="89"/>
      <c r="D157" s="88">
        <f>+D158*D159</f>
        <v>6</v>
      </c>
      <c r="E157" s="88">
        <f>+E158*E159</f>
        <v>6</v>
      </c>
      <c r="F157" s="88">
        <f>+F158*F159</f>
        <v>6</v>
      </c>
      <c r="G157" s="88">
        <f>+G158*G159</f>
        <v>6</v>
      </c>
    </row>
    <row r="158" spans="2:7" outlineLevel="2" x14ac:dyDescent="0.35">
      <c r="B158" s="91" t="s">
        <v>153</v>
      </c>
      <c r="C158" s="86"/>
      <c r="D158" s="85">
        <f>+Datos!$C$42</f>
        <v>1</v>
      </c>
      <c r="E158" s="85">
        <f>+Datos!$C$42</f>
        <v>1</v>
      </c>
      <c r="F158" s="85">
        <f>+Datos!$C$42</f>
        <v>1</v>
      </c>
      <c r="G158" s="85">
        <f>+Datos!$C$42</f>
        <v>1</v>
      </c>
    </row>
    <row r="159" spans="2:7" outlineLevel="2" x14ac:dyDescent="0.35">
      <c r="B159" s="91" t="s">
        <v>152</v>
      </c>
      <c r="C159" s="86"/>
      <c r="D159" s="85">
        <f>+Datos!$D$42</f>
        <v>6</v>
      </c>
      <c r="E159" s="85">
        <f>+Datos!$D$42</f>
        <v>6</v>
      </c>
      <c r="F159" s="85">
        <f>+Datos!$D$42</f>
        <v>6</v>
      </c>
      <c r="G159" s="85">
        <f>+Datos!$D$42</f>
        <v>6</v>
      </c>
    </row>
    <row r="160" spans="2:7" outlineLevel="2" x14ac:dyDescent="0.35">
      <c r="B160" s="81" t="s">
        <v>151</v>
      </c>
      <c r="C160" s="80"/>
      <c r="D160" s="79">
        <f>+D130+D133+D136+D139+D142+D145+D148+D151+D154+D157</f>
        <v>935</v>
      </c>
      <c r="E160" s="79">
        <f>+E130+E133+E136+E139+E142+E145+E148+E151+E154+E157</f>
        <v>935</v>
      </c>
      <c r="F160" s="79">
        <f>+F130+F133+F136+F139+F142+F145+F148+F151+F154+F157</f>
        <v>935</v>
      </c>
      <c r="G160" s="79">
        <f>+G130+G133+G136+G139+G142+G145+G148+G151+G154+G157</f>
        <v>935</v>
      </c>
    </row>
    <row r="161" spans="2:7" outlineLevel="2" x14ac:dyDescent="0.35"/>
    <row r="162" spans="2:7" outlineLevel="2" x14ac:dyDescent="0.35">
      <c r="B162" s="38" t="s">
        <v>150</v>
      </c>
    </row>
    <row r="163" spans="2:7" outlineLevel="3" x14ac:dyDescent="0.35"/>
    <row r="164" spans="2:7" outlineLevel="3" x14ac:dyDescent="0.35">
      <c r="B164" s="258" t="s">
        <v>149</v>
      </c>
      <c r="C164" s="259"/>
    </row>
    <row r="165" spans="2:7" ht="15" outlineLevel="3" x14ac:dyDescent="0.35">
      <c r="B165" s="94" t="s">
        <v>148</v>
      </c>
      <c r="C165" s="255">
        <v>1.37E-2</v>
      </c>
      <c r="D165" s="95"/>
    </row>
    <row r="166" spans="2:7" outlineLevel="3" x14ac:dyDescent="0.35">
      <c r="B166" s="94" t="s">
        <v>147</v>
      </c>
      <c r="C166" s="256"/>
    </row>
    <row r="167" spans="2:7" outlineLevel="3" x14ac:dyDescent="0.35">
      <c r="B167" s="94" t="s">
        <v>146</v>
      </c>
      <c r="C167" s="256"/>
    </row>
    <row r="168" spans="2:7" outlineLevel="3" x14ac:dyDescent="0.35">
      <c r="B168" s="94" t="s">
        <v>145</v>
      </c>
      <c r="C168" s="256"/>
    </row>
    <row r="169" spans="2:7" outlineLevel="3" x14ac:dyDescent="0.35">
      <c r="B169" s="94" t="s">
        <v>144</v>
      </c>
      <c r="C169" s="257"/>
    </row>
    <row r="170" spans="2:7" outlineLevel="3" x14ac:dyDescent="0.35"/>
    <row r="171" spans="2:7" outlineLevel="3" x14ac:dyDescent="0.35">
      <c r="B171" s="38" t="s">
        <v>143</v>
      </c>
    </row>
    <row r="172" spans="2:7" outlineLevel="3" x14ac:dyDescent="0.35"/>
    <row r="173" spans="2:7" outlineLevel="3" x14ac:dyDescent="0.35">
      <c r="C173" s="75" t="s">
        <v>121</v>
      </c>
      <c r="D173" s="75" t="s">
        <v>8</v>
      </c>
      <c r="E173" s="75" t="s">
        <v>7</v>
      </c>
      <c r="F173" s="75" t="s">
        <v>6</v>
      </c>
      <c r="G173" s="75" t="s">
        <v>5</v>
      </c>
    </row>
    <row r="174" spans="2:7" outlineLevel="3" x14ac:dyDescent="0.35">
      <c r="B174" s="90" t="s">
        <v>142</v>
      </c>
      <c r="C174" s="89"/>
      <c r="D174" s="88">
        <f>+D177*(1+$C$165)*D176*3</f>
        <v>3390.5367186045069</v>
      </c>
      <c r="E174" s="88">
        <f>+E177*(1+$C$165)*E176*3</f>
        <v>3390.5367186045069</v>
      </c>
      <c r="F174" s="88">
        <f>+F177*(1+$C$165)*F176*3</f>
        <v>3390.5367186045069</v>
      </c>
      <c r="G174" s="88">
        <f>+G177*(1+$C$165)*G176*3</f>
        <v>3390.5367186045069</v>
      </c>
    </row>
    <row r="175" spans="2:7" outlineLevel="3" x14ac:dyDescent="0.35">
      <c r="B175" s="91" t="s">
        <v>138</v>
      </c>
      <c r="C175" s="86"/>
      <c r="D175" s="85">
        <f>2000</f>
        <v>2000</v>
      </c>
      <c r="E175" s="85">
        <f>2000</f>
        <v>2000</v>
      </c>
      <c r="F175" s="85">
        <f>2000</f>
        <v>2000</v>
      </c>
      <c r="G175" s="85">
        <f>2000</f>
        <v>2000</v>
      </c>
    </row>
    <row r="176" spans="2:7" outlineLevel="3" x14ac:dyDescent="0.35">
      <c r="B176" s="91" t="s">
        <v>137</v>
      </c>
      <c r="C176" s="86"/>
      <c r="D176" s="93">
        <v>1</v>
      </c>
      <c r="E176" s="93">
        <f>+D176</f>
        <v>1</v>
      </c>
      <c r="F176" s="93">
        <f>+E176</f>
        <v>1</v>
      </c>
      <c r="G176" s="93">
        <f>+F176</f>
        <v>1</v>
      </c>
    </row>
    <row r="177" spans="2:7" outlineLevel="3" x14ac:dyDescent="0.35">
      <c r="B177" s="91" t="s">
        <v>136</v>
      </c>
      <c r="C177" s="86"/>
      <c r="D177" s="85">
        <f>+D175*'Histó. Vtas'!$B$17</f>
        <v>1114.9047116518716</v>
      </c>
      <c r="E177" s="85">
        <f>+E175*'Histó. Vtas'!$B$17</f>
        <v>1114.9047116518716</v>
      </c>
      <c r="F177" s="85">
        <f>+F175*'Histó. Vtas'!$B$17</f>
        <v>1114.9047116518716</v>
      </c>
      <c r="G177" s="85">
        <f>+G175*'Histó. Vtas'!$B$17</f>
        <v>1114.9047116518716</v>
      </c>
    </row>
    <row r="178" spans="2:7" outlineLevel="3" x14ac:dyDescent="0.35">
      <c r="B178" s="90" t="s">
        <v>141</v>
      </c>
      <c r="C178" s="89"/>
      <c r="D178" s="88">
        <f>+D181*(1+$C$165)*D180*3</f>
        <v>2373.375703023155</v>
      </c>
      <c r="E178" s="88">
        <f>+E181*(1+$C$165)*E180*3</f>
        <v>2373.375703023155</v>
      </c>
      <c r="F178" s="88">
        <f>+F181*(1+$C$165)*F180*3</f>
        <v>2373.375703023155</v>
      </c>
      <c r="G178" s="88">
        <f>+G181*(1+$C$165)*G180*3</f>
        <v>2373.375703023155</v>
      </c>
    </row>
    <row r="179" spans="2:7" outlineLevel="3" x14ac:dyDescent="0.35">
      <c r="B179" s="91" t="s">
        <v>138</v>
      </c>
      <c r="C179" s="86"/>
      <c r="D179" s="85">
        <v>1400</v>
      </c>
      <c r="E179" s="85">
        <v>1400</v>
      </c>
      <c r="F179" s="85">
        <v>1400</v>
      </c>
      <c r="G179" s="85">
        <v>1400</v>
      </c>
    </row>
    <row r="180" spans="2:7" outlineLevel="3" x14ac:dyDescent="0.35">
      <c r="B180" s="91" t="s">
        <v>137</v>
      </c>
      <c r="C180" s="86"/>
      <c r="D180" s="93">
        <v>1</v>
      </c>
      <c r="E180" s="93">
        <f>+D180</f>
        <v>1</v>
      </c>
      <c r="F180" s="93">
        <f>+E180</f>
        <v>1</v>
      </c>
      <c r="G180" s="93">
        <f>+F180</f>
        <v>1</v>
      </c>
    </row>
    <row r="181" spans="2:7" outlineLevel="3" x14ac:dyDescent="0.35">
      <c r="B181" s="91" t="s">
        <v>136</v>
      </c>
      <c r="C181" s="86"/>
      <c r="D181" s="85">
        <f>+D179*'Histó. Vtas'!$B$17</f>
        <v>780.43329815631012</v>
      </c>
      <c r="E181" s="85">
        <f>+E179*'Histó. Vtas'!$B$17</f>
        <v>780.43329815631012</v>
      </c>
      <c r="F181" s="85">
        <f>+F179*'Histó. Vtas'!$B$17</f>
        <v>780.43329815631012</v>
      </c>
      <c r="G181" s="85">
        <f>+G179*'Histó. Vtas'!$B$17</f>
        <v>780.43329815631012</v>
      </c>
    </row>
    <row r="182" spans="2:7" outlineLevel="3" x14ac:dyDescent="0.35">
      <c r="B182" s="90" t="s">
        <v>140</v>
      </c>
      <c r="C182" s="89"/>
      <c r="D182" s="88">
        <f>+D185*(1+$C$165)*D184*3</f>
        <v>3051.4830467440561</v>
      </c>
      <c r="E182" s="88">
        <f>+E185*(1+$C$165)*E184*3</f>
        <v>3051.4830467440561</v>
      </c>
      <c r="F182" s="88">
        <f>+F185*(1+$C$165)*F184*3</f>
        <v>3051.4830467440561</v>
      </c>
      <c r="G182" s="88">
        <f>+G185*(1+$C$165)*G184*3</f>
        <v>3051.4830467440561</v>
      </c>
    </row>
    <row r="183" spans="2:7" outlineLevel="3" x14ac:dyDescent="0.35">
      <c r="B183" s="91" t="s">
        <v>138</v>
      </c>
      <c r="C183" s="86"/>
      <c r="D183" s="85">
        <v>1800</v>
      </c>
      <c r="E183" s="85">
        <v>1800</v>
      </c>
      <c r="F183" s="85">
        <v>1800</v>
      </c>
      <c r="G183" s="85">
        <v>1800</v>
      </c>
    </row>
    <row r="184" spans="2:7" outlineLevel="3" x14ac:dyDescent="0.35">
      <c r="B184" s="91" t="s">
        <v>137</v>
      </c>
      <c r="C184" s="86"/>
      <c r="D184" s="93">
        <v>1</v>
      </c>
      <c r="E184" s="93">
        <v>1</v>
      </c>
      <c r="F184" s="93">
        <v>1</v>
      </c>
      <c r="G184" s="93">
        <v>1</v>
      </c>
    </row>
    <row r="185" spans="2:7" outlineLevel="3" x14ac:dyDescent="0.35">
      <c r="B185" s="91" t="s">
        <v>136</v>
      </c>
      <c r="C185" s="86"/>
      <c r="D185" s="85">
        <f>+D183*'Histó. Vtas'!$B$17</f>
        <v>1003.4142404866844</v>
      </c>
      <c r="E185" s="85">
        <f>+E183*'Histó. Vtas'!$B$17</f>
        <v>1003.4142404866844</v>
      </c>
      <c r="F185" s="85">
        <f>+F183*'Histó. Vtas'!$B$17</f>
        <v>1003.4142404866844</v>
      </c>
      <c r="G185" s="85">
        <f>+G183*'Histó. Vtas'!$B$17</f>
        <v>1003.4142404866844</v>
      </c>
    </row>
    <row r="186" spans="2:7" outlineLevel="3" x14ac:dyDescent="0.35">
      <c r="B186" s="90" t="s">
        <v>139</v>
      </c>
      <c r="C186" s="89"/>
      <c r="D186" s="88">
        <f>+D189*(1+$C$165)*D188*3</f>
        <v>1695.2683593022534</v>
      </c>
      <c r="E186" s="88">
        <f>+E189*(1+$C$165)*E188*3</f>
        <v>2461.5945905683111</v>
      </c>
      <c r="F186" s="88">
        <f>+F189*(1+$C$165)*F188*3</f>
        <v>2498.5185094268354</v>
      </c>
      <c r="G186" s="88">
        <f>+G189*(1+$C$165)*G188*3</f>
        <v>2535.9962870682375</v>
      </c>
    </row>
    <row r="187" spans="2:7" outlineLevel="3" x14ac:dyDescent="0.35">
      <c r="B187" s="91" t="s">
        <v>138</v>
      </c>
      <c r="C187" s="86"/>
      <c r="D187" s="85">
        <v>1000</v>
      </c>
      <c r="E187" s="85">
        <f>+D187*(1+[1]Datos!$C$31)</f>
        <v>1014.9999999999999</v>
      </c>
      <c r="F187" s="85">
        <f>+E187*(1+[1]Datos!$C$31)</f>
        <v>1030.2249999999997</v>
      </c>
      <c r="G187" s="85">
        <f>+F187*(1+[1]Datos!$C$31)</f>
        <v>1045.6783749999995</v>
      </c>
    </row>
    <row r="188" spans="2:7" outlineLevel="3" x14ac:dyDescent="0.35">
      <c r="B188" s="91" t="s">
        <v>137</v>
      </c>
      <c r="C188" s="86"/>
      <c r="D188" s="93">
        <v>1</v>
      </c>
      <c r="E188" s="93">
        <f>+D188</f>
        <v>1</v>
      </c>
      <c r="F188" s="93">
        <f>+E188</f>
        <v>1</v>
      </c>
      <c r="G188" s="93">
        <f>+F188</f>
        <v>1</v>
      </c>
    </row>
    <row r="189" spans="2:7" outlineLevel="3" x14ac:dyDescent="0.35">
      <c r="B189" s="91" t="s">
        <v>136</v>
      </c>
      <c r="C189" s="86"/>
      <c r="D189" s="85">
        <f>+D187*'Histó. Vtas'!$B$17</f>
        <v>557.4523558259358</v>
      </c>
      <c r="E189" s="85">
        <f>+E187*'[1]Histó. Vtas'!$B$65</f>
        <v>809.44217242718457</v>
      </c>
      <c r="F189" s="85">
        <f>+F187*'[1]Histó. Vtas'!$B$65</f>
        <v>821.58380501359215</v>
      </c>
      <c r="G189" s="85">
        <f>+G187*'[1]Histó. Vtas'!$B$65</f>
        <v>833.90756208879588</v>
      </c>
    </row>
    <row r="190" spans="2:7" outlineLevel="3" x14ac:dyDescent="0.35">
      <c r="B190" s="81" t="s">
        <v>135</v>
      </c>
      <c r="C190" s="80"/>
      <c r="D190" s="79">
        <f>+D186+D182+D178+D174</f>
        <v>10510.663827673972</v>
      </c>
      <c r="E190" s="79">
        <f>+E186+E182+E178+E174</f>
        <v>11276.990058940028</v>
      </c>
      <c r="F190" s="79">
        <f>+F186+F182+F178+F174</f>
        <v>11313.913977798555</v>
      </c>
      <c r="G190" s="79">
        <f>+G186+G182+G178+G174</f>
        <v>11351.391755439956</v>
      </c>
    </row>
    <row r="191" spans="2:7" outlineLevel="3" x14ac:dyDescent="0.35">
      <c r="D191" s="92"/>
    </row>
    <row r="192" spans="2:7" outlineLevel="3" x14ac:dyDescent="0.35">
      <c r="B192" s="38" t="s">
        <v>134</v>
      </c>
    </row>
    <row r="193" spans="2:7" outlineLevel="3" x14ac:dyDescent="0.35"/>
    <row r="194" spans="2:7" outlineLevel="3" x14ac:dyDescent="0.35">
      <c r="C194" s="75" t="s">
        <v>121</v>
      </c>
      <c r="D194" s="75" t="s">
        <v>8</v>
      </c>
      <c r="E194" s="75" t="s">
        <v>7</v>
      </c>
      <c r="F194" s="75" t="s">
        <v>6</v>
      </c>
      <c r="G194" s="75" t="s">
        <v>5</v>
      </c>
    </row>
    <row r="195" spans="2:7" outlineLevel="3" x14ac:dyDescent="0.35">
      <c r="B195" s="90" t="s">
        <v>133</v>
      </c>
      <c r="C195" s="89"/>
      <c r="D195" s="88">
        <f>+D197*D198*3</f>
        <v>583.1482612633298</v>
      </c>
      <c r="E195" s="88">
        <f>+E197*E198*3</f>
        <v>601.99437725647567</v>
      </c>
      <c r="F195" s="88">
        <f>+F197*F198*3</f>
        <v>654.51633986032516</v>
      </c>
      <c r="G195" s="88">
        <f>+G197*G198*3</f>
        <v>693.13543001021469</v>
      </c>
    </row>
    <row r="196" spans="2:7" outlineLevel="3" x14ac:dyDescent="0.35">
      <c r="B196" s="91" t="s">
        <v>132</v>
      </c>
      <c r="C196" s="86"/>
      <c r="D196" s="85">
        <f>700*(1+'Sit. CP'!D19)</f>
        <v>633.99712092130517</v>
      </c>
      <c r="E196" s="85">
        <f>+D196*(1+E19)</f>
        <v>654.48656429942412</v>
      </c>
      <c r="F196" s="85">
        <f>+E196*(1+F19)</f>
        <v>711.58829174664095</v>
      </c>
      <c r="G196" s="85">
        <f>+F196*(1+G19)</f>
        <v>753.57485604606518</v>
      </c>
    </row>
    <row r="197" spans="2:7" outlineLevel="3" x14ac:dyDescent="0.35">
      <c r="B197" s="91" t="s">
        <v>131</v>
      </c>
      <c r="C197" s="86"/>
      <c r="D197" s="85">
        <f>+D196*'Histó. Vtas'!$B$17</f>
        <v>353.42318864444223</v>
      </c>
      <c r="E197" s="85">
        <f>+E196*'Histó. Vtas'!$B$17</f>
        <v>364.84507712513675</v>
      </c>
      <c r="F197" s="85">
        <f>+F196*'Histó. Vtas'!$B$17</f>
        <v>396.6765696123183</v>
      </c>
      <c r="G197" s="85">
        <f>+G196*'Histó. Vtas'!$B$17</f>
        <v>420.08207879406945</v>
      </c>
    </row>
    <row r="198" spans="2:7" outlineLevel="3" x14ac:dyDescent="0.35">
      <c r="B198" s="91" t="s">
        <v>35</v>
      </c>
      <c r="C198" s="86"/>
      <c r="D198" s="85">
        <f>+Datos!$C$49</f>
        <v>0.55000000000000004</v>
      </c>
      <c r="E198" s="85">
        <f>+Datos!$C$49</f>
        <v>0.55000000000000004</v>
      </c>
      <c r="F198" s="85">
        <f>+Datos!$C$49</f>
        <v>0.55000000000000004</v>
      </c>
      <c r="G198" s="85">
        <f>+Datos!$C$49</f>
        <v>0.55000000000000004</v>
      </c>
    </row>
    <row r="199" spans="2:7" outlineLevel="3" x14ac:dyDescent="0.35">
      <c r="B199" s="90" t="s">
        <v>130</v>
      </c>
      <c r="C199" s="89"/>
      <c r="D199" s="88">
        <f>+D201*D202*3</f>
        <v>56.981915814873929</v>
      </c>
      <c r="E199" s="88">
        <f>+E201*E202*3</f>
        <v>58.823450577632769</v>
      </c>
      <c r="F199" s="88">
        <f>+F201*F202*3</f>
        <v>63.95559663778036</v>
      </c>
      <c r="G199" s="88">
        <f>+G201*G202*3</f>
        <v>67.729233446712414</v>
      </c>
    </row>
    <row r="200" spans="2:7" outlineLevel="3" x14ac:dyDescent="0.35">
      <c r="B200" s="91" t="s">
        <v>129</v>
      </c>
      <c r="C200" s="86"/>
      <c r="D200" s="85">
        <f>3.8*(1+'Sit. CP'!D19)</f>
        <v>3.4416986564299421</v>
      </c>
      <c r="E200" s="85">
        <f>+D200*(1+E19)</f>
        <v>3.5529270633397312</v>
      </c>
      <c r="F200" s="85">
        <f>+E200*(1+F19)</f>
        <v>3.8629078694817656</v>
      </c>
      <c r="G200" s="85">
        <f>+F200*(1+G19)</f>
        <v>4.0908349328214966</v>
      </c>
    </row>
    <row r="201" spans="2:7" outlineLevel="3" x14ac:dyDescent="0.35">
      <c r="B201" s="91" t="s">
        <v>128</v>
      </c>
      <c r="C201" s="86"/>
      <c r="D201" s="85">
        <f>+D200*'Histó. Vtas'!$B$17</f>
        <v>1.9185830240698292</v>
      </c>
      <c r="E201" s="85">
        <f>+E200*'Histó. Vtas'!$B$17</f>
        <v>1.980587561536457</v>
      </c>
      <c r="F201" s="85">
        <f>+F200*'Histó. Vtas'!$B$17</f>
        <v>2.1533870921811569</v>
      </c>
      <c r="G201" s="85">
        <f>+G200*'Histó. Vtas'!$B$17</f>
        <v>2.2804455705963771</v>
      </c>
    </row>
    <row r="202" spans="2:7" outlineLevel="3" x14ac:dyDescent="0.35">
      <c r="B202" s="91" t="s">
        <v>33</v>
      </c>
      <c r="C202" s="86"/>
      <c r="D202" s="85">
        <f>+Datos!$C$50</f>
        <v>9.9</v>
      </c>
      <c r="E202" s="85">
        <f>+Datos!$C$50</f>
        <v>9.9</v>
      </c>
      <c r="F202" s="85">
        <f>+Datos!$C$50</f>
        <v>9.9</v>
      </c>
      <c r="G202" s="85">
        <f>+Datos!$C$50</f>
        <v>9.9</v>
      </c>
    </row>
    <row r="203" spans="2:7" outlineLevel="3" x14ac:dyDescent="0.35">
      <c r="B203" s="90" t="s">
        <v>309</v>
      </c>
      <c r="C203" s="89"/>
      <c r="D203" s="88">
        <f>+D204*D205*'Histó. Vtas'!$B$17*3</f>
        <v>3679.1855484511761</v>
      </c>
      <c r="E203" s="88">
        <f>+E204*E205*'Histó. Vtas'!$B$17*3</f>
        <v>3679.1855484511761</v>
      </c>
      <c r="F203" s="88">
        <f>+F204*F205*'Histó. Vtas'!$B$17*3</f>
        <v>3679.1855484511761</v>
      </c>
      <c r="G203" s="88">
        <f>+G204*G205*'Histó. Vtas'!$B$17*3</f>
        <v>3679.1855484511761</v>
      </c>
    </row>
    <row r="204" spans="2:7" outlineLevel="3" x14ac:dyDescent="0.35">
      <c r="B204" s="91" t="s">
        <v>310</v>
      </c>
      <c r="C204" s="86"/>
      <c r="D204" s="85">
        <f>+ROUNDUP(Planes!$D$188/Planes!$D$190,0)</f>
        <v>2</v>
      </c>
      <c r="E204" s="85">
        <f>+ROUNDUP(Planes!$D$188/Planes!$D$190,0)</f>
        <v>2</v>
      </c>
      <c r="F204" s="85">
        <f>+ROUNDUP(Planes!$D$188/Planes!$D$190,0)</f>
        <v>2</v>
      </c>
      <c r="G204" s="85">
        <f>+ROUNDUP(Planes!$D$188/Planes!$D$190,0)</f>
        <v>2</v>
      </c>
    </row>
    <row r="205" spans="2:7" outlineLevel="3" x14ac:dyDescent="0.35">
      <c r="B205" s="91" t="s">
        <v>311</v>
      </c>
      <c r="C205" s="86"/>
      <c r="D205" s="85">
        <f>+Planes!$D$189</f>
        <v>1100</v>
      </c>
      <c r="E205" s="85">
        <f>+Planes!$D$189</f>
        <v>1100</v>
      </c>
      <c r="F205" s="85">
        <f>+Planes!$D$189</f>
        <v>1100</v>
      </c>
      <c r="G205" s="85">
        <f>+Planes!$D$189</f>
        <v>1100</v>
      </c>
    </row>
    <row r="206" spans="2:7" outlineLevel="3" x14ac:dyDescent="0.35">
      <c r="B206" s="81" t="s">
        <v>127</v>
      </c>
      <c r="C206" s="80"/>
      <c r="D206" s="79">
        <f>+D199+D195+D203</f>
        <v>4319.31572552938</v>
      </c>
      <c r="E206" s="79">
        <f t="shared" ref="E206:G206" si="11">+E199+E195+E203</f>
        <v>4340.0033762852845</v>
      </c>
      <c r="F206" s="79">
        <f t="shared" si="11"/>
        <v>4397.6574849492818</v>
      </c>
      <c r="G206" s="79">
        <f t="shared" si="11"/>
        <v>4440.0502119081029</v>
      </c>
    </row>
    <row r="207" spans="2:7" outlineLevel="3" x14ac:dyDescent="0.35"/>
    <row r="208" spans="2:7" outlineLevel="3" x14ac:dyDescent="0.35">
      <c r="B208" s="38" t="s">
        <v>126</v>
      </c>
    </row>
    <row r="209" spans="1:7" outlineLevel="3" x14ac:dyDescent="0.35"/>
    <row r="210" spans="1:7" outlineLevel="3" x14ac:dyDescent="0.35">
      <c r="C210" s="75" t="s">
        <v>121</v>
      </c>
      <c r="D210" s="75" t="s">
        <v>8</v>
      </c>
      <c r="E210" s="75" t="s">
        <v>7</v>
      </c>
      <c r="F210" s="75" t="s">
        <v>6</v>
      </c>
      <c r="G210" s="75" t="s">
        <v>5</v>
      </c>
    </row>
    <row r="211" spans="1:7" outlineLevel="3" x14ac:dyDescent="0.35">
      <c r="A211" s="99"/>
      <c r="B211" s="90" t="s">
        <v>246</v>
      </c>
      <c r="C211" s="89"/>
      <c r="D211" s="88">
        <f>+Planes!$D$98*3</f>
        <v>450</v>
      </c>
      <c r="E211" s="88">
        <f>+Planes!$D$98*3</f>
        <v>450</v>
      </c>
      <c r="F211" s="88">
        <f>+Planes!$D$98*3</f>
        <v>450</v>
      </c>
      <c r="G211" s="88">
        <f>+Planes!$D$98*3</f>
        <v>450</v>
      </c>
    </row>
    <row r="212" spans="1:7" outlineLevel="3" x14ac:dyDescent="0.35">
      <c r="A212" s="99"/>
    </row>
    <row r="213" spans="1:7" outlineLevel="3" x14ac:dyDescent="0.35">
      <c r="A213" s="99"/>
      <c r="B213" s="38" t="s">
        <v>125</v>
      </c>
    </row>
    <row r="214" spans="1:7" outlineLevel="3" x14ac:dyDescent="0.35">
      <c r="A214" s="99"/>
    </row>
    <row r="215" spans="1:7" outlineLevel="3" x14ac:dyDescent="0.35">
      <c r="A215" s="99"/>
      <c r="C215" s="75" t="s">
        <v>121</v>
      </c>
      <c r="D215" s="75" t="s">
        <v>8</v>
      </c>
      <c r="E215" s="75" t="s">
        <v>7</v>
      </c>
      <c r="F215" s="75" t="s">
        <v>6</v>
      </c>
      <c r="G215" s="75" t="s">
        <v>5</v>
      </c>
    </row>
    <row r="216" spans="1:7" outlineLevel="3" x14ac:dyDescent="0.35">
      <c r="A216" s="99"/>
      <c r="B216" s="90" t="s">
        <v>124</v>
      </c>
      <c r="C216" s="89"/>
      <c r="D216" s="88">
        <f>+SUM(D217:D220)</f>
        <v>2180.335</v>
      </c>
      <c r="E216" s="88">
        <f t="shared" ref="E216:G216" si="12">+SUM(E217:E220)</f>
        <v>1542.9498000000001</v>
      </c>
      <c r="F216" s="88">
        <f t="shared" si="12"/>
        <v>1578.1058</v>
      </c>
      <c r="G216" s="88">
        <f t="shared" si="12"/>
        <v>1603.9558000000002</v>
      </c>
    </row>
    <row r="217" spans="1:7" outlineLevel="3" x14ac:dyDescent="0.35">
      <c r="A217" s="99"/>
      <c r="B217" s="87" t="s">
        <v>247</v>
      </c>
      <c r="C217" s="86"/>
      <c r="D217" s="85">
        <f>+Planes!$D$97*3</f>
        <v>870</v>
      </c>
      <c r="E217" s="85">
        <f>+Planes!$D$97*3</f>
        <v>870</v>
      </c>
      <c r="F217" s="85">
        <f>+Planes!$D$97*3</f>
        <v>870</v>
      </c>
      <c r="G217" s="85">
        <f>+Planes!$D$97*3</f>
        <v>870</v>
      </c>
    </row>
    <row r="218" spans="1:7" outlineLevel="3" x14ac:dyDescent="0.35">
      <c r="A218" s="99"/>
      <c r="B218" s="87" t="s">
        <v>248</v>
      </c>
      <c r="C218" s="86"/>
      <c r="D218" s="86">
        <f>+(D21*Planes!$D$77*Planes!$D$78)+(D21*Planes!$D$79*Planes!$D$80)+(D21*Planes!$D$81*Planes!$D$82)</f>
        <v>390.33500000000004</v>
      </c>
      <c r="E218" s="86">
        <f>+(E21*Planes!$D$77*Planes!$D$78)+(E21*Planes!$D$79*Planes!$D$80)+(E21*Planes!$D$81*Planes!$D$82)</f>
        <v>402.94980000000004</v>
      </c>
      <c r="F218" s="86">
        <f>+(F21*Planes!$D$77*Planes!$D$78)+(F21*Planes!$D$79*Planes!$D$80)+(F21*Planes!$D$81*Planes!$D$82)</f>
        <v>438.10580000000004</v>
      </c>
      <c r="G218" s="86">
        <f>+(G21*Planes!$D$77*Planes!$D$78)+(G21*Planes!$D$79*Planes!$D$80)+(G21*Planes!$D$81*Planes!$D$82)</f>
        <v>463.95580000000007</v>
      </c>
    </row>
    <row r="219" spans="1:7" ht="28.8" outlineLevel="3" x14ac:dyDescent="0.35">
      <c r="A219" s="99"/>
      <c r="B219" s="235" t="s">
        <v>279</v>
      </c>
      <c r="C219" s="86"/>
      <c r="D219" s="236">
        <f>+Planes!$D$192*3</f>
        <v>270</v>
      </c>
      <c r="E219" s="236">
        <f>+Planes!$D$192*3</f>
        <v>270</v>
      </c>
      <c r="F219" s="236">
        <f>+Planes!$D$192*3</f>
        <v>270</v>
      </c>
      <c r="G219" s="236">
        <f>+Planes!$D$192*3</f>
        <v>270</v>
      </c>
    </row>
    <row r="220" spans="1:7" outlineLevel="3" x14ac:dyDescent="0.35">
      <c r="A220" s="99"/>
      <c r="B220" s="87" t="s">
        <v>342</v>
      </c>
      <c r="C220" s="86"/>
      <c r="D220" s="86">
        <f>+Planes!D138+Planes!D139</f>
        <v>650</v>
      </c>
      <c r="E220" s="86">
        <v>0</v>
      </c>
      <c r="F220" s="86">
        <v>0</v>
      </c>
      <c r="G220" s="86">
        <v>0</v>
      </c>
    </row>
    <row r="221" spans="1:7" outlineLevel="3" x14ac:dyDescent="0.35">
      <c r="A221" s="99"/>
    </row>
    <row r="222" spans="1:7" outlineLevel="3" x14ac:dyDescent="0.35">
      <c r="A222" s="99"/>
      <c r="B222" s="38" t="s">
        <v>466</v>
      </c>
    </row>
    <row r="223" spans="1:7" outlineLevel="3" x14ac:dyDescent="0.35">
      <c r="A223" s="99"/>
    </row>
    <row r="224" spans="1:7" outlineLevel="3" x14ac:dyDescent="0.35">
      <c r="C224" s="75" t="s">
        <v>121</v>
      </c>
      <c r="D224" s="75" t="s">
        <v>8</v>
      </c>
      <c r="E224" s="75" t="s">
        <v>7</v>
      </c>
      <c r="F224" s="75" t="s">
        <v>6</v>
      </c>
      <c r="G224" s="75" t="s">
        <v>5</v>
      </c>
    </row>
    <row r="225" spans="2:7" outlineLevel="3" x14ac:dyDescent="0.35">
      <c r="B225" s="81" t="s">
        <v>123</v>
      </c>
      <c r="C225" s="80"/>
      <c r="D225" s="79">
        <f>+D216+D211+D206+D190+D160</f>
        <v>18395.314553203352</v>
      </c>
      <c r="E225" s="79">
        <f>+E216+E211+E206+E190+E160</f>
        <v>18544.943235225313</v>
      </c>
      <c r="F225" s="79">
        <f>+F216+F211+F206+F190+F160</f>
        <v>18674.677262747835</v>
      </c>
      <c r="G225" s="79">
        <f>+G216+G211+G206+G190+G160</f>
        <v>18780.397767348059</v>
      </c>
    </row>
    <row r="226" spans="2:7" outlineLevel="3" x14ac:dyDescent="0.35">
      <c r="B226" s="78" t="s">
        <v>122</v>
      </c>
      <c r="C226" s="77"/>
      <c r="D226" s="76">
        <f>+D225/D21</f>
        <v>4.8729310074710863</v>
      </c>
      <c r="E226" s="76">
        <f>+E225/E21</f>
        <v>4.7587742456313356</v>
      </c>
      <c r="F226" s="76">
        <f>+F225/F21</f>
        <v>4.4075235456095907</v>
      </c>
      <c r="G226" s="76">
        <f>+G225/G21</f>
        <v>4.1855132086802005</v>
      </c>
    </row>
    <row r="227" spans="2:7" outlineLevel="3" x14ac:dyDescent="0.35"/>
    <row r="228" spans="2:7" outlineLevel="3" x14ac:dyDescent="0.35"/>
    <row r="229" spans="2:7" outlineLevel="3" x14ac:dyDescent="0.35">
      <c r="B229" s="254" t="s">
        <v>217</v>
      </c>
      <c r="C229" s="254"/>
      <c r="D229" s="254"/>
      <c r="E229" s="254"/>
      <c r="F229" s="254"/>
      <c r="G229" s="254"/>
    </row>
    <row r="230" spans="2:7" outlineLevel="3" x14ac:dyDescent="0.35"/>
    <row r="231" spans="2:7" outlineLevel="3" x14ac:dyDescent="0.35"/>
    <row r="232" spans="2:7" outlineLevel="2" x14ac:dyDescent="0.35">
      <c r="C232" s="75" t="s">
        <v>121</v>
      </c>
      <c r="D232" s="75" t="s">
        <v>8</v>
      </c>
      <c r="E232" s="75" t="s">
        <v>7</v>
      </c>
      <c r="F232" s="75" t="s">
        <v>6</v>
      </c>
      <c r="G232" s="75" t="s">
        <v>5</v>
      </c>
    </row>
    <row r="233" spans="2:7" outlineLevel="2" x14ac:dyDescent="0.35">
      <c r="B233" s="81" t="s">
        <v>120</v>
      </c>
      <c r="C233" s="80"/>
      <c r="D233" s="79">
        <f>+D225+D122+D73</f>
        <v>214835.83672747746</v>
      </c>
      <c r="E233" s="79">
        <f>+E225+E122+E73</f>
        <v>220933.41603508266</v>
      </c>
      <c r="F233" s="79">
        <f>+F225+F122+F73</f>
        <v>238705.49453579122</v>
      </c>
      <c r="G233" s="79">
        <f>+G225+G122+G73</f>
        <v>251817.67635773408</v>
      </c>
    </row>
    <row r="234" spans="2:7" outlineLevel="2" x14ac:dyDescent="0.35">
      <c r="B234" s="78" t="s">
        <v>119</v>
      </c>
      <c r="C234" s="77"/>
      <c r="D234" s="76">
        <f>+D233/D18</f>
        <v>56.91015542449734</v>
      </c>
      <c r="E234" s="76">
        <f>+E233/E18</f>
        <v>56.693204012081772</v>
      </c>
      <c r="F234" s="76">
        <f>+F233/F18</f>
        <v>56.338327716731463</v>
      </c>
      <c r="G234" s="76">
        <f>+G233/G18</f>
        <v>56.121612738518849</v>
      </c>
    </row>
    <row r="235" spans="2:7" outlineLevel="2" x14ac:dyDescent="0.35"/>
    <row r="236" spans="2:7" outlineLevel="1" x14ac:dyDescent="0.35"/>
    <row r="237" spans="2:7" outlineLevel="1" x14ac:dyDescent="0.35">
      <c r="B237" s="253" t="s">
        <v>118</v>
      </c>
      <c r="C237" s="253"/>
      <c r="D237" s="253"/>
      <c r="E237" s="253"/>
      <c r="F237" s="253"/>
      <c r="G237" s="253"/>
    </row>
    <row r="238" spans="2:7" outlineLevel="2" x14ac:dyDescent="0.35"/>
    <row r="239" spans="2:7" outlineLevel="2" x14ac:dyDescent="0.35">
      <c r="B239" s="254" t="s">
        <v>117</v>
      </c>
      <c r="C239" s="254"/>
      <c r="D239" s="254"/>
      <c r="E239" s="254"/>
      <c r="F239" s="254"/>
      <c r="G239" s="254"/>
    </row>
    <row r="240" spans="2:7" outlineLevel="3" x14ac:dyDescent="0.35"/>
    <row r="241" spans="2:7" outlineLevel="3" x14ac:dyDescent="0.35">
      <c r="C241" s="75" t="s">
        <v>121</v>
      </c>
      <c r="D241" s="75" t="s">
        <v>8</v>
      </c>
      <c r="E241" s="75" t="s">
        <v>7</v>
      </c>
      <c r="F241" s="75" t="s">
        <v>6</v>
      </c>
      <c r="G241" s="75" t="s">
        <v>5</v>
      </c>
    </row>
    <row r="242" spans="2:7" outlineLevel="3" x14ac:dyDescent="0.35">
      <c r="B242" s="81" t="s">
        <v>221</v>
      </c>
      <c r="C242" s="80"/>
      <c r="D242" s="79">
        <f>+D17*Datos!$C$54</f>
        <v>65407.16</v>
      </c>
      <c r="E242" s="79">
        <f>+E17*Datos!$C$54</f>
        <v>67520.980800000005</v>
      </c>
      <c r="F242" s="79">
        <f>+F17*Datos!$C$54</f>
        <v>73411.9568</v>
      </c>
      <c r="G242" s="79">
        <f>+G17*Datos!$C$54</f>
        <v>77743.556800000006</v>
      </c>
    </row>
    <row r="243" spans="2:7" outlineLevel="3" x14ac:dyDescent="0.35">
      <c r="B243" s="78" t="s">
        <v>222</v>
      </c>
      <c r="C243" s="77"/>
      <c r="D243" s="76">
        <f>+D242/D18</f>
        <v>17.3264</v>
      </c>
      <c r="E243" s="76">
        <f>+E242/E18</f>
        <v>17.3264</v>
      </c>
      <c r="F243" s="76">
        <f>+F242/F18</f>
        <v>17.3264</v>
      </c>
      <c r="G243" s="76">
        <f>+G242/G18</f>
        <v>17.3264</v>
      </c>
    </row>
    <row r="244" spans="2:7" outlineLevel="3" x14ac:dyDescent="0.35"/>
    <row r="245" spans="2:7" outlineLevel="2" x14ac:dyDescent="0.35"/>
    <row r="246" spans="2:7" outlineLevel="2" x14ac:dyDescent="0.35">
      <c r="B246" s="254" t="s">
        <v>116</v>
      </c>
      <c r="C246" s="254"/>
      <c r="D246" s="254"/>
      <c r="E246" s="254"/>
      <c r="F246" s="254"/>
      <c r="G246" s="254"/>
    </row>
    <row r="247" spans="2:7" outlineLevel="3" x14ac:dyDescent="0.35"/>
    <row r="248" spans="2:7" outlineLevel="3" x14ac:dyDescent="0.35">
      <c r="C248" s="75" t="s">
        <v>121</v>
      </c>
      <c r="D248" s="75" t="s">
        <v>8</v>
      </c>
      <c r="E248" s="75" t="s">
        <v>7</v>
      </c>
      <c r="F248" s="75" t="s">
        <v>6</v>
      </c>
      <c r="G248" s="75" t="s">
        <v>5</v>
      </c>
    </row>
    <row r="249" spans="2:7" outlineLevel="3" x14ac:dyDescent="0.35">
      <c r="B249" s="81" t="s">
        <v>224</v>
      </c>
      <c r="C249" s="80"/>
      <c r="D249" s="79">
        <f>+D17*Datos!$C$55</f>
        <v>19237.400000000001</v>
      </c>
      <c r="E249" s="79">
        <f>+E17*Datos!$C$55</f>
        <v>19859.112000000001</v>
      </c>
      <c r="F249" s="79">
        <f>+F17*Datos!$C$55</f>
        <v>21591.752</v>
      </c>
      <c r="G249" s="79">
        <f>+G17*Datos!$C$55</f>
        <v>22865.752</v>
      </c>
    </row>
    <row r="250" spans="2:7" outlineLevel="3" x14ac:dyDescent="0.35">
      <c r="B250" s="78" t="s">
        <v>223</v>
      </c>
      <c r="C250" s="77"/>
      <c r="D250" s="76">
        <f>+D249/D18</f>
        <v>5.0960000000000001</v>
      </c>
      <c r="E250" s="76">
        <f>+E249/E18</f>
        <v>5.0960000000000001</v>
      </c>
      <c r="F250" s="76">
        <f>+F249/F18</f>
        <v>5.0960000000000001</v>
      </c>
      <c r="G250" s="76">
        <f>+G249/G18</f>
        <v>5.0960000000000001</v>
      </c>
    </row>
    <row r="251" spans="2:7" outlineLevel="3" x14ac:dyDescent="0.35"/>
    <row r="252" spans="2:7" outlineLevel="3" x14ac:dyDescent="0.35"/>
    <row r="253" spans="2:7" outlineLevel="3" x14ac:dyDescent="0.35">
      <c r="B253" s="254" t="s">
        <v>118</v>
      </c>
      <c r="C253" s="254"/>
      <c r="D253" s="254"/>
      <c r="E253" s="254"/>
      <c r="F253" s="254"/>
      <c r="G253" s="254"/>
    </row>
    <row r="254" spans="2:7" outlineLevel="2" x14ac:dyDescent="0.35"/>
    <row r="255" spans="2:7" outlineLevel="2" x14ac:dyDescent="0.35">
      <c r="C255" s="75" t="s">
        <v>121</v>
      </c>
      <c r="D255" s="75" t="s">
        <v>8</v>
      </c>
      <c r="E255" s="75" t="s">
        <v>7</v>
      </c>
      <c r="F255" s="75" t="s">
        <v>6</v>
      </c>
      <c r="G255" s="75" t="s">
        <v>5</v>
      </c>
    </row>
    <row r="256" spans="2:7" outlineLevel="2" x14ac:dyDescent="0.35">
      <c r="B256" s="81" t="s">
        <v>225</v>
      </c>
      <c r="C256" s="80"/>
      <c r="D256" s="79">
        <f>+D242+D249</f>
        <v>84644.56</v>
      </c>
      <c r="E256" s="79">
        <f>+E242+E249</f>
        <v>87380.092800000013</v>
      </c>
      <c r="F256" s="79">
        <f>+F242+F249</f>
        <v>95003.708799999993</v>
      </c>
      <c r="G256" s="79">
        <f>+G242+G249</f>
        <v>100609.3088</v>
      </c>
    </row>
    <row r="257" spans="2:7" outlineLevel="2" x14ac:dyDescent="0.35">
      <c r="B257" s="78" t="s">
        <v>226</v>
      </c>
      <c r="C257" s="77"/>
      <c r="D257" s="76">
        <f>+D256/D18</f>
        <v>22.4224</v>
      </c>
      <c r="E257" s="76">
        <f>+E256/E18</f>
        <v>22.422400000000003</v>
      </c>
      <c r="F257" s="76">
        <f>+F256/F18</f>
        <v>22.4224</v>
      </c>
      <c r="G257" s="76">
        <f>+G256/G18</f>
        <v>22.4224</v>
      </c>
    </row>
    <row r="258" spans="2:7" outlineLevel="2" x14ac:dyDescent="0.35">
      <c r="B258" s="84"/>
      <c r="C258" s="83"/>
      <c r="D258" s="82"/>
      <c r="E258" s="82"/>
      <c r="F258" s="82"/>
      <c r="G258" s="82"/>
    </row>
    <row r="259" spans="2:7" outlineLevel="2" x14ac:dyDescent="0.35">
      <c r="B259" s="84"/>
      <c r="C259" s="83"/>
      <c r="D259" s="82"/>
      <c r="E259" s="82"/>
      <c r="F259" s="82"/>
      <c r="G259" s="82"/>
    </row>
    <row r="260" spans="2:7" outlineLevel="2" x14ac:dyDescent="0.35">
      <c r="B260" s="254" t="s">
        <v>250</v>
      </c>
      <c r="C260" s="254"/>
      <c r="D260" s="254"/>
      <c r="E260" s="254"/>
      <c r="F260" s="254"/>
      <c r="G260" s="254"/>
    </row>
    <row r="261" spans="2:7" outlineLevel="1" x14ac:dyDescent="0.35"/>
    <row r="262" spans="2:7" outlineLevel="1" x14ac:dyDescent="0.35">
      <c r="C262" s="75" t="s">
        <v>121</v>
      </c>
      <c r="D262" s="75" t="s">
        <v>8</v>
      </c>
      <c r="E262" s="75" t="s">
        <v>7</v>
      </c>
      <c r="F262" s="75" t="s">
        <v>6</v>
      </c>
      <c r="G262" s="75" t="s">
        <v>5</v>
      </c>
    </row>
    <row r="263" spans="2:7" outlineLevel="1" x14ac:dyDescent="0.35">
      <c r="B263" s="81" t="s">
        <v>227</v>
      </c>
      <c r="C263" s="80"/>
      <c r="D263" s="79">
        <f>+D233+D256</f>
        <v>299480.39672747743</v>
      </c>
      <c r="E263" s="79">
        <f>+E233+E256</f>
        <v>308313.50883508264</v>
      </c>
      <c r="F263" s="79">
        <f>+F233+F256</f>
        <v>333709.20333579124</v>
      </c>
      <c r="G263" s="79">
        <f>+G233+G256</f>
        <v>352426.98515773407</v>
      </c>
    </row>
    <row r="264" spans="2:7" outlineLevel="1" x14ac:dyDescent="0.35">
      <c r="B264" s="78" t="s">
        <v>228</v>
      </c>
      <c r="C264" s="77"/>
      <c r="D264" s="76">
        <f>+D263/D18</f>
        <v>79.332555424497329</v>
      </c>
      <c r="E264" s="76">
        <f>+E263/E18</f>
        <v>79.115604012081761</v>
      </c>
      <c r="F264" s="76">
        <f>+F263/F18</f>
        <v>78.760727716731466</v>
      </c>
      <c r="G264" s="76">
        <f>+G263/G18</f>
        <v>78.544012738518845</v>
      </c>
    </row>
    <row r="265" spans="2:7" outlineLevel="1" x14ac:dyDescent="0.35"/>
    <row r="266" spans="2:7" outlineLevel="1" x14ac:dyDescent="0.35"/>
    <row r="267" spans="2:7" outlineLevel="1" x14ac:dyDescent="0.35">
      <c r="B267" s="254" t="s">
        <v>251</v>
      </c>
      <c r="C267" s="254"/>
      <c r="D267" s="254"/>
      <c r="E267" s="254"/>
      <c r="F267" s="254"/>
      <c r="G267" s="254"/>
    </row>
    <row r="269" spans="2:7" ht="15" thickBot="1" x14ac:dyDescent="0.4">
      <c r="C269" s="75" t="s">
        <v>121</v>
      </c>
      <c r="D269" s="75" t="s">
        <v>8</v>
      </c>
      <c r="E269" s="75" t="s">
        <v>7</v>
      </c>
      <c r="F269" s="75" t="s">
        <v>6</v>
      </c>
      <c r="G269" s="75" t="s">
        <v>5</v>
      </c>
    </row>
    <row r="270" spans="2:7" ht="15" thickBot="1" x14ac:dyDescent="0.4">
      <c r="B270" s="74" t="s">
        <v>115</v>
      </c>
      <c r="C270" s="73"/>
      <c r="D270" s="73">
        <f>(D20-D264)/D20</f>
        <v>0.221619354155246</v>
      </c>
      <c r="E270" s="73">
        <f>(E20-E264)/E20</f>
        <v>0.22374799831159969</v>
      </c>
      <c r="F270" s="73">
        <f>(F20-F264)/F20</f>
        <v>0.22722990858779959</v>
      </c>
      <c r="G270" s="73">
        <f>(G20-G264)/G20</f>
        <v>0.22935623294231905</v>
      </c>
    </row>
  </sheetData>
  <mergeCells count="16">
    <mergeCell ref="B2:G2"/>
    <mergeCell ref="B164:C164"/>
    <mergeCell ref="C165:C169"/>
    <mergeCell ref="B229:G229"/>
    <mergeCell ref="B13:G13"/>
    <mergeCell ref="B26:G26"/>
    <mergeCell ref="B28:G28"/>
    <mergeCell ref="B30:G30"/>
    <mergeCell ref="B76:G76"/>
    <mergeCell ref="B125:G125"/>
    <mergeCell ref="B246:G246"/>
    <mergeCell ref="B253:G253"/>
    <mergeCell ref="B260:G260"/>
    <mergeCell ref="B267:G267"/>
    <mergeCell ref="B237:G237"/>
    <mergeCell ref="B239:G239"/>
  </mergeCells>
  <pageMargins left="0.7" right="0.7" top="0.75" bottom="0.75" header="0.3" footer="0.3"/>
  <pageSetup paperSize="9" orientation="portrait" r:id="rId1"/>
  <ignoredErrors>
    <ignoredError sqref="D19" formulaRange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E545-2E49-47B8-A108-30CE0E0F0C72}">
  <sheetPr>
    <outlinePr summaryBelow="0" summaryRight="0"/>
  </sheetPr>
  <dimension ref="A1:I75"/>
  <sheetViews>
    <sheetView showGridLines="0" topLeftCell="A35" workbookViewId="0">
      <selection activeCell="A57" sqref="A57"/>
    </sheetView>
  </sheetViews>
  <sheetFormatPr baseColWidth="10" defaultColWidth="11.44140625" defaultRowHeight="14.4" outlineLevelRow="2" x14ac:dyDescent="0.35"/>
  <cols>
    <col min="1" max="1" width="4" style="64" customWidth="1"/>
    <col min="2" max="2" width="6.77734375" style="64" bestFit="1" customWidth="1"/>
    <col min="3" max="3" width="49.33203125" style="64" bestFit="1" customWidth="1"/>
    <col min="4" max="8" width="16.88671875" style="64" customWidth="1"/>
    <col min="9" max="9" width="6.77734375" style="64" customWidth="1"/>
    <col min="10" max="16384" width="11.44140625" style="64"/>
  </cols>
  <sheetData>
    <row r="1" spans="1:9" x14ac:dyDescent="0.35">
      <c r="A1" s="120"/>
    </row>
    <row r="2" spans="1:9" x14ac:dyDescent="0.35">
      <c r="B2" s="247" t="s">
        <v>256</v>
      </c>
      <c r="C2" s="248"/>
      <c r="D2" s="248"/>
      <c r="E2" s="248"/>
      <c r="F2" s="248"/>
      <c r="G2" s="248"/>
      <c r="H2" s="248"/>
      <c r="I2" s="248"/>
    </row>
    <row r="3" spans="1:9" outlineLevel="1" x14ac:dyDescent="0.35"/>
    <row r="4" spans="1:9" outlineLevel="1" x14ac:dyDescent="0.35"/>
    <row r="5" spans="1:9" outlineLevel="1" x14ac:dyDescent="0.35">
      <c r="B5" s="121" t="s">
        <v>257</v>
      </c>
      <c r="C5" s="121" t="s">
        <v>258</v>
      </c>
      <c r="D5" s="121" t="s">
        <v>259</v>
      </c>
      <c r="E5" s="121" t="s">
        <v>260</v>
      </c>
      <c r="F5" s="121" t="s">
        <v>314</v>
      </c>
      <c r="G5" s="122" t="s">
        <v>261</v>
      </c>
      <c r="H5" s="122" t="s">
        <v>262</v>
      </c>
    </row>
    <row r="6" spans="1:9" outlineLevel="1" x14ac:dyDescent="0.35">
      <c r="B6" s="123">
        <v>1</v>
      </c>
      <c r="C6" s="124" t="s">
        <v>264</v>
      </c>
      <c r="D6" s="123"/>
      <c r="E6" s="123"/>
      <c r="F6" s="100"/>
      <c r="G6" s="100"/>
      <c r="H6" s="125">
        <f>+H7+H10+H14+H19+H21+H26+H31+H36+H41+H45+H49</f>
        <v>19011</v>
      </c>
    </row>
    <row r="7" spans="1:9" outlineLevel="1" x14ac:dyDescent="0.35">
      <c r="B7" s="138">
        <v>1.1000000000000001</v>
      </c>
      <c r="C7" s="137" t="s">
        <v>276</v>
      </c>
      <c r="D7" s="137"/>
      <c r="E7" s="137"/>
      <c r="F7" s="137"/>
      <c r="G7" s="137"/>
      <c r="H7" s="139">
        <f>+SUM(G8:G9)</f>
        <v>1016</v>
      </c>
    </row>
    <row r="8" spans="1:9" outlineLevel="1" x14ac:dyDescent="0.35">
      <c r="B8" s="126" t="s">
        <v>312</v>
      </c>
      <c r="C8" s="127" t="s">
        <v>379</v>
      </c>
      <c r="D8" s="128">
        <v>1</v>
      </c>
      <c r="E8" s="128" t="s">
        <v>263</v>
      </c>
      <c r="F8" s="129">
        <f>+Planes!D11</f>
        <v>756</v>
      </c>
      <c r="G8" s="129">
        <f>+F8*D8</f>
        <v>756</v>
      </c>
      <c r="H8" s="126"/>
    </row>
    <row r="9" spans="1:9" ht="28.8" outlineLevel="1" x14ac:dyDescent="0.35">
      <c r="B9" s="126" t="s">
        <v>313</v>
      </c>
      <c r="C9" s="143" t="s">
        <v>277</v>
      </c>
      <c r="D9" s="128">
        <v>1</v>
      </c>
      <c r="E9" s="128" t="s">
        <v>263</v>
      </c>
      <c r="F9" s="129">
        <f>+Planes!D10</f>
        <v>260</v>
      </c>
      <c r="G9" s="129">
        <f>+F9*D9</f>
        <v>260</v>
      </c>
      <c r="H9" s="126"/>
    </row>
    <row r="10" spans="1:9" outlineLevel="1" x14ac:dyDescent="0.35">
      <c r="B10" s="138">
        <v>1.2</v>
      </c>
      <c r="C10" s="137" t="s">
        <v>278</v>
      </c>
      <c r="D10" s="137"/>
      <c r="E10" s="137"/>
      <c r="F10" s="137"/>
      <c r="G10" s="137"/>
      <c r="H10" s="139">
        <f>+SUM(G11:G13)</f>
        <v>2120</v>
      </c>
    </row>
    <row r="11" spans="1:9" outlineLevel="1" x14ac:dyDescent="0.35">
      <c r="B11" s="140" t="s">
        <v>345</v>
      </c>
      <c r="C11" s="127" t="s">
        <v>379</v>
      </c>
      <c r="D11" s="128">
        <v>1</v>
      </c>
      <c r="E11" s="128" t="s">
        <v>263</v>
      </c>
      <c r="F11" s="129">
        <f>+Planes!D28</f>
        <v>840</v>
      </c>
      <c r="G11" s="129">
        <f>+F11*D11</f>
        <v>840</v>
      </c>
      <c r="H11" s="129"/>
    </row>
    <row r="12" spans="1:9" ht="28.8" outlineLevel="1" x14ac:dyDescent="0.35">
      <c r="B12" s="140" t="s">
        <v>346</v>
      </c>
      <c r="C12" s="143" t="s">
        <v>280</v>
      </c>
      <c r="D12" s="128">
        <v>1</v>
      </c>
      <c r="E12" s="128" t="s">
        <v>263</v>
      </c>
      <c r="F12" s="129">
        <f>+Planes!D27</f>
        <v>750</v>
      </c>
      <c r="G12" s="129">
        <f>+F12*D12</f>
        <v>750</v>
      </c>
      <c r="H12" s="129"/>
    </row>
    <row r="13" spans="1:9" outlineLevel="1" x14ac:dyDescent="0.35">
      <c r="B13" s="140" t="s">
        <v>347</v>
      </c>
      <c r="C13" s="127" t="s">
        <v>281</v>
      </c>
      <c r="D13" s="128">
        <v>1</v>
      </c>
      <c r="E13" s="128" t="s">
        <v>263</v>
      </c>
      <c r="F13" s="129">
        <f>+Planes!D26</f>
        <v>530</v>
      </c>
      <c r="G13" s="129">
        <f>+F13*D13</f>
        <v>530</v>
      </c>
      <c r="H13" s="129"/>
    </row>
    <row r="14" spans="1:9" outlineLevel="1" x14ac:dyDescent="0.35">
      <c r="B14" s="138">
        <v>1.3</v>
      </c>
      <c r="C14" s="137" t="s">
        <v>282</v>
      </c>
      <c r="D14" s="137"/>
      <c r="E14" s="137"/>
      <c r="F14" s="137"/>
      <c r="G14" s="137"/>
      <c r="H14" s="139">
        <f>+SUM(G15:G18)</f>
        <v>998</v>
      </c>
    </row>
    <row r="15" spans="1:9" outlineLevel="1" x14ac:dyDescent="0.35">
      <c r="B15" s="140" t="s">
        <v>348</v>
      </c>
      <c r="C15" s="127" t="s">
        <v>379</v>
      </c>
      <c r="D15" s="128">
        <v>1</v>
      </c>
      <c r="E15" s="128" t="s">
        <v>263</v>
      </c>
      <c r="F15" s="129">
        <f>+Planes!D45</f>
        <v>168</v>
      </c>
      <c r="G15" s="129">
        <f>+F15*D15</f>
        <v>168</v>
      </c>
      <c r="H15" s="129"/>
    </row>
    <row r="16" spans="1:9" outlineLevel="1" x14ac:dyDescent="0.35">
      <c r="B16" s="140" t="s">
        <v>349</v>
      </c>
      <c r="C16" s="141" t="s">
        <v>286</v>
      </c>
      <c r="D16" s="128">
        <v>1</v>
      </c>
      <c r="E16" s="128" t="s">
        <v>263</v>
      </c>
      <c r="F16" s="129">
        <f>+Planes!D43</f>
        <v>150</v>
      </c>
      <c r="G16" s="129">
        <f>+F16*D16</f>
        <v>150</v>
      </c>
      <c r="H16" s="129"/>
    </row>
    <row r="17" spans="2:8" outlineLevel="1" x14ac:dyDescent="0.35">
      <c r="B17" s="140" t="s">
        <v>350</v>
      </c>
      <c r="C17" s="141" t="s">
        <v>285</v>
      </c>
      <c r="D17" s="128">
        <v>1</v>
      </c>
      <c r="E17" s="128" t="s">
        <v>263</v>
      </c>
      <c r="F17" s="129">
        <f>+Planes!D42</f>
        <v>180</v>
      </c>
      <c r="G17" s="129">
        <f>+F17*D17</f>
        <v>180</v>
      </c>
      <c r="H17" s="129"/>
    </row>
    <row r="18" spans="2:8" outlineLevel="1" x14ac:dyDescent="0.35">
      <c r="B18" s="140" t="s">
        <v>351</v>
      </c>
      <c r="C18" s="141" t="s">
        <v>287</v>
      </c>
      <c r="D18" s="128">
        <v>1</v>
      </c>
      <c r="E18" s="128" t="s">
        <v>263</v>
      </c>
      <c r="F18" s="129">
        <f>+Planes!D44</f>
        <v>500</v>
      </c>
      <c r="G18" s="129">
        <f>+F18*D18</f>
        <v>500</v>
      </c>
      <c r="H18" s="129"/>
    </row>
    <row r="19" spans="2:8" outlineLevel="1" x14ac:dyDescent="0.35">
      <c r="B19" s="138">
        <v>1.4</v>
      </c>
      <c r="C19" s="137" t="s">
        <v>288</v>
      </c>
      <c r="D19" s="137"/>
      <c r="E19" s="137"/>
      <c r="F19" s="137"/>
      <c r="G19" s="137"/>
      <c r="H19" s="139">
        <f>+G20</f>
        <v>576</v>
      </c>
    </row>
    <row r="20" spans="2:8" outlineLevel="1" x14ac:dyDescent="0.35">
      <c r="B20" s="140" t="s">
        <v>352</v>
      </c>
      <c r="C20" s="127" t="s">
        <v>379</v>
      </c>
      <c r="D20" s="128">
        <v>1</v>
      </c>
      <c r="E20" s="128" t="s">
        <v>263</v>
      </c>
      <c r="F20" s="129">
        <f>+Planes!D59</f>
        <v>576</v>
      </c>
      <c r="G20" s="129">
        <f>+F20*D20</f>
        <v>576</v>
      </c>
      <c r="H20" s="129"/>
    </row>
    <row r="21" spans="2:8" outlineLevel="1" x14ac:dyDescent="0.35">
      <c r="B21" s="138">
        <v>1.5</v>
      </c>
      <c r="C21" s="137" t="s">
        <v>289</v>
      </c>
      <c r="D21" s="137"/>
      <c r="E21" s="137"/>
      <c r="F21" s="137"/>
      <c r="G21" s="137"/>
      <c r="H21" s="139">
        <f>+SUM(G22:G25)</f>
        <v>1472</v>
      </c>
    </row>
    <row r="22" spans="2:8" outlineLevel="1" x14ac:dyDescent="0.35">
      <c r="B22" s="140" t="s">
        <v>353</v>
      </c>
      <c r="C22" s="127" t="s">
        <v>379</v>
      </c>
      <c r="D22" s="128">
        <v>1</v>
      </c>
      <c r="E22" s="128" t="s">
        <v>263</v>
      </c>
      <c r="F22" s="129">
        <f>+Planes!D83</f>
        <v>1152</v>
      </c>
      <c r="G22" s="129">
        <f>+F22*D22</f>
        <v>1152</v>
      </c>
      <c r="H22" s="129"/>
    </row>
    <row r="23" spans="2:8" outlineLevel="1" x14ac:dyDescent="0.35">
      <c r="B23" s="140" t="s">
        <v>354</v>
      </c>
      <c r="C23" s="141" t="s">
        <v>290</v>
      </c>
      <c r="D23" s="128">
        <v>1</v>
      </c>
      <c r="E23" s="128" t="s">
        <v>263</v>
      </c>
      <c r="F23" s="129">
        <f>+Planes!D73</f>
        <v>120</v>
      </c>
      <c r="G23" s="129">
        <f>+F23*D23</f>
        <v>120</v>
      </c>
      <c r="H23" s="129"/>
    </row>
    <row r="24" spans="2:8" outlineLevel="1" x14ac:dyDescent="0.35">
      <c r="B24" s="140" t="s">
        <v>355</v>
      </c>
      <c r="C24" s="141" t="s">
        <v>291</v>
      </c>
      <c r="D24" s="128">
        <v>1</v>
      </c>
      <c r="E24" s="128" t="s">
        <v>263</v>
      </c>
      <c r="F24" s="129">
        <f>+Planes!D74</f>
        <v>80</v>
      </c>
      <c r="G24" s="129">
        <f>+F24*D24</f>
        <v>80</v>
      </c>
      <c r="H24" s="129"/>
    </row>
    <row r="25" spans="2:8" outlineLevel="1" x14ac:dyDescent="0.35">
      <c r="B25" s="140" t="s">
        <v>356</v>
      </c>
      <c r="C25" s="141" t="s">
        <v>292</v>
      </c>
      <c r="D25" s="128">
        <v>1</v>
      </c>
      <c r="E25" s="128" t="s">
        <v>263</v>
      </c>
      <c r="F25" s="129">
        <f>+Planes!D75</f>
        <v>120</v>
      </c>
      <c r="G25" s="129">
        <f>+F25*D25</f>
        <v>120</v>
      </c>
      <c r="H25" s="129"/>
    </row>
    <row r="26" spans="2:8" outlineLevel="1" x14ac:dyDescent="0.35">
      <c r="B26" s="138">
        <v>1.6</v>
      </c>
      <c r="C26" s="137" t="s">
        <v>293</v>
      </c>
      <c r="D26" s="137"/>
      <c r="E26" s="137"/>
      <c r="F26" s="137"/>
      <c r="G26" s="137"/>
      <c r="H26" s="139">
        <f>+SUM(G27:G30)</f>
        <v>927</v>
      </c>
    </row>
    <row r="27" spans="2:8" outlineLevel="1" x14ac:dyDescent="0.35">
      <c r="B27" s="140" t="s">
        <v>357</v>
      </c>
      <c r="C27" s="127" t="s">
        <v>379</v>
      </c>
      <c r="D27" s="128">
        <v>1</v>
      </c>
      <c r="E27" s="128" t="s">
        <v>263</v>
      </c>
      <c r="F27" s="129">
        <f>+Planes!D102</f>
        <v>432</v>
      </c>
      <c r="G27" s="129">
        <f>+F27*D27</f>
        <v>432</v>
      </c>
      <c r="H27" s="129"/>
    </row>
    <row r="28" spans="2:8" outlineLevel="1" x14ac:dyDescent="0.35">
      <c r="B28" s="140" t="s">
        <v>358</v>
      </c>
      <c r="C28" s="141" t="s">
        <v>239</v>
      </c>
      <c r="D28" s="128">
        <v>1</v>
      </c>
      <c r="E28" s="128" t="s">
        <v>263</v>
      </c>
      <c r="F28" s="129">
        <f>+Planes!D99</f>
        <v>160</v>
      </c>
      <c r="G28" s="129">
        <f>+F28*D28</f>
        <v>160</v>
      </c>
      <c r="H28" s="129"/>
    </row>
    <row r="29" spans="2:8" outlineLevel="1" x14ac:dyDescent="0.35">
      <c r="B29" s="140" t="s">
        <v>359</v>
      </c>
      <c r="C29" s="141" t="s">
        <v>294</v>
      </c>
      <c r="D29" s="128">
        <v>1</v>
      </c>
      <c r="E29" s="128" t="s">
        <v>263</v>
      </c>
      <c r="F29" s="129">
        <f>+Planes!D101</f>
        <v>120</v>
      </c>
      <c r="G29" s="129">
        <f>+F29*D29</f>
        <v>120</v>
      </c>
      <c r="H29" s="129"/>
    </row>
    <row r="30" spans="2:8" ht="28.8" outlineLevel="1" x14ac:dyDescent="0.35">
      <c r="B30" s="140" t="s">
        <v>360</v>
      </c>
      <c r="C30" s="142" t="s">
        <v>295</v>
      </c>
      <c r="D30" s="128">
        <v>1</v>
      </c>
      <c r="E30" s="128" t="s">
        <v>263</v>
      </c>
      <c r="F30" s="129">
        <f>+Planes!D100</f>
        <v>215</v>
      </c>
      <c r="G30" s="129">
        <f>+F30*D30</f>
        <v>215</v>
      </c>
      <c r="H30" s="129"/>
    </row>
    <row r="31" spans="2:8" outlineLevel="1" x14ac:dyDescent="0.35">
      <c r="B31" s="138">
        <v>1.7</v>
      </c>
      <c r="C31" s="137" t="s">
        <v>296</v>
      </c>
      <c r="D31" s="137"/>
      <c r="E31" s="137"/>
      <c r="F31" s="137"/>
      <c r="G31" s="137"/>
      <c r="H31" s="139">
        <f>+SUM(G32:G35)</f>
        <v>2132</v>
      </c>
    </row>
    <row r="32" spans="2:8" outlineLevel="1" x14ac:dyDescent="0.35">
      <c r="B32" s="140" t="s">
        <v>361</v>
      </c>
      <c r="C32" s="127" t="s">
        <v>379</v>
      </c>
      <c r="D32" s="128">
        <v>1</v>
      </c>
      <c r="E32" s="128" t="s">
        <v>263</v>
      </c>
      <c r="F32" s="129">
        <f>+Planes!D120</f>
        <v>1512</v>
      </c>
      <c r="G32" s="129">
        <f>+F32*D32</f>
        <v>1512</v>
      </c>
      <c r="H32" s="129"/>
    </row>
    <row r="33" spans="2:8" outlineLevel="1" x14ac:dyDescent="0.35">
      <c r="B33" s="140" t="s">
        <v>362</v>
      </c>
      <c r="C33" s="141" t="s">
        <v>297</v>
      </c>
      <c r="D33" s="128">
        <v>1</v>
      </c>
      <c r="E33" s="128" t="s">
        <v>263</v>
      </c>
      <c r="F33" s="129">
        <f>+Planes!D117</f>
        <v>330</v>
      </c>
      <c r="G33" s="129">
        <f>+F33*D33</f>
        <v>330</v>
      </c>
      <c r="H33" s="129"/>
    </row>
    <row r="34" spans="2:8" outlineLevel="1" x14ac:dyDescent="0.35">
      <c r="B34" s="140" t="s">
        <v>363</v>
      </c>
      <c r="C34" s="141" t="s">
        <v>298</v>
      </c>
      <c r="D34" s="128">
        <v>1</v>
      </c>
      <c r="E34" s="128" t="s">
        <v>263</v>
      </c>
      <c r="F34" s="129">
        <f>+Planes!D118</f>
        <v>140</v>
      </c>
      <c r="G34" s="129">
        <f>+F34*D34</f>
        <v>140</v>
      </c>
      <c r="H34" s="129"/>
    </row>
    <row r="35" spans="2:8" outlineLevel="1" x14ac:dyDescent="0.35">
      <c r="B35" s="140" t="s">
        <v>364</v>
      </c>
      <c r="C35" s="142" t="s">
        <v>299</v>
      </c>
      <c r="D35" s="128">
        <v>1</v>
      </c>
      <c r="E35" s="128" t="s">
        <v>263</v>
      </c>
      <c r="F35" s="129">
        <f>+Planes!D119</f>
        <v>150</v>
      </c>
      <c r="G35" s="129">
        <f>+F35*D35</f>
        <v>150</v>
      </c>
      <c r="H35" s="129"/>
    </row>
    <row r="36" spans="2:8" outlineLevel="1" x14ac:dyDescent="0.35">
      <c r="B36" s="138">
        <v>1.8</v>
      </c>
      <c r="C36" s="137" t="s">
        <v>300</v>
      </c>
      <c r="D36" s="137"/>
      <c r="E36" s="137"/>
      <c r="F36" s="137"/>
      <c r="G36" s="137"/>
      <c r="H36" s="139">
        <f>+SUM(G37:G40)</f>
        <v>2878</v>
      </c>
    </row>
    <row r="37" spans="2:8" outlineLevel="1" x14ac:dyDescent="0.35">
      <c r="B37" s="140" t="s">
        <v>365</v>
      </c>
      <c r="C37" s="127" t="s">
        <v>379</v>
      </c>
      <c r="D37" s="128">
        <v>1</v>
      </c>
      <c r="E37" s="128" t="s">
        <v>263</v>
      </c>
      <c r="F37" s="129">
        <f>+Planes!D140</f>
        <v>2268</v>
      </c>
      <c r="G37" s="129">
        <f>+F37*D37</f>
        <v>2268</v>
      </c>
      <c r="H37" s="129"/>
    </row>
    <row r="38" spans="2:8" outlineLevel="1" x14ac:dyDescent="0.35">
      <c r="B38" s="140" t="s">
        <v>366</v>
      </c>
      <c r="C38" s="141" t="s">
        <v>302</v>
      </c>
      <c r="D38" s="128">
        <v>1</v>
      </c>
      <c r="E38" s="128" t="s">
        <v>263</v>
      </c>
      <c r="F38" s="129">
        <f>+Planes!D135</f>
        <v>340</v>
      </c>
      <c r="G38" s="129">
        <f>+F38*D38</f>
        <v>340</v>
      </c>
      <c r="H38" s="129"/>
    </row>
    <row r="39" spans="2:8" outlineLevel="1" x14ac:dyDescent="0.35">
      <c r="B39" s="140" t="s">
        <v>367</v>
      </c>
      <c r="C39" s="141" t="s">
        <v>301</v>
      </c>
      <c r="D39" s="128">
        <v>1</v>
      </c>
      <c r="E39" s="128" t="s">
        <v>263</v>
      </c>
      <c r="F39" s="129">
        <f>+Planes!D136</f>
        <v>90</v>
      </c>
      <c r="G39" s="129">
        <f>+F39*D39</f>
        <v>90</v>
      </c>
      <c r="H39" s="129"/>
    </row>
    <row r="40" spans="2:8" outlineLevel="1" x14ac:dyDescent="0.35">
      <c r="B40" s="140" t="s">
        <v>368</v>
      </c>
      <c r="C40" s="142" t="s">
        <v>299</v>
      </c>
      <c r="D40" s="128">
        <v>1</v>
      </c>
      <c r="E40" s="128" t="s">
        <v>263</v>
      </c>
      <c r="F40" s="129">
        <f>+Planes!D137</f>
        <v>180</v>
      </c>
      <c r="G40" s="129">
        <f>+F40*D40</f>
        <v>180</v>
      </c>
      <c r="H40" s="129"/>
    </row>
    <row r="41" spans="2:8" outlineLevel="1" x14ac:dyDescent="0.35">
      <c r="B41" s="138">
        <v>1.9</v>
      </c>
      <c r="C41" s="137" t="s">
        <v>303</v>
      </c>
      <c r="D41" s="137"/>
      <c r="E41" s="137"/>
      <c r="F41" s="137"/>
      <c r="G41" s="137"/>
      <c r="H41" s="139">
        <f>+SUM(G42:G44)</f>
        <v>3624</v>
      </c>
    </row>
    <row r="42" spans="2:8" outlineLevel="1" x14ac:dyDescent="0.35">
      <c r="B42" s="140" t="s">
        <v>369</v>
      </c>
      <c r="C42" s="127" t="s">
        <v>379</v>
      </c>
      <c r="D42" s="128">
        <v>1</v>
      </c>
      <c r="E42" s="128" t="s">
        <v>263</v>
      </c>
      <c r="F42" s="129">
        <f>+Planes!D157</f>
        <v>3024</v>
      </c>
      <c r="G42" s="129">
        <f>+F42*D42</f>
        <v>3024</v>
      </c>
      <c r="H42" s="129"/>
    </row>
    <row r="43" spans="2:8" ht="28.8" outlineLevel="1" x14ac:dyDescent="0.35">
      <c r="B43" s="140" t="s">
        <v>370</v>
      </c>
      <c r="C43" s="142" t="s">
        <v>240</v>
      </c>
      <c r="D43" s="128">
        <v>1</v>
      </c>
      <c r="E43" s="128" t="s">
        <v>263</v>
      </c>
      <c r="F43" s="129">
        <f>+Planes!D156</f>
        <v>260</v>
      </c>
      <c r="G43" s="129">
        <f>+F43*D43</f>
        <v>260</v>
      </c>
      <c r="H43" s="129"/>
    </row>
    <row r="44" spans="2:8" ht="28.8" outlineLevel="1" x14ac:dyDescent="0.35">
      <c r="B44" s="140" t="s">
        <v>371</v>
      </c>
      <c r="C44" s="142" t="s">
        <v>241</v>
      </c>
      <c r="D44" s="128">
        <v>1</v>
      </c>
      <c r="E44" s="128" t="s">
        <v>263</v>
      </c>
      <c r="F44" s="129">
        <f>+Planes!D155</f>
        <v>340</v>
      </c>
      <c r="G44" s="129">
        <f>+F44*D44</f>
        <v>340</v>
      </c>
      <c r="H44" s="129"/>
    </row>
    <row r="45" spans="2:8" outlineLevel="1" x14ac:dyDescent="0.35">
      <c r="B45" s="153" t="s">
        <v>375</v>
      </c>
      <c r="C45" s="137" t="s">
        <v>304</v>
      </c>
      <c r="D45" s="137"/>
      <c r="E45" s="137"/>
      <c r="F45" s="137"/>
      <c r="G45" s="137"/>
      <c r="H45" s="139">
        <f>+SUM(G46:G48)</f>
        <v>448</v>
      </c>
    </row>
    <row r="46" spans="2:8" outlineLevel="1" x14ac:dyDescent="0.35">
      <c r="B46" s="140" t="s">
        <v>372</v>
      </c>
      <c r="C46" s="127" t="s">
        <v>379</v>
      </c>
      <c r="D46" s="128">
        <v>1</v>
      </c>
      <c r="E46" s="128" t="s">
        <v>263</v>
      </c>
      <c r="F46" s="129">
        <f>+Planes!D174</f>
        <v>168</v>
      </c>
      <c r="G46" s="129">
        <f>+F46*D46</f>
        <v>168</v>
      </c>
      <c r="H46" s="129"/>
    </row>
    <row r="47" spans="2:8" outlineLevel="1" x14ac:dyDescent="0.35">
      <c r="B47" s="140" t="s">
        <v>373</v>
      </c>
      <c r="C47" s="141" t="s">
        <v>242</v>
      </c>
      <c r="D47" s="128">
        <v>1</v>
      </c>
      <c r="E47" s="128" t="s">
        <v>263</v>
      </c>
      <c r="F47" s="129">
        <f>+Planes!D173</f>
        <v>240</v>
      </c>
      <c r="G47" s="129">
        <f>+F47*D47</f>
        <v>240</v>
      </c>
      <c r="H47" s="129"/>
    </row>
    <row r="48" spans="2:8" outlineLevel="1" x14ac:dyDescent="0.35">
      <c r="B48" s="140" t="s">
        <v>374</v>
      </c>
      <c r="C48" s="141" t="s">
        <v>244</v>
      </c>
      <c r="D48" s="128">
        <v>1</v>
      </c>
      <c r="E48" s="128" t="s">
        <v>263</v>
      </c>
      <c r="F48" s="129">
        <f>+Planes!D172</f>
        <v>40</v>
      </c>
      <c r="G48" s="129">
        <f>+F48*D48</f>
        <v>40</v>
      </c>
      <c r="H48" s="129"/>
    </row>
    <row r="49" spans="2:9" outlineLevel="1" x14ac:dyDescent="0.35">
      <c r="B49" s="138">
        <v>1.1100000000000001</v>
      </c>
      <c r="C49" s="137" t="s">
        <v>305</v>
      </c>
      <c r="D49" s="137"/>
      <c r="E49" s="137"/>
      <c r="F49" s="137"/>
      <c r="G49" s="137"/>
      <c r="H49" s="139">
        <f>+SUM(G50:G52)</f>
        <v>2820</v>
      </c>
    </row>
    <row r="50" spans="2:9" outlineLevel="1" x14ac:dyDescent="0.35">
      <c r="B50" s="140" t="s">
        <v>376</v>
      </c>
      <c r="C50" s="127" t="s">
        <v>379</v>
      </c>
      <c r="D50" s="128">
        <v>1</v>
      </c>
      <c r="E50" s="128" t="s">
        <v>263</v>
      </c>
      <c r="F50" s="129">
        <f>+Planes!D194</f>
        <v>2520</v>
      </c>
      <c r="G50" s="129">
        <f>+F50*D50</f>
        <v>2520</v>
      </c>
      <c r="H50" s="129"/>
    </row>
    <row r="51" spans="2:9" outlineLevel="1" x14ac:dyDescent="0.35">
      <c r="B51" s="140" t="s">
        <v>377</v>
      </c>
      <c r="C51" s="141" t="s">
        <v>243</v>
      </c>
      <c r="D51" s="128">
        <v>1</v>
      </c>
      <c r="E51" s="128" t="s">
        <v>263</v>
      </c>
      <c r="F51" s="129">
        <f>+Planes!D193</f>
        <v>80</v>
      </c>
      <c r="G51" s="129">
        <f>+F51*D51</f>
        <v>80</v>
      </c>
      <c r="H51" s="129"/>
    </row>
    <row r="52" spans="2:9" outlineLevel="1" x14ac:dyDescent="0.35">
      <c r="B52" s="140" t="s">
        <v>378</v>
      </c>
      <c r="C52" s="141" t="s">
        <v>306</v>
      </c>
      <c r="D52" s="128">
        <v>1</v>
      </c>
      <c r="E52" s="128" t="s">
        <v>263</v>
      </c>
      <c r="F52" s="129">
        <f>+Planes!D191</f>
        <v>220</v>
      </c>
      <c r="G52" s="129">
        <f>+F52*D52</f>
        <v>220</v>
      </c>
      <c r="H52" s="129"/>
    </row>
    <row r="53" spans="2:9" outlineLevel="1" x14ac:dyDescent="0.35">
      <c r="B53" s="81"/>
      <c r="C53" s="130" t="s">
        <v>265</v>
      </c>
      <c r="D53" s="79"/>
      <c r="E53" s="79"/>
      <c r="F53" s="79"/>
      <c r="G53" s="79"/>
      <c r="H53" s="79">
        <f>+H6</f>
        <v>19011</v>
      </c>
    </row>
    <row r="54" spans="2:9" outlineLevel="1" x14ac:dyDescent="0.35"/>
    <row r="56" spans="2:9" x14ac:dyDescent="0.35">
      <c r="B56" s="247" t="s">
        <v>266</v>
      </c>
      <c r="C56" s="248"/>
      <c r="D56" s="248"/>
      <c r="E56" s="248"/>
      <c r="F56" s="248"/>
      <c r="G56" s="248"/>
      <c r="H56" s="248"/>
      <c r="I56" s="248"/>
    </row>
    <row r="57" spans="2:9" outlineLevel="1" x14ac:dyDescent="0.35"/>
    <row r="58" spans="2:9" outlineLevel="1" x14ac:dyDescent="0.35">
      <c r="B58" s="273" t="s">
        <v>267</v>
      </c>
      <c r="C58" s="274"/>
      <c r="D58" s="274"/>
      <c r="E58" s="274"/>
      <c r="F58" s="274"/>
      <c r="G58" s="274"/>
      <c r="H58" s="274"/>
      <c r="I58" s="274"/>
    </row>
    <row r="59" spans="2:9" outlineLevel="2" x14ac:dyDescent="0.35"/>
    <row r="60" spans="2:9" outlineLevel="2" x14ac:dyDescent="0.35">
      <c r="D60" s="75" t="s">
        <v>121</v>
      </c>
      <c r="E60" s="75" t="s">
        <v>8</v>
      </c>
      <c r="F60" s="75" t="s">
        <v>7</v>
      </c>
      <c r="G60" s="75" t="s">
        <v>6</v>
      </c>
      <c r="H60" s="75" t="s">
        <v>5</v>
      </c>
    </row>
    <row r="61" spans="2:9" outlineLevel="2" x14ac:dyDescent="0.35">
      <c r="C61" s="101" t="s">
        <v>317</v>
      </c>
      <c r="D61" s="100">
        <f>SUM(D62:D62)</f>
        <v>-64124.666666666672</v>
      </c>
      <c r="E61" s="100">
        <f>SUM(E62:E62)</f>
        <v>-66197.039999999994</v>
      </c>
      <c r="F61" s="100">
        <f>SUM(F62:F62)</f>
        <v>-71972.506666666668</v>
      </c>
      <c r="G61" s="100">
        <f>SUM(G62:G62)</f>
        <v>-76219.17333333334</v>
      </c>
      <c r="H61" s="125"/>
    </row>
    <row r="62" spans="2:9" outlineLevel="2" x14ac:dyDescent="0.35">
      <c r="C62" s="131" t="s">
        <v>316</v>
      </c>
      <c r="D62" s="129">
        <f>-('Sit. SP'!D17/90)*Datos!$C$63</f>
        <v>-64124.666666666672</v>
      </c>
      <c r="E62" s="129">
        <f>-('Sit. SP'!E17/90)*Datos!$C$63</f>
        <v>-66197.039999999994</v>
      </c>
      <c r="F62" s="129">
        <f>-('Sit. SP'!F17/90)*Datos!$C$63</f>
        <v>-71972.506666666668</v>
      </c>
      <c r="G62" s="129">
        <f>-('Sit. SP'!G17/90)*Datos!$C$63</f>
        <v>-76219.17333333334</v>
      </c>
      <c r="H62" s="129"/>
    </row>
    <row r="63" spans="2:9" outlineLevel="2" x14ac:dyDescent="0.35">
      <c r="C63" s="132" t="s">
        <v>318</v>
      </c>
      <c r="D63" s="79">
        <f>+D61</f>
        <v>-64124.666666666672</v>
      </c>
      <c r="E63" s="79">
        <f>+E61-D61</f>
        <v>-2072.3733333333221</v>
      </c>
      <c r="F63" s="79">
        <f>+F61-E61</f>
        <v>-5775.4666666666744</v>
      </c>
      <c r="G63" s="79">
        <f>+G61-F61</f>
        <v>-4246.6666666666715</v>
      </c>
      <c r="H63" s="79"/>
    </row>
    <row r="64" spans="2:9" outlineLevel="2" x14ac:dyDescent="0.35">
      <c r="C64" s="132" t="s">
        <v>319</v>
      </c>
      <c r="D64" s="79"/>
      <c r="E64" s="79"/>
      <c r="F64" s="79"/>
      <c r="G64" s="79"/>
      <c r="H64" s="79">
        <f>-SUM(D63:G63)</f>
        <v>76219.17333333334</v>
      </c>
    </row>
    <row r="65" spans="2:9" outlineLevel="2" x14ac:dyDescent="0.35"/>
    <row r="66" spans="2:9" outlineLevel="1" x14ac:dyDescent="0.35"/>
    <row r="67" spans="2:9" outlineLevel="1" x14ac:dyDescent="0.35">
      <c r="B67" s="273" t="s">
        <v>268</v>
      </c>
      <c r="C67" s="274"/>
      <c r="D67" s="274"/>
      <c r="E67" s="274"/>
      <c r="F67" s="274"/>
      <c r="G67" s="274"/>
      <c r="H67" s="274"/>
      <c r="I67" s="274"/>
    </row>
    <row r="68" spans="2:9" outlineLevel="2" x14ac:dyDescent="0.35"/>
    <row r="69" spans="2:9" outlineLevel="2" x14ac:dyDescent="0.35">
      <c r="D69" s="75" t="s">
        <v>121</v>
      </c>
      <c r="E69" s="75" t="s">
        <v>8</v>
      </c>
      <c r="F69" s="75" t="s">
        <v>7</v>
      </c>
      <c r="G69" s="75" t="s">
        <v>6</v>
      </c>
      <c r="H69" s="75" t="s">
        <v>5</v>
      </c>
    </row>
    <row r="70" spans="2:9" outlineLevel="2" x14ac:dyDescent="0.35">
      <c r="C70" s="101" t="s">
        <v>317</v>
      </c>
      <c r="D70" s="100">
        <f>SUM(D71:D71)</f>
        <v>-64124.666666666672</v>
      </c>
      <c r="E70" s="100">
        <f>SUM(E71:E71)</f>
        <v>-66197.039999999994</v>
      </c>
      <c r="F70" s="100">
        <f>SUM(F71:F71)</f>
        <v>-71972.506666666668</v>
      </c>
      <c r="G70" s="100">
        <f>SUM(G71:G71)</f>
        <v>-76219.17333333334</v>
      </c>
      <c r="H70" s="125"/>
    </row>
    <row r="71" spans="2:9" outlineLevel="2" x14ac:dyDescent="0.35">
      <c r="C71" s="131" t="s">
        <v>316</v>
      </c>
      <c r="D71" s="129">
        <f>-('Sit. CP'!D17/90)*Datos!$C$63</f>
        <v>-64124.666666666672</v>
      </c>
      <c r="E71" s="129">
        <f>-('Sit. CP'!E17/90)*Datos!$C$63</f>
        <v>-66197.039999999994</v>
      </c>
      <c r="F71" s="129">
        <f>-('Sit. CP'!F17/90)*Datos!$C$63</f>
        <v>-71972.506666666668</v>
      </c>
      <c r="G71" s="129">
        <f>-('Sit. CP'!G17/90)*Datos!$C$63</f>
        <v>-76219.17333333334</v>
      </c>
      <c r="H71" s="129"/>
    </row>
    <row r="72" spans="2:9" outlineLevel="2" x14ac:dyDescent="0.35">
      <c r="C72" s="132" t="s">
        <v>318</v>
      </c>
      <c r="D72" s="79">
        <f>+D70</f>
        <v>-64124.666666666672</v>
      </c>
      <c r="E72" s="79">
        <f>+E70-D70</f>
        <v>-2072.3733333333221</v>
      </c>
      <c r="F72" s="79">
        <f>+F70-E70</f>
        <v>-5775.4666666666744</v>
      </c>
      <c r="G72" s="79">
        <f>+G70-F70</f>
        <v>-4246.6666666666715</v>
      </c>
      <c r="H72" s="79"/>
    </row>
    <row r="73" spans="2:9" outlineLevel="2" x14ac:dyDescent="0.35">
      <c r="C73" s="132" t="s">
        <v>319</v>
      </c>
      <c r="D73" s="79"/>
      <c r="E73" s="79"/>
      <c r="F73" s="79"/>
      <c r="G73" s="79"/>
      <c r="H73" s="79">
        <f>-SUM(D72:H72)</f>
        <v>76219.17333333334</v>
      </c>
    </row>
    <row r="74" spans="2:9" outlineLevel="2" x14ac:dyDescent="0.35"/>
    <row r="75" spans="2:9" outlineLevel="1" x14ac:dyDescent="0.35"/>
  </sheetData>
  <mergeCells count="4">
    <mergeCell ref="B2:I2"/>
    <mergeCell ref="B56:I56"/>
    <mergeCell ref="B58:I58"/>
    <mergeCell ref="B67:I67"/>
  </mergeCells>
  <phoneticPr fontId="19" type="noConversion"/>
  <pageMargins left="0.7" right="0.7" top="0.75" bottom="0.75" header="0.3" footer="0.3"/>
  <pageSetup paperSize="9" orientation="portrait" r:id="rId1"/>
  <ignoredErrors>
    <ignoredError sqref="B4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EF8D-38FD-47CE-B9A5-38115B4FB702}">
  <sheetPr>
    <outlinePr summaryBelow="0" summaryRight="0"/>
  </sheetPr>
  <dimension ref="B2:K32"/>
  <sheetViews>
    <sheetView showGridLines="0" topLeftCell="A13" workbookViewId="0">
      <selection activeCell="F28" sqref="F28"/>
    </sheetView>
  </sheetViews>
  <sheetFormatPr baseColWidth="10" defaultColWidth="11.44140625" defaultRowHeight="14.4" outlineLevelRow="2" x14ac:dyDescent="0.35"/>
  <cols>
    <col min="1" max="1" width="2.6640625" style="64" customWidth="1"/>
    <col min="2" max="2" width="27.6640625" style="64" bestFit="1" customWidth="1"/>
    <col min="3" max="8" width="17.44140625" style="64" customWidth="1"/>
    <col min="9" max="16384" width="11.44140625" style="64"/>
  </cols>
  <sheetData>
    <row r="2" spans="2:11" x14ac:dyDescent="0.35">
      <c r="B2" s="247" t="s">
        <v>269</v>
      </c>
      <c r="C2" s="248"/>
      <c r="D2" s="248"/>
      <c r="E2" s="248"/>
      <c r="F2" s="248"/>
      <c r="G2" s="248"/>
      <c r="H2" s="248"/>
    </row>
    <row r="3" spans="2:11" ht="15" outlineLevel="1" x14ac:dyDescent="0.35">
      <c r="J3"/>
    </row>
    <row r="4" spans="2:11" ht="15" outlineLevel="1" x14ac:dyDescent="0.35">
      <c r="B4" s="273" t="s">
        <v>270</v>
      </c>
      <c r="C4" s="274"/>
      <c r="D4" s="274"/>
      <c r="E4" s="274"/>
      <c r="F4" s="274"/>
      <c r="G4" s="274"/>
      <c r="H4" s="274"/>
      <c r="K4" s="31"/>
    </row>
    <row r="5" spans="2:11" outlineLevel="2" x14ac:dyDescent="0.35"/>
    <row r="6" spans="2:11" outlineLevel="2" x14ac:dyDescent="0.35">
      <c r="C6" s="75" t="s">
        <v>121</v>
      </c>
      <c r="D6" s="75" t="s">
        <v>8</v>
      </c>
      <c r="E6" s="75" t="s">
        <v>7</v>
      </c>
      <c r="F6" s="75" t="s">
        <v>6</v>
      </c>
      <c r="G6" s="75" t="s">
        <v>5</v>
      </c>
      <c r="H6" s="78" t="s">
        <v>320</v>
      </c>
    </row>
    <row r="7" spans="2:11" outlineLevel="2" x14ac:dyDescent="0.35">
      <c r="B7" s="101" t="s">
        <v>321</v>
      </c>
      <c r="C7" s="133">
        <v>0</v>
      </c>
      <c r="D7" s="133">
        <v>0</v>
      </c>
      <c r="E7" s="133">
        <v>0</v>
      </c>
      <c r="F7" s="133">
        <v>0</v>
      </c>
      <c r="G7" s="133">
        <v>0</v>
      </c>
      <c r="H7" s="134">
        <f>C7-SUM(D7:G7)</f>
        <v>0</v>
      </c>
    </row>
    <row r="8" spans="2:11" outlineLevel="2" x14ac:dyDescent="0.35">
      <c r="B8" s="91" t="s">
        <v>322</v>
      </c>
      <c r="C8" s="135"/>
      <c r="D8" s="135"/>
      <c r="E8" s="135"/>
      <c r="F8" s="135"/>
      <c r="G8" s="135"/>
      <c r="H8" s="136"/>
    </row>
    <row r="9" spans="2:11" outlineLevel="2" x14ac:dyDescent="0.35"/>
    <row r="10" spans="2:11" outlineLevel="2" x14ac:dyDescent="0.35"/>
    <row r="11" spans="2:11" outlineLevel="2" x14ac:dyDescent="0.35">
      <c r="C11" s="75" t="s">
        <v>121</v>
      </c>
      <c r="D11" s="75" t="s">
        <v>8</v>
      </c>
      <c r="E11" s="75" t="s">
        <v>7</v>
      </c>
      <c r="F11" s="75" t="s">
        <v>6</v>
      </c>
      <c r="G11" s="75" t="s">
        <v>5</v>
      </c>
    </row>
    <row r="12" spans="2:11" outlineLevel="2" x14ac:dyDescent="0.35">
      <c r="B12" s="101" t="s">
        <v>272</v>
      </c>
      <c r="C12" s="133">
        <f t="shared" ref="C12:G12" si="0">SUM(C13)</f>
        <v>0</v>
      </c>
      <c r="D12" s="133">
        <f t="shared" si="0"/>
        <v>0</v>
      </c>
      <c r="E12" s="133">
        <f t="shared" si="0"/>
        <v>0</v>
      </c>
      <c r="F12" s="133">
        <f t="shared" si="0"/>
        <v>0</v>
      </c>
      <c r="G12" s="133">
        <f t="shared" si="0"/>
        <v>0</v>
      </c>
    </row>
    <row r="13" spans="2:11" outlineLevel="2" x14ac:dyDescent="0.35">
      <c r="B13" s="91" t="s">
        <v>323</v>
      </c>
      <c r="C13" s="135"/>
      <c r="D13" s="135"/>
      <c r="E13" s="135"/>
      <c r="F13" s="135"/>
      <c r="G13" s="135"/>
    </row>
    <row r="14" spans="2:11" outlineLevel="2" x14ac:dyDescent="0.35"/>
    <row r="15" spans="2:11" outlineLevel="1" x14ac:dyDescent="0.35"/>
    <row r="16" spans="2:11" outlineLevel="1" x14ac:dyDescent="0.35">
      <c r="B16" s="273" t="s">
        <v>273</v>
      </c>
      <c r="C16" s="274"/>
      <c r="D16" s="274"/>
      <c r="E16" s="274"/>
      <c r="F16" s="274"/>
      <c r="G16" s="274"/>
      <c r="H16" s="274"/>
    </row>
    <row r="17" spans="2:8" outlineLevel="2" x14ac:dyDescent="0.35"/>
    <row r="18" spans="2:8" outlineLevel="2" x14ac:dyDescent="0.35">
      <c r="C18" s="146" t="s">
        <v>121</v>
      </c>
      <c r="D18" s="146" t="s">
        <v>8</v>
      </c>
      <c r="E18" s="146" t="s">
        <v>7</v>
      </c>
      <c r="F18" s="146" t="s">
        <v>6</v>
      </c>
      <c r="G18" s="146" t="s">
        <v>5</v>
      </c>
      <c r="H18" s="78" t="s">
        <v>320</v>
      </c>
    </row>
    <row r="19" spans="2:8" outlineLevel="2" x14ac:dyDescent="0.35">
      <c r="B19" s="101" t="s">
        <v>271</v>
      </c>
      <c r="C19" s="133">
        <v>0</v>
      </c>
      <c r="D19" s="133">
        <v>0</v>
      </c>
      <c r="E19" s="133">
        <v>0</v>
      </c>
      <c r="F19" s="133">
        <v>0</v>
      </c>
      <c r="G19" s="133">
        <v>0</v>
      </c>
      <c r="H19" s="134">
        <f>C19-SUM(D19:G19)</f>
        <v>0</v>
      </c>
    </row>
    <row r="20" spans="2:8" outlineLevel="2" x14ac:dyDescent="0.35">
      <c r="B20" s="144" t="s">
        <v>322</v>
      </c>
      <c r="C20" s="135"/>
      <c r="D20" s="135"/>
      <c r="E20" s="135"/>
      <c r="F20" s="135"/>
      <c r="G20" s="135"/>
      <c r="H20" s="136"/>
    </row>
    <row r="21" spans="2:8" outlineLevel="2" x14ac:dyDescent="0.35"/>
    <row r="22" spans="2:8" outlineLevel="2" x14ac:dyDescent="0.35"/>
    <row r="23" spans="2:8" outlineLevel="2" x14ac:dyDescent="0.35">
      <c r="C23" s="75" t="s">
        <v>121</v>
      </c>
      <c r="D23" s="75" t="s">
        <v>8</v>
      </c>
      <c r="E23" s="75" t="s">
        <v>7</v>
      </c>
      <c r="F23" s="75" t="s">
        <v>6</v>
      </c>
      <c r="G23" s="75" t="s">
        <v>5</v>
      </c>
    </row>
    <row r="24" spans="2:8" ht="15" outlineLevel="2" x14ac:dyDescent="0.35">
      <c r="B24" s="101" t="s">
        <v>272</v>
      </c>
      <c r="C24" s="133">
        <f t="shared" ref="C24:G24" si="1">SUM(C26)</f>
        <v>19011</v>
      </c>
      <c r="D24" s="133">
        <f t="shared" si="1"/>
        <v>4752.75</v>
      </c>
      <c r="E24" s="133">
        <f t="shared" si="1"/>
        <v>4752.75</v>
      </c>
      <c r="F24" s="133">
        <f t="shared" si="1"/>
        <v>4752.75</v>
      </c>
      <c r="G24" s="133">
        <f t="shared" si="1"/>
        <v>4752.75</v>
      </c>
      <c r="H24" s="31"/>
    </row>
    <row r="25" spans="2:8" outlineLevel="2" x14ac:dyDescent="0.35">
      <c r="B25" s="144" t="s">
        <v>323</v>
      </c>
      <c r="C25" s="135"/>
      <c r="D25" s="135"/>
      <c r="E25" s="135"/>
      <c r="F25" s="135"/>
      <c r="G25" s="135"/>
    </row>
    <row r="26" spans="2:8" outlineLevel="2" x14ac:dyDescent="0.35">
      <c r="B26" s="144" t="s">
        <v>274</v>
      </c>
      <c r="C26" s="145">
        <f>+Inversiones!H6</f>
        <v>19011</v>
      </c>
      <c r="D26" s="145">
        <f>+($C$26/1)/4</f>
        <v>4752.75</v>
      </c>
      <c r="E26" s="145">
        <f t="shared" ref="E26:G26" si="2">+($C$26/1)/4</f>
        <v>4752.75</v>
      </c>
      <c r="F26" s="145">
        <f t="shared" si="2"/>
        <v>4752.75</v>
      </c>
      <c r="G26" s="145">
        <f t="shared" si="2"/>
        <v>4752.75</v>
      </c>
    </row>
    <row r="27" spans="2:8" outlineLevel="2" x14ac:dyDescent="0.35"/>
    <row r="28" spans="2:8" outlineLevel="1" x14ac:dyDescent="0.35"/>
    <row r="30" spans="2:8" x14ac:dyDescent="0.35">
      <c r="B30" s="247" t="s">
        <v>275</v>
      </c>
      <c r="C30" s="248"/>
      <c r="D30" s="248"/>
      <c r="E30" s="248"/>
      <c r="F30" s="248"/>
      <c r="G30" s="248"/>
      <c r="H30" s="248"/>
    </row>
    <row r="31" spans="2:8" outlineLevel="1" x14ac:dyDescent="0.35"/>
    <row r="32" spans="2:8" outlineLevel="1" x14ac:dyDescent="0.35"/>
  </sheetData>
  <mergeCells count="4">
    <mergeCell ref="B2:H2"/>
    <mergeCell ref="B4:H4"/>
    <mergeCell ref="B16:H16"/>
    <mergeCell ref="B30:H30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7357-F400-423D-AF1B-86363BC748DA}">
  <sheetPr>
    <outlinePr summaryBelow="0" summaryRight="0"/>
  </sheetPr>
  <dimension ref="B2:I6"/>
  <sheetViews>
    <sheetView showGridLines="0" workbookViewId="0">
      <selection activeCell="I14" sqref="I14"/>
    </sheetView>
  </sheetViews>
  <sheetFormatPr baseColWidth="10" defaultColWidth="11.44140625" defaultRowHeight="14.4" outlineLevelRow="1" x14ac:dyDescent="0.35"/>
  <cols>
    <col min="1" max="1" width="4.109375" style="64" customWidth="1"/>
    <col min="2" max="2" width="15.109375" style="64" customWidth="1"/>
    <col min="3" max="3" width="11.5546875" style="64" bestFit="1" customWidth="1"/>
    <col min="4" max="9" width="17.6640625" style="64" bestFit="1" customWidth="1"/>
    <col min="10" max="16384" width="11.44140625" style="64"/>
  </cols>
  <sheetData>
    <row r="2" spans="2:9" x14ac:dyDescent="0.35">
      <c r="B2" s="247" t="s">
        <v>324</v>
      </c>
      <c r="C2" s="248"/>
      <c r="D2" s="248"/>
      <c r="E2" s="248"/>
      <c r="F2" s="248"/>
      <c r="G2" s="248"/>
      <c r="H2" s="248"/>
      <c r="I2" s="248"/>
    </row>
    <row r="3" spans="2:9" outlineLevel="1" x14ac:dyDescent="0.35"/>
    <row r="4" spans="2:9" outlineLevel="1" x14ac:dyDescent="0.35">
      <c r="B4" s="147"/>
      <c r="I4" s="147"/>
    </row>
    <row r="5" spans="2:9" outlineLevel="1" x14ac:dyDescent="0.35">
      <c r="B5" s="147"/>
      <c r="I5" s="147"/>
    </row>
    <row r="6" spans="2:9" outlineLevel="1" x14ac:dyDescent="0.35"/>
  </sheetData>
  <mergeCells count="1">
    <mergeCell ref="B2:I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A82D-8192-4217-8A6A-768FF293CB16}">
  <sheetPr>
    <outlinePr summaryBelow="0" summaryRight="0"/>
  </sheetPr>
  <dimension ref="B2:I17"/>
  <sheetViews>
    <sheetView showGridLines="0" zoomScale="85" zoomScaleNormal="85" workbookViewId="0">
      <selection activeCell="D12" sqref="D12"/>
    </sheetView>
  </sheetViews>
  <sheetFormatPr baseColWidth="10" defaultColWidth="11.44140625" defaultRowHeight="14.4" outlineLevelRow="2" outlineLevelCol="1" x14ac:dyDescent="0.3"/>
  <cols>
    <col min="1" max="1" width="3" style="149" customWidth="1"/>
    <col min="2" max="2" width="17" style="149" bestFit="1" customWidth="1"/>
    <col min="3" max="3" width="75.5546875" style="149" customWidth="1" outlineLevel="1"/>
    <col min="4" max="4" width="14.109375" style="149" bestFit="1" customWidth="1"/>
    <col min="5" max="6" width="11.44140625" style="149"/>
    <col min="7" max="7" width="12.6640625" style="149" bestFit="1" customWidth="1"/>
    <col min="8" max="8" width="19.109375" style="149" customWidth="1"/>
    <col min="9" max="16384" width="11.44140625" style="149"/>
  </cols>
  <sheetData>
    <row r="2" spans="2:9" ht="15" x14ac:dyDescent="0.35">
      <c r="B2" s="247" t="s">
        <v>325</v>
      </c>
      <c r="C2" s="248"/>
      <c r="D2" s="248"/>
      <c r="E2" s="248"/>
      <c r="F2" s="248"/>
      <c r="G2" s="248"/>
      <c r="H2" s="248"/>
      <c r="I2" s="248"/>
    </row>
    <row r="3" spans="2:9" outlineLevel="1" x14ac:dyDescent="0.3">
      <c r="B3" s="150"/>
    </row>
    <row r="4" spans="2:9" outlineLevel="1" x14ac:dyDescent="0.3">
      <c r="B4" s="150" t="s">
        <v>326</v>
      </c>
    </row>
    <row r="5" spans="2:9" outlineLevel="1" x14ac:dyDescent="0.3">
      <c r="B5" s="150"/>
    </row>
    <row r="6" spans="2:9" ht="15" outlineLevel="1" x14ac:dyDescent="0.35">
      <c r="B6" s="60" t="s">
        <v>327</v>
      </c>
      <c r="C6" s="60" t="s">
        <v>482</v>
      </c>
      <c r="D6" s="151">
        <f>((1+D7)^(1/4))-1</f>
        <v>2.6911537864482193E-2</v>
      </c>
    </row>
    <row r="7" spans="2:9" ht="15" outlineLevel="1" x14ac:dyDescent="0.35">
      <c r="B7" s="60" t="s">
        <v>327</v>
      </c>
      <c r="C7" s="60" t="s">
        <v>328</v>
      </c>
      <c r="D7" s="151">
        <f>+D8+D13*D14+D15</f>
        <v>0.11207002185561808</v>
      </c>
      <c r="E7" s="172"/>
    </row>
    <row r="8" spans="2:9" ht="15" outlineLevel="2" x14ac:dyDescent="0.35">
      <c r="B8" s="148" t="s">
        <v>329</v>
      </c>
      <c r="C8" s="148" t="s">
        <v>330</v>
      </c>
      <c r="D8" s="171">
        <v>1.238E-2</v>
      </c>
    </row>
    <row r="9" spans="2:9" ht="15" outlineLevel="2" x14ac:dyDescent="0.35">
      <c r="B9" s="148" t="s">
        <v>331</v>
      </c>
      <c r="C9" s="240" t="s">
        <v>332</v>
      </c>
      <c r="D9" s="148">
        <v>1.1000000000000001</v>
      </c>
    </row>
    <row r="10" spans="2:9" ht="15" outlineLevel="2" x14ac:dyDescent="0.35">
      <c r="B10" s="148" t="s">
        <v>333</v>
      </c>
      <c r="C10" s="148" t="s">
        <v>29</v>
      </c>
      <c r="D10" s="152">
        <f>+Datos!C52</f>
        <v>0.29499999999999998</v>
      </c>
    </row>
    <row r="11" spans="2:9" ht="15" outlineLevel="2" x14ac:dyDescent="0.35">
      <c r="B11" s="148" t="s">
        <v>334</v>
      </c>
      <c r="C11" s="148" t="s">
        <v>335</v>
      </c>
      <c r="D11" s="148">
        <f>+ESF!C64</f>
        <v>1000305</v>
      </c>
    </row>
    <row r="12" spans="2:9" ht="15" outlineLevel="2" x14ac:dyDescent="0.35">
      <c r="B12" s="148" t="s">
        <v>336</v>
      </c>
      <c r="C12" s="148" t="s">
        <v>335</v>
      </c>
      <c r="D12" s="148">
        <f>+ESF!C74</f>
        <v>1476085</v>
      </c>
    </row>
    <row r="13" spans="2:9" ht="15" outlineLevel="2" x14ac:dyDescent="0.35">
      <c r="B13" s="148" t="s">
        <v>337</v>
      </c>
      <c r="C13" s="148" t="s">
        <v>338</v>
      </c>
      <c r="D13" s="148">
        <f>+D9*(1+(1-D10)*D11/D12)</f>
        <v>1.6255364884136079</v>
      </c>
    </row>
    <row r="14" spans="2:9" ht="15" outlineLevel="2" x14ac:dyDescent="0.35">
      <c r="B14" s="148" t="s">
        <v>339</v>
      </c>
      <c r="C14" s="240" t="s">
        <v>340</v>
      </c>
      <c r="D14" s="152">
        <v>5.1299999999999998E-2</v>
      </c>
      <c r="G14" s="172"/>
    </row>
    <row r="15" spans="2:9" ht="15" outlineLevel="2" x14ac:dyDescent="0.35">
      <c r="B15" s="148" t="s">
        <v>341</v>
      </c>
      <c r="C15" s="240" t="s">
        <v>465</v>
      </c>
      <c r="D15" s="152">
        <v>1.6299999999999999E-2</v>
      </c>
      <c r="G15" s="172"/>
    </row>
    <row r="16" spans="2:9" ht="15" outlineLevel="1" x14ac:dyDescent="0.35">
      <c r="B16" s="60" t="s">
        <v>481</v>
      </c>
      <c r="C16" s="275" t="s">
        <v>483</v>
      </c>
      <c r="D16" s="276"/>
    </row>
    <row r="17" outlineLevel="1" x14ac:dyDescent="0.3"/>
  </sheetData>
  <mergeCells count="2">
    <mergeCell ref="B2:I2"/>
    <mergeCell ref="C16:D16"/>
  </mergeCells>
  <hyperlinks>
    <hyperlink ref="C15" r:id="rId1" xr:uid="{B8608513-AADC-4588-9052-F70ABD19F6FE}"/>
    <hyperlink ref="C14" r:id="rId2" xr:uid="{FDC4E7EA-CDD2-4D38-A74E-A3D7B2F4DB8A}"/>
    <hyperlink ref="C8" r:id="rId3" xr:uid="{9F2C887A-6E0A-41A6-A2AB-7EEF26F63B04}"/>
    <hyperlink ref="C9" r:id="rId4" xr:uid="{9DF8284C-FF8F-410D-B77A-F691D3A9EEDF}"/>
  </hyperlinks>
  <pageMargins left="0.7" right="0.7" top="0.75" bottom="0.75" header="0.3" footer="0.3"/>
  <pageSetup paperSize="9" orientation="portrait" r:id="rId5"/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93A5-4D7A-4581-A095-D33861AE9C21}">
  <sheetPr>
    <tabColor rgb="FF00B050"/>
    <outlinePr summaryBelow="0"/>
  </sheetPr>
  <dimension ref="B1:G22"/>
  <sheetViews>
    <sheetView showGridLines="0" workbookViewId="0">
      <selection activeCell="I1" sqref="I1"/>
    </sheetView>
  </sheetViews>
  <sheetFormatPr baseColWidth="10" defaultRowHeight="14.4" outlineLevelRow="1" outlineLevelCol="1" x14ac:dyDescent="0.3"/>
  <cols>
    <col min="2" max="2" width="1.5546875" customWidth="1"/>
    <col min="3" max="3" width="26.109375" customWidth="1"/>
    <col min="4" max="7" width="14.109375" bestFit="1" customWidth="1" outlineLevel="1"/>
  </cols>
  <sheetData>
    <row r="1" spans="2:7" ht="15" thickBot="1" x14ac:dyDescent="0.35"/>
    <row r="2" spans="2:7" ht="15.6" x14ac:dyDescent="0.3">
      <c r="B2" s="238" t="s">
        <v>487</v>
      </c>
      <c r="C2" s="238"/>
      <c r="D2" s="204"/>
      <c r="E2" s="204"/>
      <c r="F2" s="204"/>
      <c r="G2" s="204"/>
    </row>
    <row r="3" spans="2:7" ht="15.6" collapsed="1" x14ac:dyDescent="0.3">
      <c r="B3" s="208"/>
      <c r="C3" s="208"/>
      <c r="D3" s="205" t="s">
        <v>489</v>
      </c>
      <c r="E3" s="205" t="s">
        <v>484</v>
      </c>
      <c r="F3" s="205" t="s">
        <v>485</v>
      </c>
      <c r="G3" s="205" t="s">
        <v>486</v>
      </c>
    </row>
    <row r="4" spans="2:7" ht="40.799999999999997" hidden="1" outlineLevel="1" x14ac:dyDescent="0.3">
      <c r="B4" s="209"/>
      <c r="C4" s="209"/>
      <c r="E4" s="243"/>
      <c r="F4" s="207" t="s">
        <v>525</v>
      </c>
      <c r="G4" s="243"/>
    </row>
    <row r="5" spans="2:7" x14ac:dyDescent="0.3">
      <c r="B5" s="237" t="s">
        <v>488</v>
      </c>
      <c r="C5" s="237"/>
      <c r="D5" s="202"/>
      <c r="E5" s="202"/>
      <c r="F5" s="202"/>
      <c r="G5" s="202"/>
    </row>
    <row r="6" spans="2:7" outlineLevel="1" x14ac:dyDescent="0.3">
      <c r="B6" s="209"/>
      <c r="C6" s="209" t="s">
        <v>106</v>
      </c>
      <c r="D6" s="199">
        <v>5.1999999999999998E-3</v>
      </c>
      <c r="E6" s="206">
        <v>1.2E-2</v>
      </c>
      <c r="F6" s="206">
        <v>5.1999999999999998E-3</v>
      </c>
      <c r="G6" s="206">
        <v>1.5E-3</v>
      </c>
    </row>
    <row r="7" spans="2:7" outlineLevel="1" x14ac:dyDescent="0.3">
      <c r="B7" s="209"/>
      <c r="C7" s="209" t="s">
        <v>230</v>
      </c>
      <c r="D7" s="199">
        <v>4.1000000000000002E-2</v>
      </c>
      <c r="E7" s="206">
        <v>7.4999999999999997E-2</v>
      </c>
      <c r="F7" s="206">
        <v>4.1000000000000002E-2</v>
      </c>
      <c r="G7" s="206">
        <v>2.1000000000000001E-2</v>
      </c>
    </row>
    <row r="8" spans="2:7" outlineLevel="1" x14ac:dyDescent="0.3">
      <c r="B8" s="209"/>
      <c r="C8" s="209" t="s">
        <v>231</v>
      </c>
      <c r="D8" s="199">
        <v>2.4E-2</v>
      </c>
      <c r="E8" s="206">
        <v>4.5999999999999999E-2</v>
      </c>
      <c r="F8" s="206">
        <v>2.4E-2</v>
      </c>
      <c r="G8" s="206">
        <v>8.9999999999999993E-3</v>
      </c>
    </row>
    <row r="9" spans="2:7" outlineLevel="1" x14ac:dyDescent="0.3">
      <c r="B9" s="209"/>
      <c r="C9" s="209" t="s">
        <v>232</v>
      </c>
      <c r="D9" s="199">
        <v>4.4999999999999998E-2</v>
      </c>
      <c r="E9" s="206">
        <v>6.3E-2</v>
      </c>
      <c r="F9" s="206">
        <v>4.4999999999999998E-2</v>
      </c>
      <c r="G9" s="206">
        <v>1.7999999999999999E-2</v>
      </c>
    </row>
    <row r="10" spans="2:7" outlineLevel="1" x14ac:dyDescent="0.3">
      <c r="B10" s="209"/>
      <c r="C10" s="209" t="s">
        <v>468</v>
      </c>
      <c r="D10" s="199">
        <v>3.4000000000000002E-2</v>
      </c>
      <c r="E10" s="206">
        <v>5.8000000000000003E-2</v>
      </c>
      <c r="F10" s="206">
        <v>3.4000000000000002E-2</v>
      </c>
      <c r="G10" s="206">
        <v>1.7999999999999999E-2</v>
      </c>
    </row>
    <row r="11" spans="2:7" outlineLevel="1" x14ac:dyDescent="0.3">
      <c r="B11" s="209"/>
      <c r="C11" s="209" t="s">
        <v>469</v>
      </c>
      <c r="D11" s="199">
        <v>4.2999999999999997E-2</v>
      </c>
      <c r="E11" s="206">
        <v>6.2E-2</v>
      </c>
      <c r="F11" s="206">
        <v>4.2999999999999997E-2</v>
      </c>
      <c r="G11" s="206">
        <v>2.1000000000000001E-2</v>
      </c>
    </row>
    <row r="12" spans="2:7" outlineLevel="1" x14ac:dyDescent="0.3">
      <c r="B12" s="209"/>
      <c r="C12" s="209" t="s">
        <v>470</v>
      </c>
      <c r="D12" s="199">
        <v>2.1999999999999999E-2</v>
      </c>
      <c r="E12" s="206">
        <v>3.4000000000000002E-2</v>
      </c>
      <c r="F12" s="206">
        <v>2.1999999999999999E-2</v>
      </c>
      <c r="G12" s="206">
        <v>1.6E-2</v>
      </c>
    </row>
    <row r="13" spans="2:7" outlineLevel="1" x14ac:dyDescent="0.3">
      <c r="B13" s="209"/>
      <c r="C13" s="209" t="s">
        <v>471</v>
      </c>
      <c r="D13" s="199">
        <v>0.01</v>
      </c>
      <c r="E13" s="206">
        <v>1.6E-2</v>
      </c>
      <c r="F13" s="206">
        <v>0.01</v>
      </c>
      <c r="G13" s="206">
        <v>7.0000000000000001E-3</v>
      </c>
    </row>
    <row r="14" spans="2:7" outlineLevel="1" x14ac:dyDescent="0.3">
      <c r="B14" s="209"/>
      <c r="C14" s="209" t="s">
        <v>472</v>
      </c>
      <c r="D14" s="199">
        <v>4.2000000000000003E-2</v>
      </c>
      <c r="E14" s="206">
        <v>6.8000000000000005E-2</v>
      </c>
      <c r="F14" s="206">
        <v>4.2000000000000003E-2</v>
      </c>
      <c r="G14" s="206">
        <v>2.1000000000000001E-2</v>
      </c>
    </row>
    <row r="15" spans="2:7" x14ac:dyDescent="0.3">
      <c r="B15" s="237" t="s">
        <v>490</v>
      </c>
      <c r="C15" s="237"/>
      <c r="D15" s="202"/>
      <c r="E15" s="202"/>
      <c r="F15" s="202"/>
      <c r="G15" s="202"/>
    </row>
    <row r="16" spans="2:7" outlineLevel="1" x14ac:dyDescent="0.3">
      <c r="B16" s="209"/>
      <c r="C16" s="209" t="s">
        <v>404</v>
      </c>
      <c r="D16" s="200">
        <v>9221.4731672567505</v>
      </c>
      <c r="E16" s="200">
        <v>1198.64627168829</v>
      </c>
      <c r="F16" s="200">
        <v>9221.4731672567505</v>
      </c>
      <c r="G16" s="200">
        <v>14673.8995372182</v>
      </c>
    </row>
    <row r="17" spans="2:7" outlineLevel="1" x14ac:dyDescent="0.3">
      <c r="B17" s="209"/>
      <c r="C17" s="209" t="s">
        <v>405</v>
      </c>
      <c r="D17" s="210">
        <v>0.20626937109317001</v>
      </c>
      <c r="E17" s="210">
        <v>5.1871139831384201E-2</v>
      </c>
      <c r="F17" s="210">
        <v>0.20626937109317001</v>
      </c>
      <c r="G17" s="210">
        <v>0.302368897685166</v>
      </c>
    </row>
    <row r="18" spans="2:7" outlineLevel="1" x14ac:dyDescent="0.3">
      <c r="B18" s="209"/>
      <c r="C18" s="209" t="s">
        <v>406</v>
      </c>
      <c r="D18" s="200">
        <v>1.4850598688789001</v>
      </c>
      <c r="E18" s="200">
        <v>1.0630501431638699</v>
      </c>
      <c r="F18" s="200">
        <v>1.4850598688789001</v>
      </c>
      <c r="G18" s="200">
        <v>1.77186363353943</v>
      </c>
    </row>
    <row r="19" spans="2:7" ht="15" outlineLevel="1" thickBot="1" x14ac:dyDescent="0.35">
      <c r="B19" s="203"/>
      <c r="C19" s="203" t="s">
        <v>407</v>
      </c>
      <c r="D19" s="201">
        <v>2.7501935658638001</v>
      </c>
      <c r="E19" s="201">
        <v>3.7730289949120599</v>
      </c>
      <c r="F19" s="201">
        <v>2.7501935658638001</v>
      </c>
      <c r="G19" s="201">
        <v>2.3289223468394198</v>
      </c>
    </row>
    <row r="20" spans="2:7" x14ac:dyDescent="0.3">
      <c r="B20" t="s">
        <v>491</v>
      </c>
    </row>
    <row r="21" spans="2:7" x14ac:dyDescent="0.3">
      <c r="B21" t="s">
        <v>492</v>
      </c>
    </row>
    <row r="22" spans="2:7" x14ac:dyDescent="0.3">
      <c r="B22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0BA2-D7EE-43DE-A6C0-41582ED1D6AF}">
  <dimension ref="B2:J20"/>
  <sheetViews>
    <sheetView showGridLines="0" zoomScale="130" zoomScaleNormal="130" workbookViewId="0">
      <selection activeCell="A22" sqref="A22"/>
    </sheetView>
  </sheetViews>
  <sheetFormatPr baseColWidth="10" defaultRowHeight="14.4" x14ac:dyDescent="0.3"/>
  <cols>
    <col min="2" max="2" width="45" bestFit="1" customWidth="1"/>
    <col min="3" max="3" width="25.109375" bestFit="1" customWidth="1"/>
    <col min="4" max="4" width="12.21875" bestFit="1" customWidth="1"/>
    <col min="5" max="5" width="17.44140625" bestFit="1" customWidth="1"/>
  </cols>
  <sheetData>
    <row r="2" spans="2:10" x14ac:dyDescent="0.3">
      <c r="B2" s="277" t="s">
        <v>513</v>
      </c>
      <c r="C2" s="278"/>
      <c r="D2" s="278"/>
      <c r="E2" s="278"/>
      <c r="F2" s="278"/>
      <c r="H2" s="213"/>
      <c r="I2" s="213"/>
      <c r="J2" s="213"/>
    </row>
    <row r="3" spans="2:10" x14ac:dyDescent="0.3">
      <c r="B3" s="215"/>
      <c r="C3" s="215"/>
      <c r="D3" s="215"/>
      <c r="E3" s="215"/>
      <c r="F3" s="215"/>
      <c r="H3" s="213"/>
      <c r="I3" s="213"/>
      <c r="J3" s="213"/>
    </row>
    <row r="4" spans="2:10" x14ac:dyDescent="0.3">
      <c r="B4" s="214" t="s">
        <v>411</v>
      </c>
      <c r="C4" s="214" t="s">
        <v>511</v>
      </c>
      <c r="D4" s="214" t="s">
        <v>412</v>
      </c>
      <c r="E4" s="214" t="s">
        <v>510</v>
      </c>
      <c r="F4" s="214" t="s">
        <v>412</v>
      </c>
      <c r="H4" s="213"/>
      <c r="I4" s="212"/>
      <c r="J4" s="213"/>
    </row>
    <row r="5" spans="2:10" x14ac:dyDescent="0.3">
      <c r="B5" s="216" t="s">
        <v>494</v>
      </c>
      <c r="C5" s="232">
        <v>543689</v>
      </c>
      <c r="D5" s="224">
        <f t="shared" ref="D5:D20" si="0">C5/$C$5</f>
        <v>1</v>
      </c>
      <c r="E5" s="232">
        <v>524300</v>
      </c>
      <c r="F5" s="224">
        <f t="shared" ref="F5:F20" si="1">E5/$E$5</f>
        <v>1</v>
      </c>
      <c r="H5" s="213"/>
      <c r="I5" s="212"/>
      <c r="J5" s="213"/>
    </row>
    <row r="6" spans="2:10" x14ac:dyDescent="0.3">
      <c r="B6" s="217" t="s">
        <v>495</v>
      </c>
      <c r="C6" s="233">
        <v>-236724</v>
      </c>
      <c r="D6" s="223">
        <f t="shared" si="0"/>
        <v>-0.43540332800553255</v>
      </c>
      <c r="E6" s="233">
        <v>-228764</v>
      </c>
      <c r="F6" s="223">
        <f t="shared" si="1"/>
        <v>-0.43632271600228878</v>
      </c>
      <c r="H6" s="213"/>
      <c r="I6" s="213"/>
      <c r="J6" s="213"/>
    </row>
    <row r="7" spans="2:10" x14ac:dyDescent="0.3">
      <c r="B7" s="216" t="s">
        <v>496</v>
      </c>
      <c r="C7" s="232">
        <f>SUM(C5:C6)</f>
        <v>306965</v>
      </c>
      <c r="D7" s="224">
        <f t="shared" si="0"/>
        <v>0.56459667199446739</v>
      </c>
      <c r="E7" s="232">
        <f>SUM(E5:E6)</f>
        <v>295536</v>
      </c>
      <c r="F7" s="224">
        <f t="shared" si="1"/>
        <v>0.56367728399771122</v>
      </c>
      <c r="H7" s="213"/>
      <c r="I7" s="213"/>
      <c r="J7" s="213"/>
    </row>
    <row r="8" spans="2:10" x14ac:dyDescent="0.3">
      <c r="B8" s="217" t="s">
        <v>512</v>
      </c>
      <c r="C8" s="233">
        <v>-72460</v>
      </c>
      <c r="D8" s="230">
        <f t="shared" si="0"/>
        <v>-0.13327472139403226</v>
      </c>
      <c r="E8" s="233">
        <v>-71680</v>
      </c>
      <c r="F8" s="223">
        <f t="shared" si="1"/>
        <v>-0.13671562082777036</v>
      </c>
      <c r="H8" s="213"/>
      <c r="I8" s="213"/>
      <c r="J8" s="213"/>
    </row>
    <row r="9" spans="2:10" x14ac:dyDescent="0.3">
      <c r="B9" s="218" t="s">
        <v>497</v>
      </c>
      <c r="C9" s="234">
        <v>-22460</v>
      </c>
      <c r="D9" s="231">
        <f t="shared" si="0"/>
        <v>-4.1310381486474805E-2</v>
      </c>
      <c r="E9" s="234">
        <v>-20338</v>
      </c>
      <c r="F9" s="222">
        <f t="shared" si="1"/>
        <v>-3.8790768643906161E-2</v>
      </c>
      <c r="H9" s="213"/>
      <c r="I9" s="213"/>
      <c r="J9" s="213"/>
    </row>
    <row r="10" spans="2:10" x14ac:dyDescent="0.3">
      <c r="B10" s="217" t="s">
        <v>498</v>
      </c>
      <c r="C10" s="233">
        <v>12640</v>
      </c>
      <c r="D10" s="223">
        <f t="shared" si="0"/>
        <v>2.3248585128630522E-2</v>
      </c>
      <c r="E10" s="233">
        <v>14532</v>
      </c>
      <c r="F10" s="223">
        <f t="shared" si="1"/>
        <v>2.7716955941255006E-2</v>
      </c>
    </row>
    <row r="11" spans="2:10" x14ac:dyDescent="0.3">
      <c r="B11" s="218" t="s">
        <v>499</v>
      </c>
      <c r="C11" s="234">
        <v>-32450</v>
      </c>
      <c r="D11" s="222">
        <f t="shared" si="0"/>
        <v>-5.9684856600004783E-2</v>
      </c>
      <c r="E11" s="234">
        <v>-33256</v>
      </c>
      <c r="F11" s="222">
        <f t="shared" si="1"/>
        <v>-6.3429334350562652E-2</v>
      </c>
    </row>
    <row r="12" spans="2:10" x14ac:dyDescent="0.3">
      <c r="B12" s="217" t="s">
        <v>500</v>
      </c>
      <c r="C12" s="233">
        <v>10280</v>
      </c>
      <c r="D12" s="223">
        <f t="shared" si="0"/>
        <v>1.8907868284993811E-2</v>
      </c>
      <c r="E12" s="233">
        <v>12340</v>
      </c>
      <c r="F12" s="223">
        <f t="shared" si="1"/>
        <v>2.3536143429334352E-2</v>
      </c>
    </row>
    <row r="13" spans="2:10" x14ac:dyDescent="0.3">
      <c r="B13" s="216" t="s">
        <v>501</v>
      </c>
      <c r="C13" s="232">
        <f>SUM(C7:C12)</f>
        <v>202515</v>
      </c>
      <c r="D13" s="224">
        <f t="shared" si="0"/>
        <v>0.37248316592757991</v>
      </c>
      <c r="E13" s="232">
        <f>SUM(E7:E12)</f>
        <v>197134</v>
      </c>
      <c r="F13" s="224">
        <f t="shared" si="1"/>
        <v>0.37599465954606143</v>
      </c>
    </row>
    <row r="14" spans="2:10" x14ac:dyDescent="0.3">
      <c r="B14" s="218" t="s">
        <v>502</v>
      </c>
      <c r="C14" s="234">
        <v>22450</v>
      </c>
      <c r="D14" s="222">
        <f t="shared" si="0"/>
        <v>4.1291988618493293E-2</v>
      </c>
      <c r="E14" s="234">
        <v>15429</v>
      </c>
      <c r="F14" s="222">
        <f t="shared" si="1"/>
        <v>2.9427808506580201E-2</v>
      </c>
    </row>
    <row r="15" spans="2:10" x14ac:dyDescent="0.3">
      <c r="B15" s="218" t="s">
        <v>503</v>
      </c>
      <c r="C15" s="234">
        <v>-36724</v>
      </c>
      <c r="D15" s="222">
        <f t="shared" si="0"/>
        <v>-6.7545968375302787E-2</v>
      </c>
      <c r="E15" s="234">
        <v>-18756</v>
      </c>
      <c r="F15" s="222">
        <f t="shared" si="1"/>
        <v>-3.5773412168605759E-2</v>
      </c>
    </row>
    <row r="16" spans="2:10" x14ac:dyDescent="0.3">
      <c r="B16" s="217" t="s">
        <v>504</v>
      </c>
      <c r="C16" s="233">
        <v>-20345</v>
      </c>
      <c r="D16" s="223">
        <f t="shared" si="0"/>
        <v>-3.7420289908385126E-2</v>
      </c>
      <c r="E16" s="233">
        <v>-31350</v>
      </c>
      <c r="F16" s="223">
        <f t="shared" si="1"/>
        <v>-5.9794011062368875E-2</v>
      </c>
    </row>
    <row r="17" spans="2:6" x14ac:dyDescent="0.3">
      <c r="B17" s="216" t="s">
        <v>505</v>
      </c>
      <c r="C17" s="232">
        <f>SUM(C13:C16)</f>
        <v>167896</v>
      </c>
      <c r="D17" s="224">
        <f t="shared" si="0"/>
        <v>0.30880889626238528</v>
      </c>
      <c r="E17" s="232">
        <f>SUM(E13:E16)</f>
        <v>162457</v>
      </c>
      <c r="F17" s="224">
        <f t="shared" si="1"/>
        <v>0.30985504482166698</v>
      </c>
    </row>
    <row r="18" spans="2:6" x14ac:dyDescent="0.3">
      <c r="B18" s="217" t="s">
        <v>506</v>
      </c>
      <c r="C18" s="233">
        <f>-C17*0.295</f>
        <v>-49529.32</v>
      </c>
      <c r="D18" s="223">
        <f t="shared" si="0"/>
        <v>-9.1098624397403669E-2</v>
      </c>
      <c r="E18" s="233">
        <f>-E17*0.295</f>
        <v>-47924.814999999995</v>
      </c>
      <c r="F18" s="223">
        <f t="shared" si="1"/>
        <v>-9.1407238222391746E-2</v>
      </c>
    </row>
    <row r="19" spans="2:6" x14ac:dyDescent="0.3">
      <c r="B19" s="218" t="s">
        <v>507</v>
      </c>
      <c r="C19" s="234">
        <f>C17+C18</f>
        <v>118366.68</v>
      </c>
      <c r="D19" s="222">
        <f t="shared" si="0"/>
        <v>0.21771027186498162</v>
      </c>
      <c r="E19" s="234">
        <f>E17+E18</f>
        <v>114532.185</v>
      </c>
      <c r="F19" s="222">
        <f t="shared" si="1"/>
        <v>0.21844780659927521</v>
      </c>
    </row>
    <row r="20" spans="2:6" x14ac:dyDescent="0.3">
      <c r="B20" s="216" t="s">
        <v>508</v>
      </c>
      <c r="C20" s="232">
        <f>C19</f>
        <v>118366.68</v>
      </c>
      <c r="D20" s="224">
        <f t="shared" si="0"/>
        <v>0.21771027186498162</v>
      </c>
      <c r="E20" s="232">
        <f>E19</f>
        <v>114532.185</v>
      </c>
      <c r="F20" s="224">
        <f t="shared" si="1"/>
        <v>0.21844780659927521</v>
      </c>
    </row>
  </sheetData>
  <mergeCells count="1">
    <mergeCell ref="B2:F2"/>
  </mergeCells>
  <pageMargins left="0.7" right="0.7" top="0.75" bottom="0.75" header="0.3" footer="0.3"/>
  <pageSetup orientation="portrait" r:id="rId1"/>
  <ignoredErrors>
    <ignoredError sqref="D7 D13 D17:D20" formula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73B2-39E4-4396-A78A-9F97191CEE97}">
  <dimension ref="B2:J75"/>
  <sheetViews>
    <sheetView showGridLines="0" zoomScale="120" zoomScaleNormal="120" workbookViewId="0">
      <selection activeCell="B22" sqref="B22"/>
    </sheetView>
  </sheetViews>
  <sheetFormatPr baseColWidth="10" defaultRowHeight="14.4" x14ac:dyDescent="0.3"/>
  <cols>
    <col min="2" max="2" width="80.77734375" customWidth="1"/>
    <col min="3" max="3" width="25.109375" bestFit="1" customWidth="1"/>
    <col min="5" max="5" width="17.44140625" bestFit="1" customWidth="1"/>
    <col min="9" max="10" width="13.109375" bestFit="1" customWidth="1"/>
  </cols>
  <sheetData>
    <row r="2" spans="2:6" x14ac:dyDescent="0.3">
      <c r="B2" s="277" t="s">
        <v>514</v>
      </c>
      <c r="C2" s="278"/>
      <c r="D2" s="278"/>
      <c r="E2" s="278"/>
      <c r="F2" s="278"/>
    </row>
    <row r="3" spans="2:6" x14ac:dyDescent="0.3">
      <c r="B3" s="220"/>
      <c r="C3" s="220"/>
      <c r="D3" s="220"/>
      <c r="E3" s="220"/>
      <c r="F3" s="220"/>
    </row>
    <row r="4" spans="2:6" x14ac:dyDescent="0.3">
      <c r="B4" s="214" t="s">
        <v>411</v>
      </c>
      <c r="C4" s="219" t="s">
        <v>511</v>
      </c>
      <c r="D4" s="219" t="s">
        <v>412</v>
      </c>
      <c r="E4" s="219" t="s">
        <v>510</v>
      </c>
      <c r="F4" s="219" t="s">
        <v>412</v>
      </c>
    </row>
    <row r="5" spans="2:6" x14ac:dyDescent="0.3">
      <c r="B5" s="218" t="s">
        <v>413</v>
      </c>
      <c r="C5" s="226">
        <v>485860</v>
      </c>
      <c r="D5" s="222">
        <f t="shared" ref="D5:D38" si="0">C5/$C$38</f>
        <v>0.19619688336651336</v>
      </c>
      <c r="E5" s="226">
        <v>548456</v>
      </c>
      <c r="F5" s="222">
        <f t="shared" ref="F5:F38" si="1">E5/$E$38</f>
        <v>0.232600628517386</v>
      </c>
    </row>
    <row r="6" spans="2:6" x14ac:dyDescent="0.3">
      <c r="B6" s="217" t="s">
        <v>414</v>
      </c>
      <c r="C6" s="227">
        <v>0</v>
      </c>
      <c r="D6" s="223">
        <f t="shared" si="0"/>
        <v>0</v>
      </c>
      <c r="E6" s="227">
        <v>0</v>
      </c>
      <c r="F6" s="223">
        <f t="shared" si="1"/>
        <v>0</v>
      </c>
    </row>
    <row r="7" spans="2:6" x14ac:dyDescent="0.3">
      <c r="B7" s="218" t="s">
        <v>415</v>
      </c>
      <c r="C7" s="226">
        <f>SUM(C8:C11)</f>
        <v>1027217</v>
      </c>
      <c r="D7" s="222">
        <f t="shared" si="0"/>
        <v>0.41480421096838543</v>
      </c>
      <c r="E7" s="226">
        <f>SUM(E8:E10)</f>
        <v>823344</v>
      </c>
      <c r="F7" s="222">
        <f t="shared" si="1"/>
        <v>0.34918084930426263</v>
      </c>
    </row>
    <row r="8" spans="2:6" x14ac:dyDescent="0.3">
      <c r="B8" s="217" t="s">
        <v>416</v>
      </c>
      <c r="C8" s="227">
        <v>567820</v>
      </c>
      <c r="D8" s="223">
        <f t="shared" si="0"/>
        <v>0.22929344731645662</v>
      </c>
      <c r="E8" s="227">
        <v>468920</v>
      </c>
      <c r="F8" s="223">
        <f t="shared" si="1"/>
        <v>0.1988693472664583</v>
      </c>
    </row>
    <row r="9" spans="2:6" x14ac:dyDescent="0.3">
      <c r="B9" s="218" t="s">
        <v>417</v>
      </c>
      <c r="C9" s="226">
        <v>410672</v>
      </c>
      <c r="D9" s="222">
        <f t="shared" si="0"/>
        <v>0.16583494522268302</v>
      </c>
      <c r="E9" s="226">
        <v>325670</v>
      </c>
      <c r="F9" s="222">
        <f t="shared" si="1"/>
        <v>0.1381169076266047</v>
      </c>
    </row>
    <row r="10" spans="2:6" x14ac:dyDescent="0.3">
      <c r="B10" s="217" t="s">
        <v>418</v>
      </c>
      <c r="C10" s="227">
        <v>40275</v>
      </c>
      <c r="D10" s="223">
        <f t="shared" si="0"/>
        <v>1.6263593375841448E-2</v>
      </c>
      <c r="E10" s="227">
        <v>28754</v>
      </c>
      <c r="F10" s="223">
        <f t="shared" si="1"/>
        <v>1.2194594411199654E-2</v>
      </c>
    </row>
    <row r="11" spans="2:6" x14ac:dyDescent="0.3">
      <c r="B11" s="218" t="s">
        <v>419</v>
      </c>
      <c r="C11" s="226">
        <v>8450</v>
      </c>
      <c r="D11" s="222">
        <f t="shared" si="0"/>
        <v>3.4122250534043509E-3</v>
      </c>
      <c r="E11" s="226">
        <v>7420</v>
      </c>
      <c r="F11" s="222">
        <f t="shared" si="1"/>
        <v>3.146827938064319E-3</v>
      </c>
    </row>
    <row r="12" spans="2:6" x14ac:dyDescent="0.3">
      <c r="B12" s="217" t="s">
        <v>420</v>
      </c>
      <c r="C12" s="227">
        <v>75689</v>
      </c>
      <c r="D12" s="223">
        <f t="shared" si="0"/>
        <v>3.056424876533987E-2</v>
      </c>
      <c r="E12" s="227">
        <v>80967</v>
      </c>
      <c r="F12" s="223">
        <f t="shared" si="1"/>
        <v>3.4338169496125837E-2</v>
      </c>
    </row>
    <row r="13" spans="2:6" x14ac:dyDescent="0.3">
      <c r="B13" s="218" t="s">
        <v>421</v>
      </c>
      <c r="C13" s="226">
        <v>0</v>
      </c>
      <c r="D13" s="222">
        <f t="shared" si="0"/>
        <v>0</v>
      </c>
      <c r="E13" s="226">
        <v>0</v>
      </c>
      <c r="F13" s="222">
        <f t="shared" si="1"/>
        <v>0</v>
      </c>
    </row>
    <row r="14" spans="2:6" x14ac:dyDescent="0.3">
      <c r="B14" s="217" t="s">
        <v>422</v>
      </c>
      <c r="C14" s="227">
        <v>0</v>
      </c>
      <c r="D14" s="223">
        <f t="shared" si="0"/>
        <v>0</v>
      </c>
      <c r="E14" s="227">
        <v>0</v>
      </c>
      <c r="F14" s="223">
        <f t="shared" si="1"/>
        <v>0</v>
      </c>
    </row>
    <row r="15" spans="2:6" x14ac:dyDescent="0.3">
      <c r="B15" s="218" t="s">
        <v>423</v>
      </c>
      <c r="C15" s="226">
        <v>15670</v>
      </c>
      <c r="D15" s="222">
        <f t="shared" si="0"/>
        <v>6.3277593593900798E-3</v>
      </c>
      <c r="E15" s="226">
        <v>8927</v>
      </c>
      <c r="F15" s="222">
        <f t="shared" si="1"/>
        <v>3.7859478440835817E-3</v>
      </c>
    </row>
    <row r="16" spans="2:6" x14ac:dyDescent="0.3">
      <c r="B16" s="217" t="s">
        <v>424</v>
      </c>
      <c r="C16" s="227">
        <v>0</v>
      </c>
      <c r="D16" s="223">
        <f t="shared" si="0"/>
        <v>0</v>
      </c>
      <c r="E16" s="227">
        <v>0</v>
      </c>
      <c r="F16" s="223">
        <f t="shared" si="1"/>
        <v>0</v>
      </c>
    </row>
    <row r="17" spans="2:6" ht="24" x14ac:dyDescent="0.3">
      <c r="B17" s="218" t="s">
        <v>425</v>
      </c>
      <c r="C17" s="226">
        <f>SUM(C5,C7,C12:C16)</f>
        <v>1604436</v>
      </c>
      <c r="D17" s="222">
        <f t="shared" si="0"/>
        <v>0.64789310245962872</v>
      </c>
      <c r="E17" s="226">
        <f>SUM(E5,E7,E12:E16)</f>
        <v>1461694</v>
      </c>
      <c r="F17" s="222">
        <f t="shared" si="1"/>
        <v>0.61990559516185806</v>
      </c>
    </row>
    <row r="18" spans="2:6" ht="24" x14ac:dyDescent="0.3">
      <c r="B18" s="217" t="s">
        <v>426</v>
      </c>
      <c r="C18" s="227">
        <v>0</v>
      </c>
      <c r="D18" s="223">
        <f t="shared" si="0"/>
        <v>0</v>
      </c>
      <c r="E18" s="227">
        <v>0</v>
      </c>
      <c r="F18" s="223">
        <f t="shared" si="1"/>
        <v>0</v>
      </c>
    </row>
    <row r="19" spans="2:6" x14ac:dyDescent="0.3">
      <c r="B19" s="216" t="s">
        <v>427</v>
      </c>
      <c r="C19" s="228">
        <f>C17</f>
        <v>1604436</v>
      </c>
      <c r="D19" s="224">
        <f t="shared" si="0"/>
        <v>0.64789310245962872</v>
      </c>
      <c r="E19" s="228">
        <f>E17</f>
        <v>1461694</v>
      </c>
      <c r="F19" s="224">
        <f t="shared" si="1"/>
        <v>0.61990559516185806</v>
      </c>
    </row>
    <row r="20" spans="2:6" x14ac:dyDescent="0.3">
      <c r="B20" s="218" t="s">
        <v>414</v>
      </c>
      <c r="C20" s="226">
        <v>0</v>
      </c>
      <c r="D20" s="222">
        <f t="shared" si="0"/>
        <v>0</v>
      </c>
      <c r="E20" s="226">
        <v>4560</v>
      </c>
      <c r="F20" s="222">
        <f t="shared" si="1"/>
        <v>1.9338996492686382E-3</v>
      </c>
    </row>
    <row r="21" spans="2:6" x14ac:dyDescent="0.3">
      <c r="B21" s="217" t="s">
        <v>428</v>
      </c>
      <c r="C21" s="227">
        <v>0</v>
      </c>
      <c r="D21" s="223">
        <f t="shared" si="0"/>
        <v>0</v>
      </c>
      <c r="E21" s="227">
        <v>0</v>
      </c>
      <c r="F21" s="223">
        <f t="shared" si="1"/>
        <v>0</v>
      </c>
    </row>
    <row r="22" spans="2:6" x14ac:dyDescent="0.3">
      <c r="B22" s="218" t="s">
        <v>415</v>
      </c>
      <c r="C22" s="226">
        <v>0</v>
      </c>
      <c r="D22" s="222">
        <f t="shared" si="0"/>
        <v>0</v>
      </c>
      <c r="E22" s="226">
        <v>0</v>
      </c>
      <c r="F22" s="222">
        <f t="shared" si="1"/>
        <v>0</v>
      </c>
    </row>
    <row r="23" spans="2:6" x14ac:dyDescent="0.3">
      <c r="B23" s="217" t="s">
        <v>416</v>
      </c>
      <c r="C23" s="227">
        <v>0</v>
      </c>
      <c r="D23" s="223">
        <f t="shared" si="0"/>
        <v>0</v>
      </c>
      <c r="E23" s="227">
        <v>0</v>
      </c>
      <c r="F23" s="223">
        <f t="shared" si="1"/>
        <v>0</v>
      </c>
    </row>
    <row r="24" spans="2:6" x14ac:dyDescent="0.3">
      <c r="B24" s="218" t="s">
        <v>417</v>
      </c>
      <c r="C24" s="226">
        <v>0</v>
      </c>
      <c r="D24" s="222">
        <f t="shared" si="0"/>
        <v>0</v>
      </c>
      <c r="E24" s="226">
        <v>0</v>
      </c>
      <c r="F24" s="222">
        <f t="shared" si="1"/>
        <v>0</v>
      </c>
    </row>
    <row r="25" spans="2:6" x14ac:dyDescent="0.3">
      <c r="B25" s="217" t="s">
        <v>418</v>
      </c>
      <c r="C25" s="227">
        <v>0</v>
      </c>
      <c r="D25" s="223">
        <f t="shared" si="0"/>
        <v>0</v>
      </c>
      <c r="E25" s="227">
        <v>0</v>
      </c>
      <c r="F25" s="223">
        <f t="shared" si="1"/>
        <v>0</v>
      </c>
    </row>
    <row r="26" spans="2:6" x14ac:dyDescent="0.3">
      <c r="B26" s="218" t="s">
        <v>419</v>
      </c>
      <c r="C26" s="226">
        <v>0</v>
      </c>
      <c r="D26" s="222">
        <f t="shared" si="0"/>
        <v>0</v>
      </c>
      <c r="E26" s="226">
        <v>0</v>
      </c>
      <c r="F26" s="222">
        <f t="shared" si="1"/>
        <v>0</v>
      </c>
    </row>
    <row r="27" spans="2:6" x14ac:dyDescent="0.3">
      <c r="B27" s="217" t="s">
        <v>420</v>
      </c>
      <c r="C27" s="227">
        <v>0</v>
      </c>
      <c r="D27" s="223">
        <f t="shared" si="0"/>
        <v>0</v>
      </c>
      <c r="E27" s="227">
        <v>0</v>
      </c>
      <c r="F27" s="223">
        <f t="shared" si="1"/>
        <v>0</v>
      </c>
    </row>
    <row r="28" spans="2:6" x14ac:dyDescent="0.3">
      <c r="B28" s="218" t="s">
        <v>421</v>
      </c>
      <c r="C28" s="226">
        <v>25678</v>
      </c>
      <c r="D28" s="222">
        <f t="shared" si="0"/>
        <v>1.0369126026191351E-2</v>
      </c>
      <c r="E28" s="226">
        <v>21428</v>
      </c>
      <c r="F28" s="222">
        <f t="shared" si="1"/>
        <v>9.0876319483614871E-3</v>
      </c>
    </row>
    <row r="29" spans="2:6" x14ac:dyDescent="0.3">
      <c r="B29" s="217" t="s">
        <v>429</v>
      </c>
      <c r="C29" s="227">
        <v>10256</v>
      </c>
      <c r="D29" s="223">
        <f t="shared" si="0"/>
        <v>4.1415124435165707E-3</v>
      </c>
      <c r="E29" s="227">
        <v>14378</v>
      </c>
      <c r="F29" s="223">
        <f t="shared" si="1"/>
        <v>6.0977213064001053E-3</v>
      </c>
    </row>
    <row r="30" spans="2:6" x14ac:dyDescent="0.3">
      <c r="B30" s="218" t="s">
        <v>430</v>
      </c>
      <c r="C30" s="226">
        <v>556780</v>
      </c>
      <c r="D30" s="222">
        <f t="shared" si="0"/>
        <v>0.22483534499816266</v>
      </c>
      <c r="E30" s="226">
        <v>568930</v>
      </c>
      <c r="F30" s="222">
        <f t="shared" si="1"/>
        <v>0.24128366830228209</v>
      </c>
    </row>
    <row r="31" spans="2:6" x14ac:dyDescent="0.3">
      <c r="B31" s="217" t="s">
        <v>431</v>
      </c>
      <c r="C31" s="227">
        <v>54680</v>
      </c>
      <c r="D31" s="223">
        <f t="shared" si="0"/>
        <v>2.2080528511260342E-2</v>
      </c>
      <c r="E31" s="227">
        <v>62380</v>
      </c>
      <c r="F31" s="223">
        <f t="shared" si="1"/>
        <v>2.6455407921354746E-2</v>
      </c>
    </row>
    <row r="32" spans="2:6" x14ac:dyDescent="0.3">
      <c r="B32" s="218" t="s">
        <v>509</v>
      </c>
      <c r="C32" s="226">
        <v>0</v>
      </c>
      <c r="D32" s="222">
        <f t="shared" si="0"/>
        <v>0</v>
      </c>
      <c r="E32" s="226">
        <v>0</v>
      </c>
      <c r="F32" s="222">
        <f t="shared" si="1"/>
        <v>0</v>
      </c>
    </row>
    <row r="33" spans="2:6" x14ac:dyDescent="0.3">
      <c r="B33" s="217" t="s">
        <v>432</v>
      </c>
      <c r="C33" s="227">
        <v>0</v>
      </c>
      <c r="D33" s="223">
        <f t="shared" si="0"/>
        <v>0</v>
      </c>
      <c r="E33" s="227">
        <v>0</v>
      </c>
      <c r="F33" s="223">
        <f t="shared" si="1"/>
        <v>0</v>
      </c>
    </row>
    <row r="34" spans="2:6" x14ac:dyDescent="0.3">
      <c r="B34" s="218" t="s">
        <v>433</v>
      </c>
      <c r="C34" s="226">
        <v>224560</v>
      </c>
      <c r="D34" s="222">
        <f t="shared" si="0"/>
        <v>9.0680385561240348E-2</v>
      </c>
      <c r="E34" s="226">
        <v>224560</v>
      </c>
      <c r="F34" s="222">
        <f t="shared" si="1"/>
        <v>9.5236075710474863E-2</v>
      </c>
    </row>
    <row r="35" spans="2:6" x14ac:dyDescent="0.3">
      <c r="B35" s="217" t="s">
        <v>423</v>
      </c>
      <c r="C35" s="227">
        <v>0</v>
      </c>
      <c r="D35" s="223">
        <f t="shared" si="0"/>
        <v>0</v>
      </c>
      <c r="E35" s="227">
        <v>0</v>
      </c>
      <c r="F35" s="223">
        <f t="shared" si="1"/>
        <v>0</v>
      </c>
    </row>
    <row r="36" spans="2:6" x14ac:dyDescent="0.3">
      <c r="B36" s="218" t="s">
        <v>434</v>
      </c>
      <c r="C36" s="226">
        <v>0</v>
      </c>
      <c r="D36" s="222">
        <f t="shared" si="0"/>
        <v>0</v>
      </c>
      <c r="E36" s="226">
        <v>0</v>
      </c>
      <c r="F36" s="222">
        <f t="shared" si="1"/>
        <v>0</v>
      </c>
    </row>
    <row r="37" spans="2:6" x14ac:dyDescent="0.3">
      <c r="B37" s="221" t="s">
        <v>435</v>
      </c>
      <c r="C37" s="229">
        <f>SUM(C20:C36)</f>
        <v>871954</v>
      </c>
      <c r="D37" s="225">
        <f t="shared" si="0"/>
        <v>0.35210689754037128</v>
      </c>
      <c r="E37" s="229">
        <f>SUM(E20:E36)</f>
        <v>896236</v>
      </c>
      <c r="F37" s="225">
        <f t="shared" si="1"/>
        <v>0.38009440483814194</v>
      </c>
    </row>
    <row r="38" spans="2:6" x14ac:dyDescent="0.3">
      <c r="B38" s="216" t="s">
        <v>436</v>
      </c>
      <c r="C38" s="228">
        <f>C37+C19</f>
        <v>2476390</v>
      </c>
      <c r="D38" s="224">
        <f t="shared" si="0"/>
        <v>1</v>
      </c>
      <c r="E38" s="228">
        <f>E37+E19</f>
        <v>2357930</v>
      </c>
      <c r="F38" s="224">
        <f t="shared" si="1"/>
        <v>1</v>
      </c>
    </row>
    <row r="39" spans="2:6" x14ac:dyDescent="0.3">
      <c r="B39" s="217" t="s">
        <v>437</v>
      </c>
      <c r="C39" s="227">
        <v>25640</v>
      </c>
      <c r="D39" s="223">
        <f t="shared" ref="D39:D75" si="2">C39/$C$75</f>
        <v>1.0353781108791427E-2</v>
      </c>
      <c r="E39" s="227">
        <v>32670</v>
      </c>
      <c r="F39" s="223">
        <f t="shared" ref="F39:F75" si="3">E39/$E$75</f>
        <v>1.3855373145089125E-2</v>
      </c>
    </row>
    <row r="40" spans="2:6" x14ac:dyDescent="0.3">
      <c r="B40" s="218" t="s">
        <v>438</v>
      </c>
      <c r="C40" s="226">
        <f>SUM(C41:C43)</f>
        <v>438059</v>
      </c>
      <c r="D40" s="223">
        <f t="shared" si="2"/>
        <v>0.17689418871825521</v>
      </c>
      <c r="E40" s="226">
        <f>SUM(E41:E43)</f>
        <v>454939</v>
      </c>
      <c r="F40" s="223">
        <f t="shared" si="3"/>
        <v>0.19293999397776865</v>
      </c>
    </row>
    <row r="41" spans="2:6" x14ac:dyDescent="0.3">
      <c r="B41" s="217" t="s">
        <v>439</v>
      </c>
      <c r="C41" s="227">
        <v>237760</v>
      </c>
      <c r="D41" s="223">
        <f t="shared" si="2"/>
        <v>9.6010725289635321E-2</v>
      </c>
      <c r="E41" s="227">
        <v>226789</v>
      </c>
      <c r="F41" s="223">
        <f t="shared" si="3"/>
        <v>9.6181396394295002E-2</v>
      </c>
    </row>
    <row r="42" spans="2:6" x14ac:dyDescent="0.3">
      <c r="B42" s="218" t="s">
        <v>440</v>
      </c>
      <c r="C42" s="226">
        <v>125612</v>
      </c>
      <c r="D42" s="223">
        <f t="shared" si="2"/>
        <v>5.0723835906299086E-2</v>
      </c>
      <c r="E42" s="226">
        <v>165770</v>
      </c>
      <c r="F42" s="223">
        <f t="shared" si="3"/>
        <v>7.030318966211889E-2</v>
      </c>
    </row>
    <row r="43" spans="2:6" x14ac:dyDescent="0.3">
      <c r="B43" s="217" t="s">
        <v>441</v>
      </c>
      <c r="C43" s="227">
        <v>74687</v>
      </c>
      <c r="D43" s="223">
        <f t="shared" si="2"/>
        <v>3.0159627522320799E-2</v>
      </c>
      <c r="E43" s="227">
        <v>62380</v>
      </c>
      <c r="F43" s="223">
        <f t="shared" si="3"/>
        <v>2.6455407921354746E-2</v>
      </c>
    </row>
    <row r="44" spans="2:6" x14ac:dyDescent="0.3">
      <c r="B44" s="218" t="s">
        <v>442</v>
      </c>
      <c r="C44" s="226">
        <v>0</v>
      </c>
      <c r="D44" s="223">
        <f t="shared" si="2"/>
        <v>0</v>
      </c>
      <c r="E44" s="226">
        <v>0</v>
      </c>
      <c r="F44" s="223">
        <f t="shared" si="3"/>
        <v>0</v>
      </c>
    </row>
    <row r="45" spans="2:6" x14ac:dyDescent="0.3">
      <c r="B45" s="217" t="s">
        <v>443</v>
      </c>
      <c r="C45" s="227">
        <v>4560</v>
      </c>
      <c r="D45" s="223">
        <f t="shared" si="2"/>
        <v>1.8413900879909869E-3</v>
      </c>
      <c r="E45" s="227">
        <v>5280</v>
      </c>
      <c r="F45" s="223">
        <f t="shared" si="3"/>
        <v>2.2392522254689497E-3</v>
      </c>
    </row>
    <row r="46" spans="2:6" x14ac:dyDescent="0.3">
      <c r="B46" s="218" t="s">
        <v>444</v>
      </c>
      <c r="C46" s="226">
        <v>86790</v>
      </c>
      <c r="D46" s="223">
        <f t="shared" si="2"/>
        <v>3.5046983714196872E-2</v>
      </c>
      <c r="E46" s="226">
        <v>88340</v>
      </c>
      <c r="F46" s="223">
        <f t="shared" si="3"/>
        <v>3.746506469657708E-2</v>
      </c>
    </row>
    <row r="47" spans="2:6" x14ac:dyDescent="0.3">
      <c r="B47" s="217" t="s">
        <v>445</v>
      </c>
      <c r="C47" s="227">
        <v>108900</v>
      </c>
      <c r="D47" s="223">
        <f t="shared" si="2"/>
        <v>4.3975302759258435E-2</v>
      </c>
      <c r="E47" s="227">
        <v>98450</v>
      </c>
      <c r="F47" s="223">
        <f t="shared" si="3"/>
        <v>4.1752723787389784E-2</v>
      </c>
    </row>
    <row r="48" spans="2:6" x14ac:dyDescent="0.3">
      <c r="B48" s="218" t="s">
        <v>446</v>
      </c>
      <c r="C48" s="226">
        <v>92500</v>
      </c>
      <c r="D48" s="223">
        <f t="shared" si="2"/>
        <v>3.7352759460343485E-2</v>
      </c>
      <c r="E48" s="226">
        <v>94650</v>
      </c>
      <c r="F48" s="223">
        <f t="shared" si="3"/>
        <v>4.0141140746332592E-2</v>
      </c>
    </row>
    <row r="49" spans="2:6" ht="24" x14ac:dyDescent="0.3">
      <c r="B49" s="217" t="s">
        <v>447</v>
      </c>
      <c r="C49" s="227">
        <f>SUM(C39:C40,C44:C48)</f>
        <v>756449</v>
      </c>
      <c r="D49" s="223">
        <f t="shared" si="2"/>
        <v>0.30546440584883638</v>
      </c>
      <c r="E49" s="227">
        <f>SUM(E39:E40,E44:E48)</f>
        <v>774329</v>
      </c>
      <c r="F49" s="223">
        <f t="shared" si="3"/>
        <v>0.32839354857862618</v>
      </c>
    </row>
    <row r="50" spans="2:6" x14ac:dyDescent="0.3">
      <c r="B50" s="218" t="s">
        <v>448</v>
      </c>
      <c r="C50" s="226">
        <v>0</v>
      </c>
      <c r="D50" s="223">
        <f t="shared" si="2"/>
        <v>0</v>
      </c>
      <c r="E50" s="226">
        <v>0</v>
      </c>
      <c r="F50" s="223">
        <f t="shared" si="3"/>
        <v>0</v>
      </c>
    </row>
    <row r="51" spans="2:6" x14ac:dyDescent="0.3">
      <c r="B51" s="221" t="s">
        <v>449</v>
      </c>
      <c r="C51" s="229">
        <f>C49+C50</f>
        <v>756449</v>
      </c>
      <c r="D51" s="224">
        <f t="shared" si="2"/>
        <v>0.30546440584883638</v>
      </c>
      <c r="E51" s="229">
        <f>E49+E50</f>
        <v>774329</v>
      </c>
      <c r="F51" s="224">
        <f t="shared" si="3"/>
        <v>0.32839354857862618</v>
      </c>
    </row>
    <row r="52" spans="2:6" x14ac:dyDescent="0.3">
      <c r="B52" s="217" t="s">
        <v>437</v>
      </c>
      <c r="C52" s="227">
        <v>69460</v>
      </c>
      <c r="D52" s="223">
        <f t="shared" si="2"/>
        <v>2.804889375259955E-2</v>
      </c>
      <c r="E52" s="227">
        <v>52450</v>
      </c>
      <c r="F52" s="223">
        <f t="shared" si="3"/>
        <v>2.2244086974592122E-2</v>
      </c>
    </row>
    <row r="53" spans="2:6" x14ac:dyDescent="0.3">
      <c r="B53" s="218" t="s">
        <v>438</v>
      </c>
      <c r="C53" s="226">
        <f>SUM(C54:C56)</f>
        <v>125670</v>
      </c>
      <c r="D53" s="223">
        <f t="shared" si="2"/>
        <v>5.0747257096014763E-2</v>
      </c>
      <c r="E53" s="226">
        <f>SUM(E54:E56)</f>
        <v>112456</v>
      </c>
      <c r="F53" s="223">
        <f t="shared" si="3"/>
        <v>4.7692679596086397E-2</v>
      </c>
    </row>
    <row r="54" spans="2:6" x14ac:dyDescent="0.3">
      <c r="B54" s="217" t="s">
        <v>439</v>
      </c>
      <c r="C54" s="227">
        <v>0</v>
      </c>
      <c r="D54" s="223">
        <f t="shared" si="2"/>
        <v>0</v>
      </c>
      <c r="E54" s="227">
        <v>0</v>
      </c>
      <c r="F54" s="223">
        <f t="shared" si="3"/>
        <v>0</v>
      </c>
    </row>
    <row r="55" spans="2:6" x14ac:dyDescent="0.3">
      <c r="B55" s="218" t="s">
        <v>440</v>
      </c>
      <c r="C55" s="226">
        <v>0</v>
      </c>
      <c r="D55" s="223">
        <f t="shared" si="2"/>
        <v>0</v>
      </c>
      <c r="E55" s="226">
        <v>0</v>
      </c>
      <c r="F55" s="223">
        <f t="shared" si="3"/>
        <v>0</v>
      </c>
    </row>
    <row r="56" spans="2:6" x14ac:dyDescent="0.3">
      <c r="B56" s="217" t="s">
        <v>441</v>
      </c>
      <c r="C56" s="227">
        <v>125670</v>
      </c>
      <c r="D56" s="223">
        <f t="shared" si="2"/>
        <v>5.0747257096014763E-2</v>
      </c>
      <c r="E56" s="227">
        <v>112456</v>
      </c>
      <c r="F56" s="223">
        <f t="shared" si="3"/>
        <v>4.7692679596086397E-2</v>
      </c>
    </row>
    <row r="57" spans="2:6" x14ac:dyDescent="0.3">
      <c r="B57" s="218" t="s">
        <v>442</v>
      </c>
      <c r="C57" s="226">
        <v>0</v>
      </c>
      <c r="D57" s="223">
        <f t="shared" si="2"/>
        <v>0</v>
      </c>
      <c r="E57" s="226">
        <v>0</v>
      </c>
      <c r="F57" s="223">
        <f t="shared" si="3"/>
        <v>0</v>
      </c>
    </row>
    <row r="58" spans="2:6" x14ac:dyDescent="0.3">
      <c r="B58" s="217" t="s">
        <v>443</v>
      </c>
      <c r="C58" s="227">
        <v>48726</v>
      </c>
      <c r="D58" s="223">
        <f t="shared" si="2"/>
        <v>1.9676222242861585E-2</v>
      </c>
      <c r="E58" s="227">
        <v>49756</v>
      </c>
      <c r="F58" s="223">
        <f t="shared" si="3"/>
        <v>2.1101559418642623E-2</v>
      </c>
    </row>
    <row r="59" spans="2:6" x14ac:dyDescent="0.3">
      <c r="B59" s="218" t="s">
        <v>444</v>
      </c>
      <c r="C59" s="226">
        <v>0</v>
      </c>
      <c r="D59" s="223">
        <f t="shared" si="2"/>
        <v>0</v>
      </c>
      <c r="E59" s="226">
        <v>0</v>
      </c>
      <c r="F59" s="223">
        <f t="shared" si="3"/>
        <v>0</v>
      </c>
    </row>
    <row r="60" spans="2:6" x14ac:dyDescent="0.3">
      <c r="B60" s="217" t="s">
        <v>450</v>
      </c>
      <c r="C60" s="227"/>
      <c r="D60" s="223">
        <f t="shared" si="2"/>
        <v>0</v>
      </c>
      <c r="E60" s="227"/>
      <c r="F60" s="223">
        <f t="shared" si="3"/>
        <v>0</v>
      </c>
    </row>
    <row r="61" spans="2:6" x14ac:dyDescent="0.3">
      <c r="B61" s="218" t="s">
        <v>451</v>
      </c>
      <c r="C61" s="226">
        <v>0</v>
      </c>
      <c r="D61" s="223">
        <f t="shared" si="2"/>
        <v>0</v>
      </c>
      <c r="E61" s="226">
        <v>0</v>
      </c>
      <c r="F61" s="223">
        <f t="shared" si="3"/>
        <v>0</v>
      </c>
    </row>
    <row r="62" spans="2:6" x14ac:dyDescent="0.3">
      <c r="B62" s="217" t="s">
        <v>446</v>
      </c>
      <c r="C62" s="227">
        <v>0</v>
      </c>
      <c r="D62" s="223">
        <f t="shared" si="2"/>
        <v>0</v>
      </c>
      <c r="E62" s="227">
        <v>0</v>
      </c>
      <c r="F62" s="223">
        <f t="shared" si="3"/>
        <v>0</v>
      </c>
    </row>
    <row r="63" spans="2:6" x14ac:dyDescent="0.3">
      <c r="B63" s="216" t="s">
        <v>452</v>
      </c>
      <c r="C63" s="228">
        <f>SUM(C52:C53,C57:C62)</f>
        <v>243856</v>
      </c>
      <c r="D63" s="224">
        <f t="shared" si="2"/>
        <v>9.8472373091475898E-2</v>
      </c>
      <c r="E63" s="228">
        <f>SUM(E52:E53,E57:E62)</f>
        <v>214662</v>
      </c>
      <c r="F63" s="224">
        <f t="shared" si="3"/>
        <v>9.1038325989321142E-2</v>
      </c>
    </row>
    <row r="64" spans="2:6" x14ac:dyDescent="0.3">
      <c r="B64" s="221" t="s">
        <v>453</v>
      </c>
      <c r="C64" s="229">
        <f>C63+C51</f>
        <v>1000305</v>
      </c>
      <c r="D64" s="224">
        <f t="shared" si="2"/>
        <v>0.40393677894031232</v>
      </c>
      <c r="E64" s="229">
        <f>E63+E51</f>
        <v>988991</v>
      </c>
      <c r="F64" s="224">
        <f t="shared" si="3"/>
        <v>0.41943187456794728</v>
      </c>
    </row>
    <row r="65" spans="2:10" x14ac:dyDescent="0.3">
      <c r="B65" s="217" t="s">
        <v>454</v>
      </c>
      <c r="C65" s="227">
        <v>465000</v>
      </c>
      <c r="D65" s="223">
        <f t="shared" si="2"/>
        <v>0.18777333134118615</v>
      </c>
      <c r="E65" s="227">
        <v>465000</v>
      </c>
      <c r="F65" s="223">
        <f t="shared" si="3"/>
        <v>0.19720687212936772</v>
      </c>
    </row>
    <row r="66" spans="2:10" x14ac:dyDescent="0.3">
      <c r="B66" s="218" t="s">
        <v>455</v>
      </c>
      <c r="C66" s="226">
        <v>46780</v>
      </c>
      <c r="D66" s="223">
        <f t="shared" si="2"/>
        <v>1.8890400946539116E-2</v>
      </c>
      <c r="E66" s="226">
        <v>46780</v>
      </c>
      <c r="F66" s="223">
        <f t="shared" si="3"/>
        <v>1.983943543701467E-2</v>
      </c>
      <c r="I66" s="211"/>
      <c r="J66" s="211"/>
    </row>
    <row r="67" spans="2:10" x14ac:dyDescent="0.3">
      <c r="B67" s="217" t="s">
        <v>456</v>
      </c>
      <c r="C67" s="227">
        <v>368790</v>
      </c>
      <c r="D67" s="223">
        <f t="shared" si="2"/>
        <v>0.14892242336627107</v>
      </c>
      <c r="E67" s="227">
        <v>368790</v>
      </c>
      <c r="F67" s="223">
        <f t="shared" si="3"/>
        <v>0.15640413413460111</v>
      </c>
    </row>
    <row r="68" spans="2:10" x14ac:dyDescent="0.3">
      <c r="B68" s="218" t="s">
        <v>457</v>
      </c>
      <c r="C68" s="226">
        <v>-2420</v>
      </c>
      <c r="D68" s="223">
        <f t="shared" si="2"/>
        <v>-9.7722895020574299E-4</v>
      </c>
      <c r="E68" s="226">
        <v>-2420</v>
      </c>
      <c r="F68" s="223">
        <f t="shared" si="3"/>
        <v>-1.0263239366732685E-3</v>
      </c>
    </row>
    <row r="69" spans="2:10" x14ac:dyDescent="0.3">
      <c r="B69" s="217" t="s">
        <v>458</v>
      </c>
      <c r="C69" s="227">
        <v>368755</v>
      </c>
      <c r="D69" s="223">
        <f t="shared" si="2"/>
        <v>0.14890828988971849</v>
      </c>
      <c r="E69" s="227">
        <v>308269</v>
      </c>
      <c r="F69" s="223">
        <f t="shared" si="3"/>
        <v>0.13073712960096356</v>
      </c>
      <c r="I69" s="211"/>
    </row>
    <row r="70" spans="2:10" x14ac:dyDescent="0.3">
      <c r="B70" s="218" t="s">
        <v>459</v>
      </c>
      <c r="C70" s="226">
        <v>156478</v>
      </c>
      <c r="D70" s="223">
        <f t="shared" si="2"/>
        <v>6.318794697119598E-2</v>
      </c>
      <c r="E70" s="226">
        <v>128745</v>
      </c>
      <c r="F70" s="223">
        <f t="shared" si="3"/>
        <v>5.4600857531818162E-2</v>
      </c>
    </row>
    <row r="71" spans="2:10" x14ac:dyDescent="0.3">
      <c r="B71" s="217" t="s">
        <v>460</v>
      </c>
      <c r="C71" s="227">
        <v>52678</v>
      </c>
      <c r="D71" s="223">
        <f t="shared" si="2"/>
        <v>2.1272093652453774E-2</v>
      </c>
      <c r="E71" s="227">
        <v>38759</v>
      </c>
      <c r="F71" s="223">
        <f t="shared" si="3"/>
        <v>1.6437722917983146E-2</v>
      </c>
    </row>
    <row r="72" spans="2:10" x14ac:dyDescent="0.3">
      <c r="B72" s="218" t="s">
        <v>461</v>
      </c>
      <c r="C72" s="226">
        <f>SUM(C65:C71)</f>
        <v>1456061</v>
      </c>
      <c r="D72" s="223">
        <f t="shared" si="2"/>
        <v>0.58797725721715888</v>
      </c>
      <c r="E72" s="226">
        <f>SUM(E65:E71)</f>
        <v>1353923</v>
      </c>
      <c r="F72" s="223">
        <f t="shared" si="3"/>
        <v>0.57419982781507506</v>
      </c>
    </row>
    <row r="73" spans="2:10" x14ac:dyDescent="0.3">
      <c r="B73" s="217" t="s">
        <v>462</v>
      </c>
      <c r="C73" s="227">
        <v>20024</v>
      </c>
      <c r="D73" s="223">
        <f t="shared" si="2"/>
        <v>8.0859638425288417E-3</v>
      </c>
      <c r="E73" s="227">
        <v>15016</v>
      </c>
      <c r="F73" s="223">
        <f t="shared" si="3"/>
        <v>6.3682976169776029E-3</v>
      </c>
    </row>
    <row r="74" spans="2:10" x14ac:dyDescent="0.3">
      <c r="B74" s="216" t="s">
        <v>463</v>
      </c>
      <c r="C74" s="228">
        <f>SUM(C72:C73)</f>
        <v>1476085</v>
      </c>
      <c r="D74" s="224">
        <f t="shared" si="2"/>
        <v>0.59606322105968768</v>
      </c>
      <c r="E74" s="228">
        <f>SUM(E72:E73)</f>
        <v>1368939</v>
      </c>
      <c r="F74" s="224">
        <f t="shared" si="3"/>
        <v>0.58056812543205272</v>
      </c>
    </row>
    <row r="75" spans="2:10" x14ac:dyDescent="0.3">
      <c r="B75" s="221" t="s">
        <v>464</v>
      </c>
      <c r="C75" s="229">
        <f>C64+C74</f>
        <v>2476390</v>
      </c>
      <c r="D75" s="224">
        <f t="shared" si="2"/>
        <v>1</v>
      </c>
      <c r="E75" s="229">
        <f>E64+E74</f>
        <v>2357930</v>
      </c>
      <c r="F75" s="224">
        <f t="shared" si="3"/>
        <v>1</v>
      </c>
    </row>
  </sheetData>
  <mergeCells count="1">
    <mergeCell ref="B2:F2"/>
  </mergeCells>
  <pageMargins left="0.7" right="0.7" top="0.75" bottom="0.75" header="0.3" footer="0.3"/>
  <pageSetup paperSize="9" orientation="portrait" horizontalDpi="0" verticalDpi="0" r:id="rId1"/>
  <ignoredErrors>
    <ignoredError sqref="E7 C7 C17 E17 E40 C40 C49 E49 E53 C53 C63 E63" formulaRange="1"/>
    <ignoredError sqref="D17 D19 D37:D38 D40 D49 D51 D53 D63:D64 D72 D74:D7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Datos</vt:lpstr>
      <vt:lpstr>Histó. Vtas</vt:lpstr>
      <vt:lpstr>Pronóstico</vt:lpstr>
      <vt:lpstr>Sit. SP</vt:lpstr>
      <vt:lpstr>Planes</vt:lpstr>
      <vt:lpstr>Flujos</vt:lpstr>
      <vt:lpstr>Sit. CP</vt:lpstr>
      <vt:lpstr>Inversiones</vt:lpstr>
      <vt:lpstr>G.N.D. y V.R.</vt:lpstr>
      <vt:lpstr>Financiam.</vt:lpstr>
      <vt:lpstr>TD</vt:lpstr>
      <vt:lpstr>Escenarios</vt:lpstr>
      <vt:lpstr>ER</vt:lpstr>
      <vt:lpstr>ESF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2022-05-21T16:49:19Z</dcterms:created>
  <dcterms:modified xsi:type="dcterms:W3CDTF">2023-01-31T02:26:34Z</dcterms:modified>
</cp:coreProperties>
</file>