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de San Martin de Porres\Documentos\"/>
    </mc:Choice>
  </mc:AlternateContent>
  <xr:revisionPtr revIDLastSave="0" documentId="13_ncr:1_{557459E9-EDE9-41E2-8204-5E6610BC589A}" xr6:coauthVersionLast="47" xr6:coauthVersionMax="47" xr10:uidLastSave="{00000000-0000-0000-0000-000000000000}"/>
  <bookViews>
    <workbookView xWindow="1152" yWindow="0" windowWidth="19824" windowHeight="12240" firstSheet="12" activeTab="12" xr2:uid="{22847116-DBEC-4210-907C-39B39E41FB07}"/>
  </bookViews>
  <sheets>
    <sheet name="PAGINAS " sheetId="17" r:id="rId1"/>
    <sheet name="ANALISIS ALQUILER O COMPRA" sheetId="5" r:id="rId2"/>
    <sheet name="ACTIVOS TANGIBLES" sheetId="1" r:id="rId3"/>
    <sheet name="ACTIVOS INTANGIBLES" sheetId="2" r:id="rId4"/>
    <sheet name="INGRESOS" sheetId="3" r:id="rId5"/>
    <sheet name="ESTRUCTURA DE COSTOS" sheetId="20" r:id="rId6"/>
    <sheet name="COSTOS OPERATIVOS" sheetId="6" r:id="rId7"/>
    <sheet name="INVERSION INICIAL" sheetId="11" r:id="rId8"/>
    <sheet name="DEPRECIACION" sheetId="10" r:id="rId9"/>
    <sheet name="AMORTIZACION" sheetId="12" r:id="rId10"/>
    <sheet name="VALOR RESIDUAL" sheetId="13" r:id="rId11"/>
    <sheet name="SERVICIO A LA DEUDA" sheetId="14" r:id="rId12"/>
    <sheet name="FLUJO DE CAJA INTEGRADO" sheetId="15" r:id="rId13"/>
    <sheet name="PAYBACK" sheetId="16" r:id="rId14"/>
    <sheet name="EVALUACION ECONOMICA" sheetId="18" r:id="rId15"/>
    <sheet name="EVALUACION FINANCIERA" sheetId="19" r:id="rId16"/>
  </sheets>
  <definedNames>
    <definedName name="_xlnm._FilterDatabase" localSheetId="2" hidden="1">'ACTIVOS TANGIBLES'!$A$2:$F$56</definedName>
    <definedName name="_xlnm._FilterDatabase" localSheetId="8" hidden="1">DEPRECIACION!$A$28:$F$53</definedName>
    <definedName name="_xlnm.Extract" localSheetId="2">'ACTIVOS TANGIBLES'!$H$14:$I$14</definedName>
    <definedName name="_xlnm.Criteria" localSheetId="2">'ACTIVOS TANGIBLES'!$I$2:$I$3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9" l="1"/>
  <c r="B17" i="18"/>
  <c r="C17" i="18"/>
  <c r="D17" i="18"/>
  <c r="E17" i="18"/>
  <c r="B16" i="18"/>
  <c r="C16" i="18"/>
  <c r="D16" i="18"/>
  <c r="E16" i="18"/>
  <c r="B15" i="18"/>
  <c r="C15" i="18"/>
  <c r="D15" i="18"/>
  <c r="E15" i="18"/>
  <c r="B25" i="16"/>
  <c r="C18" i="15"/>
  <c r="D18" i="15"/>
  <c r="E18" i="15"/>
  <c r="F18" i="15"/>
  <c r="B18" i="15"/>
  <c r="C38" i="14"/>
  <c r="D58" i="13"/>
  <c r="B16" i="12"/>
  <c r="N10" i="11"/>
  <c r="M4" i="11"/>
  <c r="N4" i="11"/>
  <c r="O4" i="11"/>
  <c r="P4" i="11"/>
  <c r="L4" i="11"/>
  <c r="N3" i="11"/>
  <c r="O3" i="11"/>
  <c r="P3" i="11"/>
  <c r="Q3" i="11"/>
  <c r="E10" i="3"/>
  <c r="F10" i="3" s="1"/>
  <c r="G10" i="3" s="1"/>
  <c r="D10" i="3"/>
  <c r="E4" i="3"/>
  <c r="C9" i="3"/>
  <c r="E53" i="20" l="1"/>
  <c r="D66" i="20" l="1"/>
  <c r="E66" i="20"/>
  <c r="F66" i="20"/>
  <c r="G66" i="20"/>
  <c r="C66" i="20"/>
  <c r="C65" i="20"/>
  <c r="B15" i="5" l="1"/>
  <c r="C61" i="20"/>
  <c r="C60" i="20"/>
  <c r="D61" i="20"/>
  <c r="E61" i="20"/>
  <c r="G61" i="20"/>
  <c r="F61" i="20"/>
  <c r="E46" i="20"/>
  <c r="E47" i="20"/>
  <c r="E48" i="20"/>
  <c r="E45" i="20"/>
  <c r="E23" i="20"/>
  <c r="E24" i="20"/>
  <c r="E22" i="20"/>
  <c r="E10" i="20"/>
  <c r="E9" i="20"/>
  <c r="E4" i="20"/>
  <c r="E3" i="20"/>
  <c r="D54" i="20"/>
  <c r="E54" i="20" s="1"/>
  <c r="E55" i="20"/>
  <c r="J14" i="20"/>
  <c r="P13" i="20"/>
  <c r="O13" i="20"/>
  <c r="N13" i="20"/>
  <c r="M13" i="20"/>
  <c r="L13" i="20"/>
  <c r="P12" i="20"/>
  <c r="O12" i="20"/>
  <c r="N12" i="20"/>
  <c r="M12" i="20"/>
  <c r="L12" i="20"/>
  <c r="P11" i="20"/>
  <c r="O11" i="20"/>
  <c r="N11" i="20"/>
  <c r="M11" i="20"/>
  <c r="L11" i="20"/>
  <c r="P10" i="20"/>
  <c r="O10" i="20"/>
  <c r="N10" i="20"/>
  <c r="M10" i="20"/>
  <c r="L10" i="20"/>
  <c r="P9" i="20"/>
  <c r="O9" i="20"/>
  <c r="N9" i="20"/>
  <c r="M9" i="20"/>
  <c r="M15" i="20" s="1"/>
  <c r="L9" i="20"/>
  <c r="D40" i="20"/>
  <c r="E40" i="20" s="1"/>
  <c r="D39" i="20"/>
  <c r="E39" i="20" s="1"/>
  <c r="D38" i="20"/>
  <c r="E38" i="20" s="1"/>
  <c r="E37" i="20"/>
  <c r="E36" i="20"/>
  <c r="E35" i="20"/>
  <c r="E34" i="20"/>
  <c r="E33" i="20"/>
  <c r="E32" i="20"/>
  <c r="E31" i="20"/>
  <c r="E30" i="20"/>
  <c r="C62" i="20" l="1"/>
  <c r="B11" i="6" s="1"/>
  <c r="E49" i="20"/>
  <c r="E56" i="20"/>
  <c r="P15" i="20"/>
  <c r="N14" i="20"/>
  <c r="O15" i="20"/>
  <c r="M14" i="20"/>
  <c r="O14" i="20"/>
  <c r="L14" i="20"/>
  <c r="N15" i="20"/>
  <c r="L15" i="20"/>
  <c r="P14" i="20"/>
  <c r="E41" i="20"/>
  <c r="E5" i="20"/>
  <c r="E25" i="20"/>
  <c r="E17" i="20"/>
  <c r="E16" i="20"/>
  <c r="E11" i="20"/>
  <c r="B8" i="2"/>
  <c r="B12" i="5"/>
  <c r="B13" i="5" s="1"/>
  <c r="D10" i="6" l="1"/>
  <c r="B10" i="6"/>
  <c r="C7" i="15" s="1"/>
  <c r="C10" i="6"/>
  <c r="E10" i="6"/>
  <c r="F10" i="6"/>
  <c r="C9" i="6"/>
  <c r="E9" i="6"/>
  <c r="F9" i="6"/>
  <c r="D9" i="6"/>
  <c r="B9" i="6"/>
  <c r="C6" i="6"/>
  <c r="E6" i="6"/>
  <c r="F6" i="6"/>
  <c r="D6" i="6"/>
  <c r="B6" i="6"/>
  <c r="C5" i="6"/>
  <c r="B5" i="6"/>
  <c r="D5" i="6"/>
  <c r="F5" i="6"/>
  <c r="E5" i="6"/>
  <c r="E7" i="3"/>
  <c r="F7" i="3" s="1"/>
  <c r="G7" i="3" s="1"/>
  <c r="D7" i="3"/>
  <c r="C11" i="3"/>
  <c r="B12" i="6" l="1"/>
  <c r="D9" i="3"/>
  <c r="G9" i="3"/>
  <c r="F9" i="3"/>
  <c r="E9" i="3"/>
  <c r="C28" i="13" l="1"/>
  <c r="C27" i="13"/>
  <c r="C22" i="13"/>
  <c r="C23" i="13"/>
  <c r="C24" i="13"/>
  <c r="C25" i="13"/>
  <c r="C26" i="13"/>
  <c r="C21" i="13"/>
  <c r="C10" i="13"/>
  <c r="C11" i="13"/>
  <c r="C12" i="13"/>
  <c r="C13" i="13"/>
  <c r="C14" i="13"/>
  <c r="C15" i="13"/>
  <c r="C16" i="13"/>
  <c r="C17" i="13"/>
  <c r="C18" i="13"/>
  <c r="C19" i="13"/>
  <c r="C20" i="13"/>
  <c r="C9" i="13"/>
  <c r="C4" i="13"/>
  <c r="C5" i="13"/>
  <c r="C6" i="13"/>
  <c r="C7" i="13"/>
  <c r="C8" i="13"/>
  <c r="C3" i="13"/>
  <c r="B7" i="12"/>
  <c r="B3" i="12"/>
  <c r="B4" i="12"/>
  <c r="B6" i="12"/>
  <c r="B2" i="12"/>
  <c r="B11" i="2"/>
  <c r="B5" i="19"/>
  <c r="B5" i="12" l="1"/>
  <c r="F27" i="15"/>
  <c r="F28" i="15" s="1"/>
  <c r="G27" i="15"/>
  <c r="G28" i="15" s="1"/>
  <c r="B27" i="15"/>
  <c r="B21" i="18" l="1"/>
  <c r="E46" i="1"/>
  <c r="E47" i="1"/>
  <c r="E48" i="1"/>
  <c r="E49" i="1"/>
  <c r="E50" i="1"/>
  <c r="D57" i="13"/>
  <c r="D56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32" i="13"/>
  <c r="D3" i="13"/>
  <c r="F3" i="13" s="1"/>
  <c r="D4" i="13"/>
  <c r="F4" i="13" s="1"/>
  <c r="D5" i="13"/>
  <c r="F5" i="13" s="1"/>
  <c r="D6" i="13"/>
  <c r="F6" i="13" s="1"/>
  <c r="D7" i="13"/>
  <c r="F7" i="13" s="1"/>
  <c r="D8" i="13"/>
  <c r="F8" i="13" s="1"/>
  <c r="D27" i="13"/>
  <c r="F27" i="13" s="1"/>
  <c r="D9" i="13"/>
  <c r="F9" i="13" s="1"/>
  <c r="D10" i="13"/>
  <c r="F10" i="13" s="1"/>
  <c r="D11" i="13"/>
  <c r="F11" i="13" s="1"/>
  <c r="D12" i="13"/>
  <c r="F12" i="13" s="1"/>
  <c r="D13" i="13"/>
  <c r="F13" i="13" s="1"/>
  <c r="D14" i="13"/>
  <c r="F14" i="13" s="1"/>
  <c r="D15" i="13"/>
  <c r="F15" i="13" s="1"/>
  <c r="D16" i="13"/>
  <c r="F16" i="13" s="1"/>
  <c r="D17" i="13"/>
  <c r="F17" i="13" s="1"/>
  <c r="D18" i="13"/>
  <c r="F18" i="13" s="1"/>
  <c r="D19" i="13"/>
  <c r="F19" i="13" s="1"/>
  <c r="D20" i="13"/>
  <c r="F20" i="13" s="1"/>
  <c r="D28" i="13"/>
  <c r="F28" i="13" s="1"/>
  <c r="D21" i="13"/>
  <c r="F21" i="13" s="1"/>
  <c r="D22" i="13"/>
  <c r="F22" i="13" s="1"/>
  <c r="D23" i="13"/>
  <c r="F23" i="13" s="1"/>
  <c r="D24" i="13"/>
  <c r="F24" i="13" s="1"/>
  <c r="D25" i="13"/>
  <c r="F25" i="13" s="1"/>
  <c r="D26" i="13"/>
  <c r="F26" i="13" s="1"/>
  <c r="F29" i="13" l="1"/>
  <c r="C62" i="13" s="1"/>
  <c r="C66" i="13" s="1"/>
  <c r="C61" i="13" l="1"/>
  <c r="C63" i="13" s="1"/>
  <c r="C64" i="13" s="1"/>
  <c r="C65" i="13" s="1"/>
  <c r="C67" i="13" s="1"/>
  <c r="G20" i="15" s="1"/>
  <c r="B17" i="15" l="1" a="1"/>
  <c r="B17" i="15" s="1"/>
  <c r="D9" i="15"/>
  <c r="D14" i="15" s="1"/>
  <c r="E9" i="15"/>
  <c r="E14" i="15" s="1"/>
  <c r="F9" i="15"/>
  <c r="F14" i="15" s="1"/>
  <c r="G9" i="15"/>
  <c r="G14" i="15" s="1"/>
  <c r="B5" i="15"/>
  <c r="F16" i="12" l="1"/>
  <c r="E16" i="12"/>
  <c r="D16" i="12"/>
  <c r="C16" i="12"/>
  <c r="E3" i="12"/>
  <c r="B11" i="12" s="1"/>
  <c r="E4" i="12"/>
  <c r="B12" i="12" s="1"/>
  <c r="E5" i="12"/>
  <c r="B13" i="12" s="1"/>
  <c r="E6" i="12"/>
  <c r="B14" i="12" s="1"/>
  <c r="E7" i="12"/>
  <c r="B15" i="12" s="1"/>
  <c r="E2" i="12"/>
  <c r="B10" i="12" s="1"/>
  <c r="D2" i="10"/>
  <c r="E2" i="10"/>
  <c r="D3" i="10"/>
  <c r="E3" i="10"/>
  <c r="D4" i="10"/>
  <c r="E4" i="10"/>
  <c r="D5" i="10"/>
  <c r="E5" i="10"/>
  <c r="D6" i="10"/>
  <c r="E6" i="10"/>
  <c r="D7" i="10"/>
  <c r="E7" i="10"/>
  <c r="D8" i="10"/>
  <c r="E8" i="10"/>
  <c r="D9" i="10"/>
  <c r="E9" i="10"/>
  <c r="D10" i="10"/>
  <c r="E10" i="10"/>
  <c r="D11" i="10"/>
  <c r="E11" i="10"/>
  <c r="D12" i="10"/>
  <c r="E12" i="10"/>
  <c r="D13" i="10"/>
  <c r="E13" i="10"/>
  <c r="D14" i="10"/>
  <c r="E14" i="10"/>
  <c r="D15" i="10"/>
  <c r="E15" i="10"/>
  <c r="D16" i="10"/>
  <c r="E16" i="10"/>
  <c r="D17" i="10"/>
  <c r="E17" i="10"/>
  <c r="D18" i="10"/>
  <c r="E18" i="10"/>
  <c r="D19" i="10"/>
  <c r="E19" i="10"/>
  <c r="D20" i="10"/>
  <c r="E20" i="10"/>
  <c r="D21" i="10"/>
  <c r="E21" i="10"/>
  <c r="D22" i="10"/>
  <c r="E22" i="10"/>
  <c r="D23" i="10"/>
  <c r="E23" i="10"/>
  <c r="D24" i="10"/>
  <c r="E24" i="10"/>
  <c r="D25" i="10"/>
  <c r="E25" i="10"/>
  <c r="D26" i="10"/>
  <c r="E26" i="10"/>
  <c r="D27" i="10"/>
  <c r="E27" i="10"/>
  <c r="G4" i="10" l="1"/>
  <c r="B33" i="10" s="1"/>
  <c r="G9" i="10"/>
  <c r="G27" i="10"/>
  <c r="C56" i="10" s="1"/>
  <c r="G24" i="10"/>
  <c r="E53" i="10" s="1"/>
  <c r="G22" i="10"/>
  <c r="D51" i="10" s="1"/>
  <c r="G5" i="10"/>
  <c r="C34" i="10" s="1"/>
  <c r="G19" i="10"/>
  <c r="F48" i="10" s="1"/>
  <c r="G3" i="10"/>
  <c r="G18" i="10"/>
  <c r="D47" i="10" s="1"/>
  <c r="G10" i="10"/>
  <c r="C39" i="10" s="1"/>
  <c r="G25" i="10"/>
  <c r="E54" i="10" s="1"/>
  <c r="G17" i="10"/>
  <c r="D46" i="10" s="1"/>
  <c r="G2" i="10"/>
  <c r="F31" i="10" s="1"/>
  <c r="G16" i="10"/>
  <c r="E45" i="10" s="1"/>
  <c r="G15" i="10"/>
  <c r="E44" i="10" s="1"/>
  <c r="G13" i="10"/>
  <c r="C42" i="10" s="1"/>
  <c r="G21" i="10"/>
  <c r="F50" i="10" s="1"/>
  <c r="C33" i="10"/>
  <c r="D33" i="10"/>
  <c r="G8" i="10"/>
  <c r="C37" i="10" s="1"/>
  <c r="G7" i="10"/>
  <c r="F36" i="10" s="1"/>
  <c r="G14" i="10"/>
  <c r="F43" i="10" s="1"/>
  <c r="G6" i="10"/>
  <c r="D35" i="10" s="1"/>
  <c r="G20" i="10"/>
  <c r="B49" i="10" s="1"/>
  <c r="G12" i="10"/>
  <c r="C41" i="10" s="1"/>
  <c r="G23" i="10"/>
  <c r="B52" i="10" s="1"/>
  <c r="G11" i="10"/>
  <c r="D40" i="10" s="1"/>
  <c r="G26" i="10"/>
  <c r="B55" i="10" s="1"/>
  <c r="B56" i="10"/>
  <c r="F56" i="10"/>
  <c r="E56" i="10"/>
  <c r="C53" i="10"/>
  <c r="F53" i="10"/>
  <c r="B53" i="10"/>
  <c r="B48" i="10"/>
  <c r="E38" i="10"/>
  <c r="C38" i="10"/>
  <c r="B38" i="10"/>
  <c r="D38" i="10"/>
  <c r="F38" i="10"/>
  <c r="D32" i="10"/>
  <c r="C32" i="10"/>
  <c r="B32" i="10"/>
  <c r="C19" i="14"/>
  <c r="C25" i="14" s="1"/>
  <c r="C21" i="11" a="1"/>
  <c r="C21" i="11" s="1"/>
  <c r="B51" i="10" l="1"/>
  <c r="D56" i="10"/>
  <c r="E48" i="10"/>
  <c r="D48" i="10"/>
  <c r="C48" i="10"/>
  <c r="F41" i="10"/>
  <c r="E39" i="10"/>
  <c r="F39" i="10"/>
  <c r="F54" i="10"/>
  <c r="F34" i="10"/>
  <c r="E52" i="10"/>
  <c r="D53" i="10"/>
  <c r="C51" i="10"/>
  <c r="D39" i="10"/>
  <c r="B40" i="10"/>
  <c r="C40" i="10"/>
  <c r="C46" i="10"/>
  <c r="D31" i="10"/>
  <c r="B47" i="10"/>
  <c r="D52" i="10"/>
  <c r="F46" i="10"/>
  <c r="E31" i="10"/>
  <c r="C47" i="10"/>
  <c r="E34" i="10"/>
  <c r="F42" i="10"/>
  <c r="D54" i="10"/>
  <c r="D41" i="10"/>
  <c r="B31" i="10"/>
  <c r="C31" i="10"/>
  <c r="F49" i="10"/>
  <c r="C49" i="10"/>
  <c r="D49" i="10"/>
  <c r="B39" i="10"/>
  <c r="E49" i="10"/>
  <c r="D34" i="10"/>
  <c r="B34" i="10"/>
  <c r="C54" i="10"/>
  <c r="B45" i="10"/>
  <c r="D45" i="10"/>
  <c r="B44" i="10"/>
  <c r="C45" i="10"/>
  <c r="F45" i="10"/>
  <c r="E50" i="10"/>
  <c r="E46" i="10"/>
  <c r="B46" i="10"/>
  <c r="B35" i="10"/>
  <c r="C35" i="10"/>
  <c r="E43" i="10"/>
  <c r="F52" i="10"/>
  <c r="D43" i="10"/>
  <c r="C43" i="10"/>
  <c r="D42" i="10"/>
  <c r="D50" i="10"/>
  <c r="E36" i="10"/>
  <c r="C52" i="10"/>
  <c r="D36" i="10"/>
  <c r="B43" i="10"/>
  <c r="C36" i="10"/>
  <c r="D44" i="10"/>
  <c r="E42" i="10"/>
  <c r="B36" i="10"/>
  <c r="C44" i="10"/>
  <c r="C50" i="10"/>
  <c r="C55" i="10"/>
  <c r="F44" i="10"/>
  <c r="B54" i="10"/>
  <c r="B50" i="10"/>
  <c r="E55" i="10"/>
  <c r="B42" i="10"/>
  <c r="D55" i="10"/>
  <c r="F55" i="10"/>
  <c r="E41" i="10"/>
  <c r="B41" i="10"/>
  <c r="B37" i="10"/>
  <c r="E40" i="10"/>
  <c r="F40" i="10"/>
  <c r="C9" i="15"/>
  <c r="C14" i="15" s="1"/>
  <c r="B6" i="5"/>
  <c r="B7" i="5" l="1"/>
  <c r="D15" i="20"/>
  <c r="E15" i="20" s="1"/>
  <c r="E18" i="20" s="1"/>
  <c r="F57" i="10"/>
  <c r="G8" i="15" s="1"/>
  <c r="G13" i="15" s="1"/>
  <c r="C57" i="10"/>
  <c r="D8" i="15" s="1"/>
  <c r="D13" i="15" s="1"/>
  <c r="B57" i="10"/>
  <c r="E57" i="10"/>
  <c r="F8" i="15" s="1"/>
  <c r="F13" i="15" s="1"/>
  <c r="D57" i="10"/>
  <c r="E8" i="15" s="1"/>
  <c r="E13" i="15" s="1"/>
  <c r="E11" i="1"/>
  <c r="G11" i="3"/>
  <c r="G65" i="20" s="1"/>
  <c r="G60" i="20" s="1"/>
  <c r="G62" i="20" s="1"/>
  <c r="F11" i="6" s="1"/>
  <c r="F12" i="6" s="1"/>
  <c r="C7" i="6" l="1"/>
  <c r="C8" i="6" s="1"/>
  <c r="F7" i="6"/>
  <c r="F8" i="6" s="1"/>
  <c r="F13" i="6" s="1"/>
  <c r="F21" i="15" s="1"/>
  <c r="E7" i="6"/>
  <c r="E8" i="6" s="1"/>
  <c r="D7" i="6"/>
  <c r="D8" i="6" s="1"/>
  <c r="B7" i="6"/>
  <c r="B8" i="6" s="1"/>
  <c r="B13" i="6" s="1"/>
  <c r="M3" i="11" s="1"/>
  <c r="C18" i="14"/>
  <c r="C24" i="14" s="1"/>
  <c r="C8" i="15"/>
  <c r="C13" i="15" s="1"/>
  <c r="G3" i="15"/>
  <c r="F16" i="18" s="1"/>
  <c r="C13" i="14"/>
  <c r="C3" i="15"/>
  <c r="F11" i="3"/>
  <c r="F65" i="20" s="1"/>
  <c r="F60" i="20" s="1"/>
  <c r="F62" i="20" s="1"/>
  <c r="E11" i="6" s="1"/>
  <c r="E12" i="6" s="1"/>
  <c r="E11" i="3"/>
  <c r="E65" i="20" s="1"/>
  <c r="E60" i="20" s="1"/>
  <c r="E62" i="20" s="1"/>
  <c r="D11" i="6" s="1"/>
  <c r="D12" i="6" s="1"/>
  <c r="D11" i="3"/>
  <c r="D65" i="20" s="1"/>
  <c r="D60" i="20" s="1"/>
  <c r="D62" i="20" s="1"/>
  <c r="C11" i="6" s="1"/>
  <c r="C12" i="6" s="1"/>
  <c r="E55" i="1"/>
  <c r="E54" i="1"/>
  <c r="E53" i="1"/>
  <c r="E52" i="1"/>
  <c r="E51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0" i="1"/>
  <c r="E9" i="1"/>
  <c r="E8" i="1"/>
  <c r="E7" i="1"/>
  <c r="E6" i="1"/>
  <c r="E5" i="1"/>
  <c r="E4" i="1"/>
  <c r="E3" i="1"/>
  <c r="D13" i="6" l="1"/>
  <c r="D21" i="15" s="1"/>
  <c r="E13" i="6"/>
  <c r="C13" i="6"/>
  <c r="E56" i="1"/>
  <c r="B16" i="15" s="1"/>
  <c r="C22" i="11"/>
  <c r="G7" i="15"/>
  <c r="D7" i="15"/>
  <c r="D3" i="15"/>
  <c r="F7" i="15"/>
  <c r="F3" i="15"/>
  <c r="E7" i="15"/>
  <c r="E3" i="15"/>
  <c r="C17" i="14"/>
  <c r="C16" i="14"/>
  <c r="C21" i="15" l="1"/>
  <c r="E21" i="15"/>
  <c r="B21" i="15"/>
  <c r="B23" i="15" s="1"/>
  <c r="C20" i="11"/>
  <c r="C23" i="11" s="1"/>
  <c r="D33" i="14" s="1"/>
  <c r="C6" i="15"/>
  <c r="D6" i="15"/>
  <c r="G6" i="15"/>
  <c r="E6" i="15"/>
  <c r="F6" i="15"/>
  <c r="L6" i="11" l="1"/>
  <c r="G19" i="15" s="1"/>
  <c r="G21" i="15" s="1"/>
  <c r="F8" i="18"/>
  <c r="B22" i="16"/>
  <c r="B4" i="19"/>
  <c r="F32" i="14"/>
  <c r="F45" i="14" l="1"/>
  <c r="F43" i="14"/>
  <c r="B23" i="16"/>
  <c r="B31" i="16"/>
  <c r="F44" i="14"/>
  <c r="F34" i="14"/>
  <c r="B8" i="18" s="1"/>
  <c r="B7" i="18"/>
  <c r="B3" i="19"/>
  <c r="B24" i="15"/>
  <c r="C42" i="14"/>
  <c r="G42" i="14" s="1"/>
  <c r="C43" i="14" s="1"/>
  <c r="E43" i="14" s="1"/>
  <c r="B32" i="16" l="1"/>
  <c r="D43" i="14"/>
  <c r="B6" i="19"/>
  <c r="B9" i="18"/>
  <c r="B12" i="18" s="1"/>
  <c r="B28" i="15"/>
  <c r="B29" i="15" s="1"/>
  <c r="C26" i="15"/>
  <c r="C27" i="15" s="1"/>
  <c r="B4" i="16" l="1"/>
  <c r="E4" i="19"/>
  <c r="C25" i="15"/>
  <c r="C28" i="15" s="1"/>
  <c r="B5" i="16" l="1"/>
  <c r="B14" i="16"/>
  <c r="B15" i="16" s="1"/>
  <c r="G43" i="14"/>
  <c r="C44" i="14" s="1"/>
  <c r="E44" i="14" l="1"/>
  <c r="D26" i="15" s="1"/>
  <c r="D27" i="15" s="1"/>
  <c r="D44" i="14" l="1"/>
  <c r="D25" i="15" l="1"/>
  <c r="D28" i="15" s="1"/>
  <c r="G44" i="14"/>
  <c r="C45" i="14" l="1"/>
  <c r="E45" i="14" s="1"/>
  <c r="D45" i="14" l="1"/>
  <c r="G45" i="14" s="1"/>
  <c r="E26" i="15"/>
  <c r="E27" i="15" s="1"/>
  <c r="E25" i="15"/>
  <c r="E28" i="15" l="1"/>
  <c r="C4" i="15"/>
  <c r="C5" i="15" s="1"/>
  <c r="C10" i="15" s="1"/>
  <c r="C11" i="15" l="1"/>
  <c r="C12" i="15" s="1"/>
  <c r="C15" i="15" s="1"/>
  <c r="C14" i="14"/>
  <c r="C15" i="14" s="1"/>
  <c r="C20" i="14" s="1"/>
  <c r="C23" i="14" s="1"/>
  <c r="C27" i="14" s="1"/>
  <c r="C23" i="15" l="1"/>
  <c r="C22" i="16" s="1"/>
  <c r="C23" i="16" s="1"/>
  <c r="C29" i="15" l="1"/>
  <c r="C4" i="16" s="1"/>
  <c r="B7" i="16" s="1"/>
  <c r="G8" i="18"/>
  <c r="F4" i="19" l="1"/>
  <c r="C5" i="16"/>
  <c r="G4" i="15" l="1"/>
  <c r="G5" i="15" s="1"/>
  <c r="G10" i="15" s="1"/>
  <c r="F4" i="15"/>
  <c r="F5" i="15" s="1"/>
  <c r="F10" i="15" s="1"/>
  <c r="D4" i="15"/>
  <c r="D5" i="15" s="1"/>
  <c r="D10" i="15" s="1"/>
  <c r="E4" i="15"/>
  <c r="E5" i="15" s="1"/>
  <c r="E10" i="15" s="1"/>
  <c r="E11" i="15" l="1"/>
  <c r="E12" i="15" s="1"/>
  <c r="E15" i="15" s="1"/>
  <c r="E23" i="15" s="1"/>
  <c r="E22" i="16" s="1"/>
  <c r="D11" i="15"/>
  <c r="D12" i="15" s="1"/>
  <c r="D15" i="15" s="1"/>
  <c r="D23" i="15" s="1"/>
  <c r="D22" i="16" s="1"/>
  <c r="F11" i="15"/>
  <c r="F12" i="15" s="1"/>
  <c r="F15" i="15" s="1"/>
  <c r="F23" i="15" s="1"/>
  <c r="F22" i="16" s="1"/>
  <c r="F15" i="18"/>
  <c r="F17" i="18" s="1"/>
  <c r="B27" i="16" s="1"/>
  <c r="C31" i="16" s="1"/>
  <c r="C32" i="16" s="1"/>
  <c r="G11" i="15"/>
  <c r="G12" i="15" s="1"/>
  <c r="G15" i="15" s="1"/>
  <c r="G23" i="15" s="1"/>
  <c r="G22" i="16" s="1"/>
  <c r="F31" i="16" l="1"/>
  <c r="G31" i="16"/>
  <c r="D31" i="16"/>
  <c r="D32" i="16" s="1"/>
  <c r="D23" i="16"/>
  <c r="E23" i="16" s="1"/>
  <c r="F23" i="16" s="1"/>
  <c r="G23" i="16" s="1"/>
  <c r="E31" i="16"/>
  <c r="J8" i="18"/>
  <c r="F29" i="15"/>
  <c r="I8" i="18"/>
  <c r="E29" i="15"/>
  <c r="K8" i="18"/>
  <c r="G29" i="15"/>
  <c r="D29" i="15"/>
  <c r="H8" i="18"/>
  <c r="B8" i="19"/>
  <c r="B2" i="5"/>
  <c r="B3" i="5" s="1"/>
  <c r="B8" i="5" s="1"/>
  <c r="B34" i="16" l="1"/>
  <c r="E32" i="16"/>
  <c r="F32" i="16" s="1"/>
  <c r="G32" i="16" s="1"/>
  <c r="B9" i="16"/>
  <c r="B23" i="18"/>
  <c r="B25" i="18"/>
  <c r="B24" i="18"/>
  <c r="H4" i="19"/>
  <c r="E4" i="16"/>
  <c r="F4" i="16"/>
  <c r="I4" i="19"/>
  <c r="D4" i="16"/>
  <c r="D5" i="16" s="1"/>
  <c r="G4" i="19"/>
  <c r="G4" i="16"/>
  <c r="G14" i="16" s="1"/>
  <c r="J4" i="19"/>
  <c r="C14" i="16" l="1"/>
  <c r="C15" i="16" s="1"/>
  <c r="D14" i="16"/>
  <c r="F14" i="16"/>
  <c r="E14" i="16"/>
  <c r="B13" i="19"/>
  <c r="B12" i="19"/>
  <c r="E5" i="16"/>
  <c r="F5" i="16" s="1"/>
  <c r="G5" i="16" s="1"/>
  <c r="B11" i="19"/>
  <c r="B17" i="16" l="1"/>
  <c r="D15" i="16"/>
  <c r="E15" i="16" s="1"/>
  <c r="F15" i="16" s="1"/>
  <c r="G15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<sst xmlns="http://schemas.openxmlformats.org/spreadsheetml/2006/main" count="661" uniqueCount="318">
  <si>
    <t>http://people.stern.nyu.edu/adamodar/New_Home_Page/datafile/Betas.html</t>
  </si>
  <si>
    <t>http://people.stern.nyu.edu/adamodar/New_Home_Page/datafile/histretSP.html</t>
  </si>
  <si>
    <t>https://www.sbs.gob.pe/app/pp/EstadisticasSAEEPortal/Paginas/TIActivaTipoCreditoEmpresa.aspx?tip=B</t>
  </si>
  <si>
    <t>https://finance.yahoo.com/bonds</t>
  </si>
  <si>
    <t>https://gestion.pe/economia/riesgo-pais-de-peru-subio-nueve-puntos-basicos-y-cerro-en-150-puntos-porcentuales-noticia/</t>
  </si>
  <si>
    <t>PRIMER CASO: ALQUILER DE LOCAL DE OFICINA</t>
  </si>
  <si>
    <t>Tasa de descuento</t>
  </si>
  <si>
    <t>TEM</t>
  </si>
  <si>
    <t>Alquiler de oficina de 110 metros cuadrados</t>
  </si>
  <si>
    <t>TIPO DE CAMBIO (Octubre 2021)</t>
  </si>
  <si>
    <t>Alquiler de oficina de 130 metros cuadrados</t>
  </si>
  <si>
    <t>Dólar EEUU</t>
  </si>
  <si>
    <t>Sol Peruano</t>
  </si>
  <si>
    <t>Cuota promedio del alquiler al mes</t>
  </si>
  <si>
    <t>Precio</t>
  </si>
  <si>
    <t xml:space="preserve">Cuota inicial de 3 meses (Garantia) </t>
  </si>
  <si>
    <t>Valor Presente de alquiler de oficina</t>
  </si>
  <si>
    <t xml:space="preserve">SEGUNDO CASO: COMPRA de LOCAL DE OFICINA </t>
  </si>
  <si>
    <t>Valor de 1 metro cuadrado en Chancay</t>
  </si>
  <si>
    <t>Valor de 120  metros cuadrado en Chancay</t>
  </si>
  <si>
    <t xml:space="preserve">Valor presente de compra de oficina </t>
  </si>
  <si>
    <t>Valor de la construccion</t>
  </si>
  <si>
    <t xml:space="preserve">Valor total </t>
  </si>
  <si>
    <t>https://casas.trovit.com.pe/listing/alquiler-estancias-cortaslargas-en-condominio-de-campo-huaral.a1e19428-383d-4964-a4b3-530edfec5a70</t>
  </si>
  <si>
    <t>https://casas.trovit.com.pe/listing/local-comercial-en-alquiler-en-plena-avenida-roosvelt-chancay.1X1bv1N1V1M1Kb</t>
  </si>
  <si>
    <t>https://casas.trovit.com.pe/listing/alquiler-de-departamento-av-paseo-de-la-republica-al-3600-huaral-5-habitaciones-2-banos.tn1Z1N1c1yxY</t>
  </si>
  <si>
    <t>https://urbania.pe/inmueble/venta-de-local-comercial-en-huaral-huaral-59778317</t>
  </si>
  <si>
    <t>https://www.mudate.pe/chancay-esta-entre-los-precios-mas-altos-de-terreno-en-norte-chico-subira-mas-por-proyecto-portuario/</t>
  </si>
  <si>
    <t>https://www.infocasas.com.pe/venta/casas-y-terrenos/lima/chancay/baratos</t>
  </si>
  <si>
    <t>https://www.laencontre.com.pe/venta/terrenos/huaral/chancay</t>
  </si>
  <si>
    <t>https://casas.mitula.pe/detalle/285812/5500124629569655608/29/23/alquiler-oficinas-huaral?search_terms=alquiler+oficinas+huaral&amp;page=1&amp;pos=29&amp;t_sec=206&amp;t_or=2&amp;t_pvid=53193f71-9a75-472f-8e3f-38149ed8352e</t>
  </si>
  <si>
    <t>https://www.adondevivir.com/propiedades/alquiler-de-oficina-en-huaral-51160892.html</t>
  </si>
  <si>
    <t>https://gestion.pe/economia/chancay-esta-entre-los-precios-mas-altos-de-terreno-en-norte-chico-subira-mas-por-proyecto-portuario-noticia/#:~:text=En%20primera%20instancia%2C%20Salda%C3%B1a%20se%C3%B1al%C3%B3,el%20norte%20chico%20de%20Lima.</t>
  </si>
  <si>
    <t>ACTIVOS TANGIBLES</t>
  </si>
  <si>
    <t>Área</t>
  </si>
  <si>
    <t>Descripción</t>
  </si>
  <si>
    <t>Cantidad</t>
  </si>
  <si>
    <t>Costo Unitario</t>
  </si>
  <si>
    <t>Inversión Total</t>
  </si>
  <si>
    <t>Vida Útil (años)</t>
  </si>
  <si>
    <t>Cocina</t>
  </si>
  <si>
    <t>Refrigerador</t>
  </si>
  <si>
    <t>Microondas</t>
  </si>
  <si>
    <t>Cafetera</t>
  </si>
  <si>
    <t>Jarra eléctrica</t>
  </si>
  <si>
    <t>Mesa de comedor</t>
  </si>
  <si>
    <t>Silla de comedor</t>
  </si>
  <si>
    <t>Tostadora</t>
  </si>
  <si>
    <t xml:space="preserve">Sistemas </t>
  </si>
  <si>
    <t>Escritorio</t>
  </si>
  <si>
    <t>Computadora</t>
  </si>
  <si>
    <t>Silla</t>
  </si>
  <si>
    <t>Aire acondicionado</t>
  </si>
  <si>
    <t>Gerencia General</t>
  </si>
  <si>
    <t>Impresora</t>
  </si>
  <si>
    <t>Sofá</t>
  </si>
  <si>
    <t>Mesa de centro/auxiliar</t>
  </si>
  <si>
    <t>Sala de Recepción</t>
  </si>
  <si>
    <t>Locker (armario)</t>
  </si>
  <si>
    <t xml:space="preserve"> Sala de Reuniones</t>
  </si>
  <si>
    <t>Proyector</t>
  </si>
  <si>
    <t>Router</t>
  </si>
  <si>
    <t>Ecran</t>
  </si>
  <si>
    <t>Silla de reuniones</t>
  </si>
  <si>
    <t>Mesa de reuniones</t>
  </si>
  <si>
    <t>Comercial</t>
  </si>
  <si>
    <t>Administracion y RR. HH</t>
  </si>
  <si>
    <t>Operaciones</t>
  </si>
  <si>
    <t>Camion</t>
  </si>
  <si>
    <t>Automovil</t>
  </si>
  <si>
    <t>Moto lineal</t>
  </si>
  <si>
    <t>Bicicleta</t>
  </si>
  <si>
    <t>Scooter electrico</t>
  </si>
  <si>
    <t>TOTAL DE ACTIVOS TANGIBLES</t>
  </si>
  <si>
    <t>ACTIVOS INTANGIBLES</t>
  </si>
  <si>
    <t>Costo Total</t>
  </si>
  <si>
    <t>Constitución de empresa</t>
  </si>
  <si>
    <t>Licencia de funcionamiento</t>
  </si>
  <si>
    <t>Registro de representante legal de la empresa</t>
  </si>
  <si>
    <t>Play Store</t>
  </si>
  <si>
    <t>Software del aplicativo</t>
  </si>
  <si>
    <t>Publicidad inicial</t>
  </si>
  <si>
    <t>TOTAL ACTIVOS INTANGIBLES</t>
  </si>
  <si>
    <t>Proyecciones B2B Microempresarios de abarrotes</t>
  </si>
  <si>
    <t>Datos de la Investigación de Mercado</t>
  </si>
  <si>
    <t>Tasa de inflación para el proyecto</t>
  </si>
  <si>
    <t>Crecimiento Anual</t>
  </si>
  <si>
    <t>Año 1</t>
  </si>
  <si>
    <t>Año 2</t>
  </si>
  <si>
    <t>Año 3</t>
  </si>
  <si>
    <t>Año 4</t>
  </si>
  <si>
    <t>Año 5</t>
  </si>
  <si>
    <t>Empresas</t>
  </si>
  <si>
    <t>Pedidos por semana</t>
  </si>
  <si>
    <t>Proyecciones de servicios</t>
  </si>
  <si>
    <t>Precio de Servicio</t>
  </si>
  <si>
    <t>Ingresos</t>
  </si>
  <si>
    <t>MANO DE OBRA DIRECTA</t>
  </si>
  <si>
    <t>Factor de Beneficios Laborales</t>
  </si>
  <si>
    <t>Cargo</t>
  </si>
  <si>
    <t>Tipo de Costo</t>
  </si>
  <si>
    <t>Cantidad de personal</t>
  </si>
  <si>
    <t>Sueldo</t>
  </si>
  <si>
    <t>Costo Total Anual</t>
  </si>
  <si>
    <t>Remuneración Personal Anual (RPA)</t>
  </si>
  <si>
    <t>Desarrollador de software</t>
  </si>
  <si>
    <t>CF</t>
  </si>
  <si>
    <t>Gratificación (1/6 RPA)</t>
  </si>
  <si>
    <t>Soporte técnico</t>
  </si>
  <si>
    <t>Remuneración Promedio(RP)</t>
  </si>
  <si>
    <t>Total</t>
  </si>
  <si>
    <t>CTS (1/12 RP)</t>
  </si>
  <si>
    <t>ESSALUD (9% RP)</t>
  </si>
  <si>
    <t>BALANCE MANO DE OBRA INDIRECTA</t>
  </si>
  <si>
    <t>Descripcion</t>
  </si>
  <si>
    <t>Porcentaje de pedidos</t>
  </si>
  <si>
    <t>AÑO 1</t>
  </si>
  <si>
    <t>AÑO 2</t>
  </si>
  <si>
    <t>AÑO 3</t>
  </si>
  <si>
    <t>AÑO 4</t>
  </si>
  <si>
    <t>AÑO 5</t>
  </si>
  <si>
    <t>Jefe de Sistemas</t>
  </si>
  <si>
    <t>Pedidos para repartidores (camiones)</t>
  </si>
  <si>
    <t>QA Tester</t>
  </si>
  <si>
    <t>Pedidos para repartidores (autos)</t>
  </si>
  <si>
    <t>TOTAL</t>
  </si>
  <si>
    <t>Pedidos para repartidores (motos)</t>
  </si>
  <si>
    <t>Pedidos para repartidores (bicicletas)</t>
  </si>
  <si>
    <t>BALANCE DE COSTOS INDIRECTOS DE FABRICACIÓN FIJOS</t>
  </si>
  <si>
    <t>Pedidos para repartidores (scooter)</t>
  </si>
  <si>
    <t>Cantidad x Año</t>
  </si>
  <si>
    <t>Alquiler oficina</t>
  </si>
  <si>
    <t>Pedidos para vehiculos que requiere combustible</t>
  </si>
  <si>
    <t>Mantenimiento preventivo de vehiculos</t>
  </si>
  <si>
    <t xml:space="preserve">Alquiler de playa de estacionamiento </t>
  </si>
  <si>
    <t>BALANCE DE PERSONAL ADMINISTRATIVO</t>
  </si>
  <si>
    <t>Gerente General</t>
  </si>
  <si>
    <t>Jefe de Administración y R.R.H.H.</t>
  </si>
  <si>
    <t>Jefe de Logistica</t>
  </si>
  <si>
    <t>BALANCE DE GASTOS ADMINISTRATIVOS</t>
  </si>
  <si>
    <t>Servicio de luz</t>
  </si>
  <si>
    <t>Servicio de agua</t>
  </si>
  <si>
    <t>Servicio de telefonía</t>
  </si>
  <si>
    <t>Internet</t>
  </si>
  <si>
    <t>Material de limpieza</t>
  </si>
  <si>
    <t>Servicio de contabilidad</t>
  </si>
  <si>
    <t>Utiles de escritorio</t>
  </si>
  <si>
    <t>Mantenimiento de equipos de cómputo</t>
  </si>
  <si>
    <t>App Store</t>
  </si>
  <si>
    <t>Azure</t>
  </si>
  <si>
    <t>Personal administrativo</t>
  </si>
  <si>
    <t>BALANCE DE PERSONAL VENTAS</t>
  </si>
  <si>
    <t>Jefe Comercial</t>
  </si>
  <si>
    <t>Community Manager</t>
  </si>
  <si>
    <t>Asistente de ventas</t>
  </si>
  <si>
    <t>Personal de entregas</t>
  </si>
  <si>
    <t>BALANCE DE GASTOS DE VENTAS FIJOS</t>
  </si>
  <si>
    <t>Estudio de Mercado</t>
  </si>
  <si>
    <t>Personal de ventas</t>
  </si>
  <si>
    <t>Publicidad</t>
  </si>
  <si>
    <t>BALANCE DE GASTOS DE VENTAS VARIABLES</t>
  </si>
  <si>
    <t>Bonos Metas Ventas</t>
  </si>
  <si>
    <t>CV</t>
  </si>
  <si>
    <t>Combustible</t>
  </si>
  <si>
    <t>Gasto de Venta Variables</t>
  </si>
  <si>
    <t>Fórmula</t>
  </si>
  <si>
    <t>0,20% Ingresos totales anuales</t>
  </si>
  <si>
    <t>1.00/PEDIDO</t>
  </si>
  <si>
    <t>Costos Operativos</t>
  </si>
  <si>
    <t>Mano de obra directa (F)</t>
  </si>
  <si>
    <t>Mano de obra indirecta(F)</t>
  </si>
  <si>
    <t>Costos indirectos de Fabricación (F)</t>
  </si>
  <si>
    <t>Costo de Ventas</t>
  </si>
  <si>
    <t xml:space="preserve">Gastos Administrativos (F) </t>
  </si>
  <si>
    <t>Gastos de Venta (F)</t>
  </si>
  <si>
    <t>Gastos de Venta (V)</t>
  </si>
  <si>
    <t xml:space="preserve">Gastos de Operación </t>
  </si>
  <si>
    <t>Costo Operativos</t>
  </si>
  <si>
    <t xml:space="preserve">CAPITAL DE TRABAJO </t>
  </si>
  <si>
    <t>CAPITAL DE TRABAJO INICIAL</t>
  </si>
  <si>
    <t>AÑO 0</t>
  </si>
  <si>
    <t>Periodo de desfase =</t>
  </si>
  <si>
    <t>30 días</t>
  </si>
  <si>
    <t>C.T. (STOCK)</t>
  </si>
  <si>
    <t>Capital de trabajo inicial =</t>
  </si>
  <si>
    <t>C.T. (VARIACION)</t>
  </si>
  <si>
    <t>RECUPERACION DE C.T</t>
  </si>
  <si>
    <t>Activos tangibles</t>
  </si>
  <si>
    <t>Activos intangibles</t>
  </si>
  <si>
    <t>Capital de trabajo inicial</t>
  </si>
  <si>
    <t>Inversión inicial</t>
  </si>
  <si>
    <t>Valor Inicial</t>
  </si>
  <si>
    <t>Valor Total</t>
  </si>
  <si>
    <t>% Depreciación</t>
  </si>
  <si>
    <t>Vida útil</t>
  </si>
  <si>
    <t>Depreciación anual maquinaria</t>
  </si>
  <si>
    <t>Aire Acondicionado</t>
  </si>
  <si>
    <t>Jarra Electrica</t>
  </si>
  <si>
    <t>Locker</t>
  </si>
  <si>
    <t>Sofa</t>
  </si>
  <si>
    <t>Depreciación Maquinaria y Equipos</t>
  </si>
  <si>
    <t>Depreciacion Anual</t>
  </si>
  <si>
    <t>Valor inicial</t>
  </si>
  <si>
    <t>%Depreciacion</t>
  </si>
  <si>
    <t>Vida util</t>
  </si>
  <si>
    <t>Amortizacion anual</t>
  </si>
  <si>
    <t>Amortización Anual</t>
  </si>
  <si>
    <t>AMORTIZACIÓN ANUAL</t>
  </si>
  <si>
    <t>Valor total</t>
  </si>
  <si>
    <t>Valor compra total</t>
  </si>
  <si>
    <t>Valor en libros</t>
  </si>
  <si>
    <t>Valor en libros total</t>
  </si>
  <si>
    <t>Maquinaria y equipo</t>
  </si>
  <si>
    <t>Valor reventa</t>
  </si>
  <si>
    <t>Valor comercial</t>
  </si>
  <si>
    <t>Valor comercial total</t>
  </si>
  <si>
    <t>Valor Residual</t>
  </si>
  <si>
    <t>Valor Comercial Total</t>
  </si>
  <si>
    <t>(Valor libros Total)</t>
  </si>
  <si>
    <t>Utilidad Antes del Impuesto a la Renta (UAIR)</t>
  </si>
  <si>
    <t>(Impuesto a la Renta (29,5%))</t>
  </si>
  <si>
    <t>Utilidad Neta</t>
  </si>
  <si>
    <t>Valor libros Total</t>
  </si>
  <si>
    <t>Ratio de Cobertura</t>
  </si>
  <si>
    <t>=</t>
  </si>
  <si>
    <t>EBITDA</t>
  </si>
  <si>
    <t>Gasto Financiero</t>
  </si>
  <si>
    <t>Utilidad Operativa + Depreciación + Amortización</t>
  </si>
  <si>
    <t>Préstamo x Tasa de Interés (TEA)</t>
  </si>
  <si>
    <t>=&gt;</t>
  </si>
  <si>
    <t>Calificación BBB</t>
  </si>
  <si>
    <t>Utilidad Operativa</t>
  </si>
  <si>
    <t>(Costo de Ventas)</t>
  </si>
  <si>
    <t>Utilidad Bruta</t>
  </si>
  <si>
    <t>(Gastos Administrativos)</t>
  </si>
  <si>
    <t>(Gastos de Ventas)</t>
  </si>
  <si>
    <t>(Depreciación)</t>
  </si>
  <si>
    <t>(Amortización)</t>
  </si>
  <si>
    <t xml:space="preserve">Datos </t>
  </si>
  <si>
    <t>Depreciación</t>
  </si>
  <si>
    <t>Amortización</t>
  </si>
  <si>
    <t>Tasa de Interés (TEA)</t>
  </si>
  <si>
    <t>Préstamo Maximo</t>
  </si>
  <si>
    <t>Cronograma de pagos</t>
  </si>
  <si>
    <t>Préstamos</t>
  </si>
  <si>
    <t>INVERSIÓN INICIAL</t>
  </si>
  <si>
    <t>Patrimonio</t>
  </si>
  <si>
    <t>TEA</t>
  </si>
  <si>
    <t>%</t>
  </si>
  <si>
    <t>Plazo de TEA</t>
  </si>
  <si>
    <t>años</t>
  </si>
  <si>
    <t>Cuota</t>
  </si>
  <si>
    <t>Cronograma de Pagos</t>
  </si>
  <si>
    <t>Número de Cuota</t>
  </si>
  <si>
    <t>Saldo Inicial</t>
  </si>
  <si>
    <t>Amortización de Deuda</t>
  </si>
  <si>
    <t>Interés</t>
  </si>
  <si>
    <t>Saldo Actual</t>
  </si>
  <si>
    <t>Cuota-Interes</t>
  </si>
  <si>
    <t>Interes</t>
  </si>
  <si>
    <t>Saldo Inicial * TEA</t>
  </si>
  <si>
    <t>Saldo Inicial - Amortizacion de Deuda</t>
  </si>
  <si>
    <t>FLUJO DE CAJA INTEGRADO</t>
  </si>
  <si>
    <t>Año 0</t>
  </si>
  <si>
    <t>Ingresos por Ventas</t>
  </si>
  <si>
    <t>( Amortización)</t>
  </si>
  <si>
    <t>(IR 29.5%)</t>
  </si>
  <si>
    <t>F.C. Operativo</t>
  </si>
  <si>
    <t>( Activos Tangibles)</t>
  </si>
  <si>
    <t>(Activos Intangibles)</t>
  </si>
  <si>
    <t>(Capital de trabajo)</t>
  </si>
  <si>
    <t>Recuperacion de capital t.</t>
  </si>
  <si>
    <t>F.C. Inversiones</t>
  </si>
  <si>
    <t>(Costo de Oportunidad)</t>
  </si>
  <si>
    <t>F.C. Económico</t>
  </si>
  <si>
    <t>+ Préstamo</t>
  </si>
  <si>
    <t>- Amortización de la deuda</t>
  </si>
  <si>
    <t>- Interés</t>
  </si>
  <si>
    <t>+ Escudo Fiscal</t>
  </si>
  <si>
    <t>Servicio de Deuda</t>
  </si>
  <si>
    <t>F.C. Financiero</t>
  </si>
  <si>
    <t>PAYBACK</t>
  </si>
  <si>
    <t>FLUJO DE CAJA FINANCIERO</t>
  </si>
  <si>
    <t>FLUJO DE CAJA FINANCIERO ACUMULADO</t>
  </si>
  <si>
    <t>PRI</t>
  </si>
  <si>
    <t>AÑOS</t>
  </si>
  <si>
    <t>TASA DE DESCUENTO</t>
  </si>
  <si>
    <t>PAYBACK ACIDO FINANCIERO</t>
  </si>
  <si>
    <t xml:space="preserve">PAYBACK </t>
  </si>
  <si>
    <t>FLUJO DE CAJA ECONOMICO</t>
  </si>
  <si>
    <t>PAYBACK ACIDO ECONOMICO</t>
  </si>
  <si>
    <t>FLUJO DE CAJA ECONOMICO ACUMULADO</t>
  </si>
  <si>
    <t>EVALUACION ECONOMICA</t>
  </si>
  <si>
    <t>Datos</t>
  </si>
  <si>
    <t>Rf</t>
  </si>
  <si>
    <t>β desapalancada</t>
  </si>
  <si>
    <t>IR (t)</t>
  </si>
  <si>
    <t>Pasivo</t>
  </si>
  <si>
    <t>Β apalancada</t>
  </si>
  <si>
    <t>rm-rf</t>
  </si>
  <si>
    <t>Rp</t>
  </si>
  <si>
    <t>COK</t>
  </si>
  <si>
    <t>Utilidad operativo</t>
  </si>
  <si>
    <t>Margen operativo</t>
  </si>
  <si>
    <t>Tasa de interes</t>
  </si>
  <si>
    <t>Metodo de +2%</t>
  </si>
  <si>
    <t>VANE</t>
  </si>
  <si>
    <t>TIRE</t>
  </si>
  <si>
    <t>BENEFICIO/COSTO ECONOMICO</t>
  </si>
  <si>
    <t>EVALUACION FINANCIERA</t>
  </si>
  <si>
    <t>Db</t>
  </si>
  <si>
    <t>Io</t>
  </si>
  <si>
    <t>Kb</t>
  </si>
  <si>
    <t>Ap</t>
  </si>
  <si>
    <t>CPPK</t>
  </si>
  <si>
    <t>VANF</t>
  </si>
  <si>
    <t>TIRF</t>
  </si>
  <si>
    <t>BENEFICIO/COSTO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</si>
</sst>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&quot;S/&quot;#,##0.00;[Red]\-&quot;S/&quot;#,##0.00"/>
    <numFmt numFmtId="165" formatCode="&quot;S/&quot;#,##0.00"/>
    <numFmt numFmtId="166" formatCode="0.000000"/>
    <numFmt numFmtId="167" formatCode="[$$-540A]#,##0.00"/>
    <numFmt numFmtId="168" formatCode="[$$-409]#,##0.00"/>
    <numFmt numFmtId="169" formatCode="&quot;S/.&quot;\ #,##0.00"/>
    <numFmt numFmtId="170" formatCode="&quot;S/&quot;#,##0.00;[Red]&quot;S/&quot;#,##0.00"/>
    <numFmt numFmtId="171" formatCode="0.0000"/>
    <numFmt numFmtId="172" formatCode="#,##0.00;[Red]#,##0.00"/>
    <numFmt numFmtId="173" formatCode="0.0000%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4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0"/>
      <name val="Times New Roman"/>
      <family val="1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rgb="FFA8D08D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66"/>
        <bgColor rgb="FFC5E0B3"/>
      </patternFill>
    </fill>
    <fill>
      <patternFill patternType="solid">
        <fgColor rgb="FFFFFF66"/>
        <bgColor indexed="64"/>
      </patternFill>
    </fill>
    <fill>
      <patternFill patternType="solid">
        <fgColor theme="3" tint="0.59999389629810485"/>
        <bgColor rgb="FFC5E0B3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CCFF66"/>
        <bgColor theme="0"/>
      </patternFill>
    </fill>
    <fill>
      <patternFill patternType="solid">
        <fgColor rgb="FFFFFF66"/>
        <bgColor theme="0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rgb="FFFEF2CB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rgb="FFFEF2CB"/>
      </patternFill>
    </fill>
    <fill>
      <patternFill patternType="solid">
        <fgColor rgb="FFCCFF66"/>
        <bgColor indexed="64"/>
      </patternFill>
    </fill>
    <fill>
      <patternFill patternType="solid">
        <fgColor theme="8" tint="-0.249977111117893"/>
        <bgColor rgb="FFFEF2CB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rgb="FFFEF2CB"/>
      </patternFill>
    </fill>
    <fill>
      <patternFill patternType="solid">
        <fgColor theme="8" tint="0.39997558519241921"/>
        <bgColor rgb="FFC5E0B3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91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5" fontId="4" fillId="2" borderId="5" xfId="0" applyNumberFormat="1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right" vertical="center" wrapText="1"/>
    </xf>
    <xf numFmtId="0" fontId="4" fillId="2" borderId="6" xfId="0" applyFont="1" applyFill="1" applyBorder="1" applyAlignment="1">
      <alignment horizontal="center" vertical="center"/>
    </xf>
    <xf numFmtId="1" fontId="4" fillId="2" borderId="6" xfId="0" applyNumberFormat="1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5" fontId="4" fillId="2" borderId="6" xfId="0" applyNumberFormat="1" applyFont="1" applyFill="1" applyBorder="1" applyAlignment="1">
      <alignment vertical="center"/>
    </xf>
    <xf numFmtId="1" fontId="4" fillId="0" borderId="0" xfId="0" applyNumberFormat="1" applyFont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" fontId="4" fillId="2" borderId="7" xfId="0" applyNumberFormat="1" applyFont="1" applyFill="1" applyBorder="1" applyAlignment="1">
      <alignment horizontal="center" vertical="center"/>
    </xf>
    <xf numFmtId="164" fontId="4" fillId="2" borderId="7" xfId="0" applyNumberFormat="1" applyFont="1" applyFill="1" applyBorder="1" applyAlignment="1">
      <alignment horizontal="right" vertical="center"/>
    </xf>
    <xf numFmtId="165" fontId="4" fillId="2" borderId="7" xfId="0" applyNumberFormat="1" applyFont="1" applyFill="1" applyBorder="1" applyAlignment="1">
      <alignment vertical="center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wrapText="1"/>
    </xf>
    <xf numFmtId="0" fontId="4" fillId="2" borderId="12" xfId="0" applyFont="1" applyFill="1" applyBorder="1" applyAlignment="1">
      <alignment horizontal="center" vertical="center"/>
    </xf>
    <xf numFmtId="1" fontId="4" fillId="2" borderId="8" xfId="0" applyNumberFormat="1" applyFont="1" applyFill="1" applyBorder="1" applyAlignment="1">
      <alignment horizontal="center" vertical="center"/>
    </xf>
    <xf numFmtId="1" fontId="4" fillId="2" borderId="11" xfId="0" applyNumberFormat="1" applyFont="1" applyFill="1" applyBorder="1" applyAlignment="1">
      <alignment horizontal="center" vertical="center"/>
    </xf>
    <xf numFmtId="1" fontId="4" fillId="2" borderId="12" xfId="0" applyNumberFormat="1" applyFont="1" applyFill="1" applyBorder="1" applyAlignment="1">
      <alignment horizontal="center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11" xfId="0" applyNumberFormat="1" applyFont="1" applyFill="1" applyBorder="1" applyAlignment="1">
      <alignment horizontal="right" vertical="center"/>
    </xf>
    <xf numFmtId="164" fontId="4" fillId="2" borderId="12" xfId="0" applyNumberFormat="1" applyFont="1" applyFill="1" applyBorder="1" applyAlignment="1">
      <alignment horizontal="righ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/>
    </xf>
    <xf numFmtId="14" fontId="0" fillId="0" borderId="0" xfId="0" applyNumberFormat="1"/>
    <xf numFmtId="10" fontId="2" fillId="5" borderId="22" xfId="0" applyNumberFormat="1" applyFont="1" applyFill="1" applyBorder="1" applyAlignment="1">
      <alignment vertical="center" wrapText="1"/>
    </xf>
    <xf numFmtId="0" fontId="2" fillId="0" borderId="15" xfId="0" applyFont="1" applyBorder="1"/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2" fontId="2" fillId="0" borderId="15" xfId="0" applyNumberFormat="1" applyFont="1" applyBorder="1"/>
    <xf numFmtId="3" fontId="2" fillId="0" borderId="20" xfId="0" applyNumberFormat="1" applyFont="1" applyBorder="1"/>
    <xf numFmtId="4" fontId="2" fillId="0" borderId="20" xfId="0" applyNumberFormat="1" applyFont="1" applyBorder="1"/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4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4" fontId="2" fillId="0" borderId="4" xfId="0" applyNumberFormat="1" applyFont="1" applyBorder="1"/>
    <xf numFmtId="0" fontId="2" fillId="0" borderId="4" xfId="0" applyFont="1" applyBorder="1" applyAlignment="1">
      <alignment vertical="center"/>
    </xf>
    <xf numFmtId="4" fontId="2" fillId="0" borderId="3" xfId="0" applyNumberFormat="1" applyFont="1" applyBorder="1"/>
    <xf numFmtId="4" fontId="4" fillId="3" borderId="4" xfId="0" applyNumberFormat="1" applyFont="1" applyFill="1" applyBorder="1" applyAlignment="1">
      <alignment horizontal="right" vertical="center"/>
    </xf>
    <xf numFmtId="0" fontId="6" fillId="0" borderId="4" xfId="0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right" vertical="center"/>
    </xf>
    <xf numFmtId="0" fontId="2" fillId="0" borderId="0" xfId="1" applyFont="1"/>
    <xf numFmtId="0" fontId="2" fillId="0" borderId="4" xfId="1" applyFont="1" applyBorder="1" applyAlignment="1">
      <alignment horizontal="center" vertical="center"/>
    </xf>
    <xf numFmtId="166" fontId="2" fillId="0" borderId="3" xfId="1" applyNumberFormat="1" applyFont="1" applyBorder="1"/>
    <xf numFmtId="165" fontId="2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7" fontId="2" fillId="0" borderId="9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165" fontId="2" fillId="0" borderId="4" xfId="1" applyNumberFormat="1" applyFont="1" applyBorder="1"/>
    <xf numFmtId="0" fontId="2" fillId="0" borderId="4" xfId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10" fontId="2" fillId="0" borderId="10" xfId="1" applyNumberFormat="1" applyFont="1" applyBorder="1"/>
    <xf numFmtId="0" fontId="6" fillId="0" borderId="4" xfId="0" applyFont="1" applyBorder="1" applyAlignment="1">
      <alignment horizontal="center" vertical="center"/>
    </xf>
    <xf numFmtId="169" fontId="2" fillId="0" borderId="0" xfId="0" applyNumberFormat="1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0" fillId="2" borderId="0" xfId="0" applyFill="1"/>
    <xf numFmtId="0" fontId="2" fillId="5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vertical="center"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5" fontId="4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165" fontId="2" fillId="0" borderId="4" xfId="0" applyNumberFormat="1" applyFont="1" applyBorder="1"/>
    <xf numFmtId="165" fontId="2" fillId="0" borderId="4" xfId="0" applyNumberFormat="1" applyFont="1" applyBorder="1" applyAlignment="1">
      <alignment horizontal="right" vertical="center"/>
    </xf>
    <xf numFmtId="9" fontId="2" fillId="0" borderId="4" xfId="2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vertical="center"/>
    </xf>
    <xf numFmtId="165" fontId="4" fillId="0" borderId="4" xfId="0" applyNumberFormat="1" applyFont="1" applyBorder="1" applyAlignment="1">
      <alignment horizontal="right" vertical="center"/>
    </xf>
    <xf numFmtId="164" fontId="2" fillId="0" borderId="4" xfId="0" applyNumberFormat="1" applyFont="1" applyBorder="1"/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9" fontId="2" fillId="0" borderId="4" xfId="0" applyNumberFormat="1" applyFont="1" applyBorder="1"/>
    <xf numFmtId="164" fontId="2" fillId="0" borderId="0" xfId="0" applyNumberFormat="1" applyFont="1"/>
    <xf numFmtId="4" fontId="2" fillId="0" borderId="4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170" fontId="4" fillId="2" borderId="0" xfId="0" applyNumberFormat="1" applyFont="1" applyFill="1" applyAlignment="1">
      <alignment horizontal="right" vertical="center"/>
    </xf>
    <xf numFmtId="170" fontId="4" fillId="2" borderId="0" xfId="0" applyNumberFormat="1" applyFont="1" applyFill="1" applyAlignment="1">
      <alignment horizontal="right"/>
    </xf>
    <xf numFmtId="170" fontId="4" fillId="2" borderId="9" xfId="0" applyNumberFormat="1" applyFont="1" applyFill="1" applyBorder="1" applyAlignment="1">
      <alignment horizontal="right" vertical="center"/>
    </xf>
    <xf numFmtId="170" fontId="13" fillId="2" borderId="9" xfId="0" applyNumberFormat="1" applyFont="1" applyFill="1" applyBorder="1" applyAlignment="1">
      <alignment horizontal="right"/>
    </xf>
    <xf numFmtId="170" fontId="13" fillId="2" borderId="0" xfId="0" applyNumberFormat="1" applyFont="1" applyFill="1" applyAlignment="1">
      <alignment horizontal="right"/>
    </xf>
    <xf numFmtId="170" fontId="4" fillId="2" borderId="9" xfId="0" applyNumberFormat="1" applyFont="1" applyFill="1" applyBorder="1" applyAlignment="1">
      <alignment horizontal="right"/>
    </xf>
    <xf numFmtId="170" fontId="4" fillId="2" borderId="0" xfId="0" applyNumberFormat="1" applyFont="1" applyFill="1" applyAlignment="1">
      <alignment horizontal="right" vertical="top"/>
    </xf>
    <xf numFmtId="170" fontId="8" fillId="2" borderId="9" xfId="0" applyNumberFormat="1" applyFont="1" applyFill="1" applyBorder="1" applyAlignment="1">
      <alignment horizontal="right"/>
    </xf>
    <xf numFmtId="170" fontId="5" fillId="2" borderId="2" xfId="0" applyNumberFormat="1" applyFont="1" applyFill="1" applyBorder="1" applyAlignment="1">
      <alignment horizontal="right"/>
    </xf>
    <xf numFmtId="164" fontId="4" fillId="3" borderId="26" xfId="0" applyNumberFormat="1" applyFont="1" applyFill="1" applyBorder="1" applyAlignment="1">
      <alignment horizontal="center" vertical="center"/>
    </xf>
    <xf numFmtId="164" fontId="4" fillId="3" borderId="16" xfId="0" applyNumberFormat="1" applyFont="1" applyFill="1" applyBorder="1" applyAlignment="1">
      <alignment horizontal="center" vertical="center"/>
    </xf>
    <xf numFmtId="164" fontId="4" fillId="3" borderId="15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65" fontId="0" fillId="0" borderId="0" xfId="0" applyNumberFormat="1"/>
    <xf numFmtId="10" fontId="6" fillId="0" borderId="0" xfId="0" applyNumberFormat="1" applyFont="1" applyAlignment="1">
      <alignment vertical="center" wrapText="1"/>
    </xf>
    <xf numFmtId="165" fontId="8" fillId="2" borderId="0" xfId="0" applyNumberFormat="1" applyFont="1" applyFill="1" applyAlignment="1">
      <alignment vertical="center"/>
    </xf>
    <xf numFmtId="165" fontId="8" fillId="2" borderId="9" xfId="0" applyNumberFormat="1" applyFont="1" applyFill="1" applyBorder="1" applyAlignment="1">
      <alignment vertical="center"/>
    </xf>
    <xf numFmtId="165" fontId="11" fillId="2" borderId="0" xfId="0" applyNumberFormat="1" applyFont="1" applyFill="1" applyAlignment="1">
      <alignment vertical="center"/>
    </xf>
    <xf numFmtId="165" fontId="11" fillId="0" borderId="2" xfId="0" applyNumberFormat="1" applyFont="1" applyBorder="1" applyAlignment="1">
      <alignment vertical="center"/>
    </xf>
    <xf numFmtId="170" fontId="8" fillId="2" borderId="9" xfId="0" applyNumberFormat="1" applyFont="1" applyFill="1" applyBorder="1" applyAlignment="1">
      <alignment vertical="center"/>
    </xf>
    <xf numFmtId="0" fontId="6" fillId="0" borderId="4" xfId="1" applyFont="1" applyBorder="1" applyAlignment="1">
      <alignment horizontal="center" vertical="center"/>
    </xf>
    <xf numFmtId="170" fontId="2" fillId="0" borderId="4" xfId="1" applyNumberFormat="1" applyFont="1" applyBorder="1"/>
    <xf numFmtId="170" fontId="8" fillId="0" borderId="4" xfId="1" applyNumberFormat="1" applyFont="1" applyBorder="1" applyAlignment="1">
      <alignment horizontal="right" vertical="center"/>
    </xf>
    <xf numFmtId="0" fontId="2" fillId="0" borderId="4" xfId="1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171" fontId="2" fillId="0" borderId="6" xfId="0" applyNumberFormat="1" applyFont="1" applyBorder="1" applyAlignment="1">
      <alignment horizontal="center" vertical="center" wrapText="1"/>
    </xf>
    <xf numFmtId="165" fontId="2" fillId="0" borderId="6" xfId="0" applyNumberFormat="1" applyFont="1" applyBorder="1" applyAlignment="1">
      <alignment horizontal="center" vertical="center" wrapText="1"/>
    </xf>
    <xf numFmtId="165" fontId="14" fillId="0" borderId="0" xfId="0" applyNumberFormat="1" applyFont="1" applyAlignment="1">
      <alignment horizontal="center" vertical="center"/>
    </xf>
    <xf numFmtId="10" fontId="2" fillId="0" borderId="0" xfId="1" applyNumberFormat="1" applyFont="1"/>
    <xf numFmtId="0" fontId="2" fillId="0" borderId="0" xfId="0" applyFont="1" applyAlignment="1">
      <alignment horizontal="right" vertical="center" wrapText="1"/>
    </xf>
    <xf numFmtId="10" fontId="2" fillId="0" borderId="4" xfId="2" applyNumberFormat="1" applyFont="1" applyFill="1" applyBorder="1"/>
    <xf numFmtId="10" fontId="2" fillId="0" borderId="4" xfId="1" applyNumberFormat="1" applyFont="1" applyBorder="1"/>
    <xf numFmtId="9" fontId="2" fillId="0" borderId="4" xfId="1" applyNumberFormat="1" applyFont="1" applyBorder="1"/>
    <xf numFmtId="164" fontId="8" fillId="0" borderId="4" xfId="1" applyNumberFormat="1" applyFont="1" applyBorder="1" applyAlignment="1">
      <alignment horizontal="right" vertical="center"/>
    </xf>
    <xf numFmtId="172" fontId="8" fillId="0" borderId="4" xfId="1" applyNumberFormat="1" applyFont="1" applyBorder="1"/>
    <xf numFmtId="171" fontId="2" fillId="0" borderId="0" xfId="2" applyNumberFormat="1" applyFont="1" applyFill="1" applyBorder="1"/>
    <xf numFmtId="9" fontId="2" fillId="0" borderId="0" xfId="1" applyNumberFormat="1" applyFont="1"/>
    <xf numFmtId="164" fontId="2" fillId="0" borderId="0" xfId="1" applyNumberFormat="1" applyFont="1"/>
    <xf numFmtId="170" fontId="13" fillId="0" borderId="4" xfId="0" applyNumberFormat="1" applyFont="1" applyBorder="1" applyAlignment="1">
      <alignment horizontal="right"/>
    </xf>
    <xf numFmtId="0" fontId="2" fillId="0" borderId="0" xfId="1" applyFont="1" applyAlignment="1">
      <alignment horizontal="center" vertical="center"/>
    </xf>
    <xf numFmtId="10" fontId="2" fillId="0" borderId="0" xfId="3" applyNumberFormat="1" applyFont="1" applyFill="1" applyBorder="1"/>
    <xf numFmtId="170" fontId="2" fillId="0" borderId="0" xfId="1" applyNumberFormat="1" applyFont="1"/>
    <xf numFmtId="170" fontId="2" fillId="0" borderId="4" xfId="1" applyNumberFormat="1" applyFont="1" applyBorder="1" applyAlignment="1">
      <alignment horizontal="right"/>
    </xf>
    <xf numFmtId="172" fontId="2" fillId="0" borderId="4" xfId="1" applyNumberFormat="1" applyFont="1" applyBorder="1" applyAlignment="1">
      <alignment horizontal="right"/>
    </xf>
    <xf numFmtId="9" fontId="2" fillId="0" borderId="0" xfId="2" applyFont="1" applyFill="1" applyBorder="1"/>
    <xf numFmtId="0" fontId="15" fillId="0" borderId="0" xfId="4"/>
    <xf numFmtId="170" fontId="2" fillId="2" borderId="28" xfId="0" applyNumberFormat="1" applyFont="1" applyFill="1" applyBorder="1" applyAlignment="1">
      <alignment vertical="center"/>
    </xf>
    <xf numFmtId="170" fontId="2" fillId="2" borderId="10" xfId="0" applyNumberFormat="1" applyFont="1" applyFill="1" applyBorder="1" applyAlignment="1">
      <alignment vertical="center"/>
    </xf>
    <xf numFmtId="170" fontId="6" fillId="2" borderId="28" xfId="0" applyNumberFormat="1" applyFont="1" applyFill="1" applyBorder="1" applyAlignment="1">
      <alignment vertical="center"/>
    </xf>
    <xf numFmtId="170" fontId="6" fillId="2" borderId="10" xfId="0" applyNumberFormat="1" applyFont="1" applyFill="1" applyBorder="1" applyAlignment="1">
      <alignment vertical="center"/>
    </xf>
    <xf numFmtId="0" fontId="2" fillId="6" borderId="8" xfId="0" quotePrefix="1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6" borderId="5" xfId="0" quotePrefix="1" applyFont="1" applyFill="1" applyBorder="1" applyAlignment="1">
      <alignment horizontal="center" vertical="center"/>
    </xf>
    <xf numFmtId="0" fontId="2" fillId="6" borderId="6" xfId="0" quotePrefix="1" applyFont="1" applyFill="1" applyBorder="1" applyAlignment="1">
      <alignment horizontal="center" vertical="center"/>
    </xf>
    <xf numFmtId="0" fontId="2" fillId="7" borderId="7" xfId="0" quotePrefix="1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quotePrefix="1" applyFont="1" applyFill="1" applyAlignment="1">
      <alignment horizontal="center" vertical="center"/>
    </xf>
    <xf numFmtId="170" fontId="2" fillId="2" borderId="5" xfId="0" applyNumberFormat="1" applyFont="1" applyFill="1" applyBorder="1"/>
    <xf numFmtId="170" fontId="2" fillId="2" borderId="6" xfId="0" applyNumberFormat="1" applyFont="1" applyFill="1" applyBorder="1"/>
    <xf numFmtId="10" fontId="2" fillId="2" borderId="6" xfId="0" applyNumberFormat="1" applyFont="1" applyFill="1" applyBorder="1"/>
    <xf numFmtId="170" fontId="2" fillId="2" borderId="7" xfId="0" applyNumberFormat="1" applyFont="1" applyFill="1" applyBorder="1"/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2" borderId="2" xfId="0" applyNumberFormat="1" applyFont="1" applyFill="1" applyBorder="1" applyAlignment="1">
      <alignment vertical="center"/>
    </xf>
    <xf numFmtId="10" fontId="4" fillId="2" borderId="3" xfId="0" applyNumberFormat="1" applyFont="1" applyFill="1" applyBorder="1" applyAlignment="1">
      <alignment vertical="center"/>
    </xf>
    <xf numFmtId="10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vertical="center" wrapText="1"/>
    </xf>
    <xf numFmtId="165" fontId="4" fillId="2" borderId="0" xfId="0" applyNumberFormat="1" applyFont="1" applyFill="1" applyAlignment="1">
      <alignment horizontal="right" vertical="center"/>
    </xf>
    <xf numFmtId="4" fontId="2" fillId="2" borderId="6" xfId="0" applyNumberFormat="1" applyFont="1" applyFill="1" applyBorder="1" applyAlignment="1">
      <alignment horizontal="center" vertical="center"/>
    </xf>
    <xf numFmtId="4" fontId="4" fillId="2" borderId="6" xfId="0" applyNumberFormat="1" applyFont="1" applyFill="1" applyBorder="1" applyAlignment="1">
      <alignment horizontal="center" vertical="center"/>
    </xf>
    <xf numFmtId="4" fontId="2" fillId="2" borderId="5" xfId="0" applyNumberFormat="1" applyFont="1" applyFill="1" applyBorder="1" applyAlignment="1">
      <alignment horizontal="center" vertical="center"/>
    </xf>
    <xf numFmtId="4" fontId="4" fillId="2" borderId="5" xfId="0" applyNumberFormat="1" applyFont="1" applyFill="1" applyBorder="1" applyAlignment="1">
      <alignment horizontal="center" vertical="center"/>
    </xf>
    <xf numFmtId="170" fontId="8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left" vertical="center"/>
    </xf>
    <xf numFmtId="170" fontId="8" fillId="2" borderId="9" xfId="0" applyNumberFormat="1" applyFont="1" applyFill="1" applyBorder="1" applyAlignment="1">
      <alignment horizontal="left" vertical="center"/>
    </xf>
    <xf numFmtId="170" fontId="4" fillId="2" borderId="0" xfId="0" quotePrefix="1" applyNumberFormat="1" applyFont="1" applyFill="1" applyAlignment="1">
      <alignment horizontal="left" vertical="center"/>
    </xf>
    <xf numFmtId="170" fontId="4" fillId="2" borderId="9" xfId="0" quotePrefix="1" applyNumberFormat="1" applyFont="1" applyFill="1" applyBorder="1" applyAlignment="1">
      <alignment horizontal="left" vertical="center"/>
    </xf>
    <xf numFmtId="170" fontId="4" fillId="2" borderId="9" xfId="0" applyNumberFormat="1" applyFont="1" applyFill="1" applyBorder="1" applyAlignment="1">
      <alignment horizontal="left" vertical="center"/>
    </xf>
    <xf numFmtId="170" fontId="5" fillId="2" borderId="2" xfId="0" applyNumberFormat="1" applyFont="1" applyFill="1" applyBorder="1" applyAlignment="1">
      <alignment horizontal="left" vertical="center"/>
    </xf>
    <xf numFmtId="170" fontId="8" fillId="0" borderId="4" xfId="0" applyNumberFormat="1" applyFont="1" applyBorder="1" applyAlignment="1">
      <alignment horizontal="right"/>
    </xf>
    <xf numFmtId="9" fontId="8" fillId="0" borderId="4" xfId="2" applyFont="1" applyFill="1" applyBorder="1"/>
    <xf numFmtId="10" fontId="2" fillId="0" borderId="4" xfId="2" applyNumberFormat="1" applyFont="1" applyFill="1" applyBorder="1" applyAlignment="1"/>
    <xf numFmtId="172" fontId="2" fillId="0" borderId="8" xfId="0" applyNumberFormat="1" applyFont="1" applyBorder="1" applyAlignment="1">
      <alignment horizontal="center" vertical="center"/>
    </xf>
    <xf numFmtId="172" fontId="2" fillId="0" borderId="25" xfId="0" applyNumberFormat="1" applyFont="1" applyBorder="1" applyAlignment="1">
      <alignment horizontal="center" vertical="center"/>
    </xf>
    <xf numFmtId="172" fontId="2" fillId="0" borderId="23" xfId="0" applyNumberFormat="1" applyFont="1" applyBorder="1" applyAlignment="1">
      <alignment horizontal="center" vertical="center"/>
    </xf>
    <xf numFmtId="172" fontId="2" fillId="0" borderId="11" xfId="0" applyNumberFormat="1" applyFont="1" applyBorder="1" applyAlignment="1">
      <alignment horizontal="center" vertical="center"/>
    </xf>
    <xf numFmtId="172" fontId="2" fillId="0" borderId="0" xfId="0" applyNumberFormat="1" applyFont="1" applyAlignment="1">
      <alignment horizontal="center" vertical="center"/>
    </xf>
    <xf numFmtId="172" fontId="2" fillId="0" borderId="28" xfId="0" applyNumberFormat="1" applyFont="1" applyBorder="1" applyAlignment="1">
      <alignment horizontal="center" vertical="center"/>
    </xf>
    <xf numFmtId="9" fontId="2" fillId="0" borderId="4" xfId="2" applyFont="1" applyFill="1" applyBorder="1" applyAlignment="1">
      <alignment horizontal="right"/>
    </xf>
    <xf numFmtId="0" fontId="8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171" fontId="2" fillId="0" borderId="0" xfId="1" applyNumberFormat="1" applyFont="1"/>
    <xf numFmtId="168" fontId="2" fillId="0" borderId="4" xfId="1" applyNumberFormat="1" applyFont="1" applyBorder="1"/>
    <xf numFmtId="10" fontId="6" fillId="0" borderId="0" xfId="0" applyNumberFormat="1" applyFont="1" applyAlignment="1">
      <alignment horizontal="center" vertical="center" wrapText="1"/>
    </xf>
    <xf numFmtId="4" fontId="2" fillId="2" borderId="28" xfId="0" applyNumberFormat="1" applyFont="1" applyFill="1" applyBorder="1" applyAlignment="1">
      <alignment horizontal="center" vertical="center"/>
    </xf>
    <xf numFmtId="4" fontId="4" fillId="2" borderId="23" xfId="0" applyNumberFormat="1" applyFont="1" applyFill="1" applyBorder="1" applyAlignment="1">
      <alignment horizontal="center" vertical="center"/>
    </xf>
    <xf numFmtId="4" fontId="4" fillId="2" borderId="28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65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center" vertical="center"/>
    </xf>
    <xf numFmtId="10" fontId="2" fillId="0" borderId="0" xfId="2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4" fontId="8" fillId="0" borderId="4" xfId="0" applyNumberFormat="1" applyFont="1" applyBorder="1" applyAlignment="1">
      <alignment horizontal="right" vertical="center" wrapText="1"/>
    </xf>
    <xf numFmtId="4" fontId="2" fillId="0" borderId="1" xfId="0" applyNumberFormat="1" applyFont="1" applyBorder="1" applyAlignment="1">
      <alignment horizontal="right" vertical="center"/>
    </xf>
    <xf numFmtId="170" fontId="4" fillId="2" borderId="4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165" fontId="2" fillId="0" borderId="4" xfId="1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  <xf numFmtId="2" fontId="2" fillId="0" borderId="4" xfId="0" applyNumberFormat="1" applyFont="1" applyBorder="1"/>
    <xf numFmtId="173" fontId="2" fillId="0" borderId="0" xfId="1" applyNumberFormat="1" applyFont="1"/>
    <xf numFmtId="172" fontId="2" fillId="0" borderId="4" xfId="1" applyNumberFormat="1" applyFont="1" applyBorder="1"/>
    <xf numFmtId="10" fontId="4" fillId="0" borderId="0" xfId="0" applyNumberFormat="1" applyFont="1" applyAlignment="1">
      <alignment vertical="center"/>
    </xf>
    <xf numFmtId="0" fontId="11" fillId="0" borderId="4" xfId="1" applyFont="1" applyBorder="1"/>
    <xf numFmtId="0" fontId="11" fillId="0" borderId="2" xfId="1" applyFont="1" applyBorder="1"/>
    <xf numFmtId="0" fontId="11" fillId="0" borderId="3" xfId="1" applyFont="1" applyBorder="1"/>
    <xf numFmtId="2" fontId="2" fillId="0" borderId="0" xfId="0" applyNumberFormat="1" applyFont="1"/>
    <xf numFmtId="4" fontId="0" fillId="0" borderId="0" xfId="0" applyNumberFormat="1"/>
    <xf numFmtId="0" fontId="2" fillId="11" borderId="4" xfId="1" applyFont="1" applyFill="1" applyBorder="1" applyAlignment="1">
      <alignment horizontal="center" vertical="center"/>
    </xf>
    <xf numFmtId="165" fontId="2" fillId="11" borderId="4" xfId="0" applyNumberFormat="1" applyFont="1" applyFill="1" applyBorder="1"/>
    <xf numFmtId="164" fontId="4" fillId="13" borderId="7" xfId="0" applyNumberFormat="1" applyFont="1" applyFill="1" applyBorder="1" applyAlignment="1">
      <alignment horizontal="right" vertical="center"/>
    </xf>
    <xf numFmtId="0" fontId="5" fillId="11" borderId="15" xfId="0" applyFont="1" applyFill="1" applyBorder="1" applyAlignment="1">
      <alignment horizontal="center" vertical="center" wrapText="1"/>
    </xf>
    <xf numFmtId="164" fontId="2" fillId="11" borderId="20" xfId="0" applyNumberFormat="1" applyFont="1" applyFill="1" applyBorder="1" applyAlignment="1">
      <alignment horizontal="center" vertical="center"/>
    </xf>
    <xf numFmtId="0" fontId="5" fillId="14" borderId="15" xfId="0" applyFont="1" applyFill="1" applyBorder="1" applyAlignment="1">
      <alignment horizontal="center" vertical="center"/>
    </xf>
    <xf numFmtId="0" fontId="5" fillId="14" borderId="20" xfId="0" applyFont="1" applyFill="1" applyBorder="1" applyAlignment="1">
      <alignment horizontal="center" vertical="center"/>
    </xf>
    <xf numFmtId="0" fontId="6" fillId="13" borderId="20" xfId="0" applyFont="1" applyFill="1" applyBorder="1" applyAlignment="1">
      <alignment horizontal="center" vertical="center"/>
    </xf>
    <xf numFmtId="0" fontId="6" fillId="13" borderId="19" xfId="0" applyFont="1" applyFill="1" applyBorder="1" applyAlignment="1">
      <alignment horizontal="center" vertical="center"/>
    </xf>
    <xf numFmtId="4" fontId="2" fillId="20" borderId="4" xfId="0" applyNumberFormat="1" applyFont="1" applyFill="1" applyBorder="1"/>
    <xf numFmtId="0" fontId="2" fillId="20" borderId="4" xfId="0" applyFont="1" applyFill="1" applyBorder="1" applyAlignment="1">
      <alignment horizontal="center" vertical="center"/>
    </xf>
    <xf numFmtId="0" fontId="2" fillId="20" borderId="0" xfId="0" applyFont="1" applyFill="1"/>
    <xf numFmtId="4" fontId="2" fillId="20" borderId="0" xfId="0" applyNumberFormat="1" applyFont="1" applyFill="1"/>
    <xf numFmtId="4" fontId="2" fillId="21" borderId="4" xfId="0" applyNumberFormat="1" applyFont="1" applyFill="1" applyBorder="1" applyAlignment="1">
      <alignment vertical="center"/>
    </xf>
    <xf numFmtId="0" fontId="2" fillId="21" borderId="4" xfId="0" applyFont="1" applyFill="1" applyBorder="1" applyAlignment="1">
      <alignment horizontal="center" vertical="center"/>
    </xf>
    <xf numFmtId="0" fontId="2" fillId="21" borderId="0" xfId="0" applyFont="1" applyFill="1"/>
    <xf numFmtId="4" fontId="2" fillId="21" borderId="0" xfId="0" applyNumberFormat="1" applyFont="1" applyFill="1" applyAlignment="1">
      <alignment vertical="center"/>
    </xf>
    <xf numFmtId="4" fontId="2" fillId="21" borderId="7" xfId="0" applyNumberFormat="1" applyFont="1" applyFill="1" applyBorder="1" applyAlignment="1">
      <alignment vertical="center"/>
    </xf>
    <xf numFmtId="4" fontId="2" fillId="16" borderId="7" xfId="0" applyNumberFormat="1" applyFont="1" applyFill="1" applyBorder="1"/>
    <xf numFmtId="4" fontId="2" fillId="16" borderId="4" xfId="0" applyNumberFormat="1" applyFont="1" applyFill="1" applyBorder="1"/>
    <xf numFmtId="4" fontId="2" fillId="16" borderId="4" xfId="0" applyNumberFormat="1" applyFont="1" applyFill="1" applyBorder="1" applyAlignment="1">
      <alignment vertical="center"/>
    </xf>
    <xf numFmtId="4" fontId="2" fillId="16" borderId="4" xfId="0" applyNumberFormat="1" applyFont="1" applyFill="1" applyBorder="1" applyAlignment="1">
      <alignment horizontal="right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16" fillId="29" borderId="1" xfId="0" applyFont="1" applyFill="1" applyBorder="1" applyAlignment="1">
      <alignment horizontal="center" vertical="center"/>
    </xf>
    <xf numFmtId="0" fontId="16" fillId="29" borderId="2" xfId="0" applyFont="1" applyFill="1" applyBorder="1" applyAlignment="1">
      <alignment horizontal="center" vertical="center"/>
    </xf>
    <xf numFmtId="0" fontId="16" fillId="29" borderId="3" xfId="0" applyFont="1" applyFill="1" applyBorder="1" applyAlignment="1">
      <alignment horizontal="center" vertical="center"/>
    </xf>
    <xf numFmtId="172" fontId="2" fillId="16" borderId="1" xfId="0" applyNumberFormat="1" applyFont="1" applyFill="1" applyBorder="1" applyAlignment="1">
      <alignment horizontal="center" vertical="center"/>
    </xf>
    <xf numFmtId="172" fontId="2" fillId="16" borderId="2" xfId="0" applyNumberFormat="1" applyFont="1" applyFill="1" applyBorder="1" applyAlignment="1">
      <alignment horizontal="center" vertical="center"/>
    </xf>
    <xf numFmtId="172" fontId="2" fillId="16" borderId="3" xfId="0" applyNumberFormat="1" applyFont="1" applyFill="1" applyBorder="1" applyAlignment="1">
      <alignment horizontal="center" vertical="center"/>
    </xf>
    <xf numFmtId="172" fontId="2" fillId="21" borderId="1" xfId="0" applyNumberFormat="1" applyFont="1" applyFill="1" applyBorder="1" applyAlignment="1">
      <alignment horizontal="center" vertical="center"/>
    </xf>
    <xf numFmtId="172" fontId="2" fillId="21" borderId="2" xfId="0" applyNumberFormat="1" applyFont="1" applyFill="1" applyBorder="1" applyAlignment="1">
      <alignment horizontal="center" vertical="center"/>
    </xf>
    <xf numFmtId="172" fontId="2" fillId="21" borderId="3" xfId="0" applyNumberFormat="1" applyFont="1" applyFill="1" applyBorder="1" applyAlignment="1">
      <alignment horizontal="center" vertical="center"/>
    </xf>
    <xf numFmtId="0" fontId="6" fillId="31" borderId="4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169" fontId="6" fillId="11" borderId="3" xfId="0" applyNumberFormat="1" applyFont="1" applyFill="1" applyBorder="1" applyAlignment="1">
      <alignment vertical="center"/>
    </xf>
    <xf numFmtId="0" fontId="5" fillId="16" borderId="4" xfId="0" applyFont="1" applyFill="1" applyBorder="1" applyAlignment="1">
      <alignment horizontal="center" vertical="center"/>
    </xf>
    <xf numFmtId="169" fontId="6" fillId="16" borderId="3" xfId="0" applyNumberFormat="1" applyFont="1" applyFill="1" applyBorder="1" applyAlignment="1">
      <alignment vertical="center"/>
    </xf>
    <xf numFmtId="0" fontId="6" fillId="32" borderId="4" xfId="0" applyFont="1" applyFill="1" applyBorder="1" applyAlignment="1">
      <alignment horizontal="left" vertical="center" wrapText="1"/>
    </xf>
    <xf numFmtId="164" fontId="2" fillId="11" borderId="4" xfId="0" applyNumberFormat="1" applyFont="1" applyFill="1" applyBorder="1"/>
    <xf numFmtId="0" fontId="16" fillId="18" borderId="4" xfId="0" applyFont="1" applyFill="1" applyBorder="1" applyAlignment="1">
      <alignment horizontal="center" vertical="center" wrapText="1"/>
    </xf>
    <xf numFmtId="0" fontId="16" fillId="26" borderId="4" xfId="0" applyFont="1" applyFill="1" applyBorder="1" applyAlignment="1">
      <alignment horizontal="center" vertical="center" wrapText="1"/>
    </xf>
    <xf numFmtId="0" fontId="6" fillId="23" borderId="4" xfId="0" applyFont="1" applyFill="1" applyBorder="1"/>
    <xf numFmtId="0" fontId="6" fillId="16" borderId="4" xfId="0" applyFont="1" applyFill="1" applyBorder="1" applyAlignment="1">
      <alignment horizontal="center" vertical="center" wrapText="1"/>
    </xf>
    <xf numFmtId="165" fontId="2" fillId="16" borderId="4" xfId="0" applyNumberFormat="1" applyFont="1" applyFill="1" applyBorder="1" applyAlignment="1">
      <alignment vertical="center"/>
    </xf>
    <xf numFmtId="0" fontId="6" fillId="33" borderId="4" xfId="0" applyFont="1" applyFill="1" applyBorder="1" applyAlignment="1">
      <alignment horizontal="center" vertical="center" wrapText="1"/>
    </xf>
    <xf numFmtId="0" fontId="6" fillId="33" borderId="4" xfId="0" applyFont="1" applyFill="1" applyBorder="1" applyAlignment="1">
      <alignment horizontal="right" vertical="center" wrapText="1"/>
    </xf>
    <xf numFmtId="165" fontId="2" fillId="16" borderId="4" xfId="0" applyNumberFormat="1" applyFont="1" applyFill="1" applyBorder="1"/>
    <xf numFmtId="0" fontId="16" fillId="34" borderId="4" xfId="0" applyFont="1" applyFill="1" applyBorder="1" applyAlignment="1">
      <alignment horizontal="center" vertical="center"/>
    </xf>
    <xf numFmtId="0" fontId="16" fillId="19" borderId="4" xfId="0" applyFont="1" applyFill="1" applyBorder="1" applyAlignment="1">
      <alignment horizontal="center" vertical="center"/>
    </xf>
    <xf numFmtId="0" fontId="16" fillId="36" borderId="4" xfId="0" applyFont="1" applyFill="1" applyBorder="1" applyAlignment="1">
      <alignment horizontal="center" vertical="center"/>
    </xf>
    <xf numFmtId="0" fontId="16" fillId="37" borderId="4" xfId="0" applyFont="1" applyFill="1" applyBorder="1" applyAlignment="1">
      <alignment horizontal="center" vertical="center"/>
    </xf>
    <xf numFmtId="165" fontId="2" fillId="16" borderId="3" xfId="0" applyNumberFormat="1" applyFont="1" applyFill="1" applyBorder="1"/>
    <xf numFmtId="0" fontId="2" fillId="31" borderId="0" xfId="0" applyFont="1" applyFill="1" applyAlignment="1">
      <alignment horizontal="center" vertical="center"/>
    </xf>
    <xf numFmtId="165" fontId="4" fillId="16" borderId="3" xfId="0" applyNumberFormat="1" applyFont="1" applyFill="1" applyBorder="1" applyAlignment="1">
      <alignment horizontal="right" vertical="center"/>
    </xf>
    <xf numFmtId="0" fontId="2" fillId="15" borderId="4" xfId="0" applyFont="1" applyFill="1" applyBorder="1" applyAlignment="1">
      <alignment horizontal="center" vertical="center" wrapText="1"/>
    </xf>
    <xf numFmtId="0" fontId="2" fillId="35" borderId="8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center"/>
    </xf>
    <xf numFmtId="4" fontId="2" fillId="2" borderId="7" xfId="0" applyNumberFormat="1" applyFont="1" applyFill="1" applyBorder="1" applyAlignment="1">
      <alignment horizontal="center" vertical="center"/>
    </xf>
    <xf numFmtId="4" fontId="4" fillId="2" borderId="7" xfId="0" applyNumberFormat="1" applyFont="1" applyFill="1" applyBorder="1" applyAlignment="1">
      <alignment horizontal="center" vertical="center"/>
    </xf>
    <xf numFmtId="4" fontId="2" fillId="2" borderId="10" xfId="0" applyNumberFormat="1" applyFont="1" applyFill="1" applyBorder="1" applyAlignment="1">
      <alignment horizontal="center" vertical="center"/>
    </xf>
    <xf numFmtId="0" fontId="2" fillId="31" borderId="4" xfId="0" applyFont="1" applyFill="1" applyBorder="1" applyAlignment="1">
      <alignment horizontal="center" vertical="center" wrapText="1"/>
    </xf>
    <xf numFmtId="0" fontId="2" fillId="31" borderId="4" xfId="0" applyFont="1" applyFill="1" applyBorder="1" applyAlignment="1">
      <alignment horizontal="center" vertical="center"/>
    </xf>
    <xf numFmtId="0" fontId="4" fillId="31" borderId="2" xfId="0" applyFont="1" applyFill="1" applyBorder="1" applyAlignment="1">
      <alignment horizontal="center" vertical="center"/>
    </xf>
    <xf numFmtId="0" fontId="4" fillId="31" borderId="4" xfId="0" applyFont="1" applyFill="1" applyBorder="1" applyAlignment="1">
      <alignment horizontal="center" vertical="center"/>
    </xf>
    <xf numFmtId="170" fontId="5" fillId="11" borderId="0" xfId="0" applyNumberFormat="1" applyFont="1" applyFill="1" applyAlignment="1">
      <alignment horizontal="left" vertical="center"/>
    </xf>
    <xf numFmtId="170" fontId="5" fillId="11" borderId="0" xfId="0" applyNumberFormat="1" applyFont="1" applyFill="1" applyAlignment="1">
      <alignment horizontal="right" vertical="center"/>
    </xf>
    <xf numFmtId="170" fontId="4" fillId="11" borderId="25" xfId="0" applyNumberFormat="1" applyFont="1" applyFill="1" applyBorder="1" applyAlignment="1">
      <alignment horizontal="right" vertical="center"/>
    </xf>
    <xf numFmtId="170" fontId="5" fillId="11" borderId="0" xfId="0" applyNumberFormat="1" applyFont="1" applyFill="1" applyAlignment="1">
      <alignment horizontal="right"/>
    </xf>
    <xf numFmtId="170" fontId="5" fillId="11" borderId="25" xfId="0" applyNumberFormat="1" applyFont="1" applyFill="1" applyBorder="1" applyAlignment="1">
      <alignment horizontal="right" vertical="center"/>
    </xf>
    <xf numFmtId="170" fontId="14" fillId="11" borderId="0" xfId="0" applyNumberFormat="1" applyFont="1" applyFill="1" applyAlignment="1">
      <alignment horizontal="right"/>
    </xf>
    <xf numFmtId="170" fontId="11" fillId="11" borderId="0" xfId="0" applyNumberFormat="1" applyFont="1" applyFill="1" applyAlignment="1">
      <alignment horizontal="right"/>
    </xf>
    <xf numFmtId="170" fontId="5" fillId="41" borderId="9" xfId="0" applyNumberFormat="1" applyFont="1" applyFill="1" applyBorder="1" applyAlignment="1">
      <alignment horizontal="right"/>
    </xf>
    <xf numFmtId="0" fontId="2" fillId="41" borderId="4" xfId="1" applyFont="1" applyFill="1" applyBorder="1" applyAlignment="1">
      <alignment horizontal="center"/>
    </xf>
    <xf numFmtId="0" fontId="2" fillId="41" borderId="4" xfId="1" applyFont="1" applyFill="1" applyBorder="1" applyAlignment="1">
      <alignment horizontal="center" vertical="center"/>
    </xf>
    <xf numFmtId="0" fontId="6" fillId="41" borderId="4" xfId="1" applyFont="1" applyFill="1" applyBorder="1" applyAlignment="1">
      <alignment horizontal="center" vertical="center"/>
    </xf>
    <xf numFmtId="0" fontId="2" fillId="20" borderId="4" xfId="1" applyFont="1" applyFill="1" applyBorder="1" applyAlignment="1">
      <alignment horizontal="center" vertical="center"/>
    </xf>
    <xf numFmtId="2" fontId="2" fillId="20" borderId="4" xfId="0" applyNumberFormat="1" applyFont="1" applyFill="1" applyBorder="1"/>
    <xf numFmtId="0" fontId="2" fillId="43" borderId="4" xfId="1" applyFont="1" applyFill="1" applyBorder="1" applyAlignment="1">
      <alignment horizontal="center"/>
    </xf>
    <xf numFmtId="0" fontId="2" fillId="43" borderId="4" xfId="1" applyFont="1" applyFill="1" applyBorder="1" applyAlignment="1">
      <alignment horizontal="center" vertical="center"/>
    </xf>
    <xf numFmtId="0" fontId="6" fillId="43" borderId="7" xfId="1" applyFont="1" applyFill="1" applyBorder="1" applyAlignment="1">
      <alignment horizontal="center" vertical="center"/>
    </xf>
    <xf numFmtId="0" fontId="0" fillId="44" borderId="0" xfId="0" applyFill="1"/>
    <xf numFmtId="0" fontId="2" fillId="11" borderId="4" xfId="1" applyFont="1" applyFill="1" applyBorder="1" applyAlignment="1">
      <alignment horizontal="center"/>
    </xf>
    <xf numFmtId="0" fontId="6" fillId="11" borderId="4" xfId="1" applyFont="1" applyFill="1" applyBorder="1" applyAlignment="1">
      <alignment horizontal="center" vertical="center"/>
    </xf>
    <xf numFmtId="0" fontId="2" fillId="14" borderId="4" xfId="1" applyFont="1" applyFill="1" applyBorder="1" applyAlignment="1">
      <alignment horizontal="center"/>
    </xf>
    <xf numFmtId="0" fontId="2" fillId="14" borderId="4" xfId="1" applyFont="1" applyFill="1" applyBorder="1" applyAlignment="1">
      <alignment horizontal="center" vertical="center"/>
    </xf>
    <xf numFmtId="0" fontId="6" fillId="14" borderId="7" xfId="1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10" fontId="2" fillId="11" borderId="4" xfId="2" applyNumberFormat="1" applyFont="1" applyFill="1" applyBorder="1" applyAlignment="1">
      <alignment horizontal="center" vertical="center" wrapText="1"/>
    </xf>
    <xf numFmtId="0" fontId="2" fillId="48" borderId="4" xfId="1" applyFont="1" applyFill="1" applyBorder="1" applyAlignment="1">
      <alignment horizontal="center"/>
    </xf>
    <xf numFmtId="0" fontId="2" fillId="48" borderId="4" xfId="1" applyFont="1" applyFill="1" applyBorder="1" applyAlignment="1">
      <alignment horizontal="center" vertical="center"/>
    </xf>
    <xf numFmtId="0" fontId="8" fillId="12" borderId="4" xfId="1" applyFont="1" applyFill="1" applyBorder="1" applyAlignment="1">
      <alignment horizontal="center" vertical="center"/>
    </xf>
    <xf numFmtId="0" fontId="8" fillId="35" borderId="4" xfId="1" applyFont="1" applyFill="1" applyBorder="1" applyAlignment="1">
      <alignment horizontal="center" vertical="center"/>
    </xf>
    <xf numFmtId="0" fontId="8" fillId="33" borderId="4" xfId="1" applyFont="1" applyFill="1" applyBorder="1" applyAlignment="1">
      <alignment horizontal="center" vertical="center"/>
    </xf>
    <xf numFmtId="0" fontId="2" fillId="9" borderId="0" xfId="1" applyFont="1" applyFill="1" applyAlignment="1">
      <alignment horizontal="center"/>
    </xf>
    <xf numFmtId="10" fontId="2" fillId="9" borderId="0" xfId="1" applyNumberFormat="1" applyFont="1" applyFill="1"/>
    <xf numFmtId="9" fontId="2" fillId="9" borderId="0" xfId="1" applyNumberFormat="1" applyFont="1" applyFill="1"/>
    <xf numFmtId="0" fontId="2" fillId="16" borderId="4" xfId="1" applyFont="1" applyFill="1" applyBorder="1"/>
    <xf numFmtId="10" fontId="2" fillId="16" borderId="4" xfId="1" applyNumberFormat="1" applyFont="1" applyFill="1" applyBorder="1"/>
    <xf numFmtId="0" fontId="2" fillId="41" borderId="4" xfId="1" applyFont="1" applyFill="1" applyBorder="1" applyAlignment="1">
      <alignment vertical="center"/>
    </xf>
    <xf numFmtId="0" fontId="2" fillId="41" borderId="4" xfId="1" applyFont="1" applyFill="1" applyBorder="1"/>
    <xf numFmtId="0" fontId="2" fillId="9" borderId="4" xfId="1" applyFont="1" applyFill="1" applyBorder="1" applyAlignment="1">
      <alignment horizontal="center" vertical="center"/>
    </xf>
    <xf numFmtId="0" fontId="2" fillId="16" borderId="4" xfId="1" applyFont="1" applyFill="1" applyBorder="1" applyAlignment="1">
      <alignment horizontal="center" vertical="center"/>
    </xf>
    <xf numFmtId="0" fontId="2" fillId="13" borderId="4" xfId="1" applyFont="1" applyFill="1" applyBorder="1" applyAlignment="1">
      <alignment horizontal="center" vertical="center"/>
    </xf>
    <xf numFmtId="0" fontId="2" fillId="49" borderId="4" xfId="1" applyFont="1" applyFill="1" applyBorder="1" applyAlignment="1">
      <alignment horizontal="center"/>
    </xf>
    <xf numFmtId="0" fontId="2" fillId="49" borderId="4" xfId="1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 wrapText="1"/>
    </xf>
    <xf numFmtId="0" fontId="8" fillId="10" borderId="9" xfId="0" applyFont="1" applyFill="1" applyBorder="1" applyAlignment="1">
      <alignment vertical="center" wrapText="1"/>
    </xf>
    <xf numFmtId="0" fontId="11" fillId="8" borderId="4" xfId="1" applyFont="1" applyFill="1" applyBorder="1" applyAlignment="1">
      <alignment horizontal="center"/>
    </xf>
    <xf numFmtId="0" fontId="11" fillId="9" borderId="1" xfId="1" applyFont="1" applyFill="1" applyBorder="1" applyAlignment="1">
      <alignment horizontal="center"/>
    </xf>
    <xf numFmtId="0" fontId="11" fillId="9" borderId="3" xfId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5" fillId="13" borderId="9" xfId="0" applyFont="1" applyFill="1" applyBorder="1" applyAlignment="1">
      <alignment horizontal="center" vertical="center" wrapText="1"/>
    </xf>
    <xf numFmtId="0" fontId="5" fillId="13" borderId="10" xfId="0" applyFont="1" applyFill="1" applyBorder="1" applyAlignment="1">
      <alignment horizontal="center" vertical="center" wrapText="1"/>
    </xf>
    <xf numFmtId="0" fontId="6" fillId="14" borderId="13" xfId="0" applyFont="1" applyFill="1" applyBorder="1" applyAlignment="1">
      <alignment horizontal="center" vertical="center"/>
    </xf>
    <xf numFmtId="0" fontId="6" fillId="14" borderId="19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4" fontId="2" fillId="0" borderId="13" xfId="0" applyNumberFormat="1" applyFont="1" applyBorder="1" applyAlignment="1">
      <alignment horizontal="center" vertical="center"/>
    </xf>
    <xf numFmtId="4" fontId="2" fillId="0" borderId="14" xfId="0" applyNumberFormat="1" applyFont="1" applyBorder="1" applyAlignment="1">
      <alignment horizontal="center" vertical="center"/>
    </xf>
    <xf numFmtId="4" fontId="2" fillId="0" borderId="19" xfId="0" applyNumberFormat="1" applyFont="1" applyBorder="1" applyAlignment="1">
      <alignment horizontal="center" vertical="center"/>
    </xf>
    <xf numFmtId="0" fontId="7" fillId="15" borderId="13" xfId="0" applyFont="1" applyFill="1" applyBorder="1" applyAlignment="1">
      <alignment horizontal="center" vertical="center" wrapText="1"/>
    </xf>
    <xf numFmtId="0" fontId="7" fillId="15" borderId="14" xfId="0" applyFont="1" applyFill="1" applyBorder="1" applyAlignment="1">
      <alignment horizontal="center" vertical="center" wrapText="1"/>
    </xf>
    <xf numFmtId="0" fontId="7" fillId="15" borderId="19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10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16" borderId="13" xfId="0" applyFont="1" applyFill="1" applyBorder="1" applyAlignment="1">
      <alignment horizontal="center" vertical="center" wrapText="1"/>
    </xf>
    <xf numFmtId="0" fontId="6" fillId="16" borderId="14" xfId="0" applyFont="1" applyFill="1" applyBorder="1" applyAlignment="1">
      <alignment horizontal="center" vertical="center" wrapText="1"/>
    </xf>
    <xf numFmtId="0" fontId="6" fillId="16" borderId="19" xfId="0" applyFont="1" applyFill="1" applyBorder="1" applyAlignment="1">
      <alignment horizontal="center" vertical="center" wrapText="1"/>
    </xf>
    <xf numFmtId="0" fontId="6" fillId="17" borderId="13" xfId="0" applyFont="1" applyFill="1" applyBorder="1" applyAlignment="1">
      <alignment horizontal="center" vertical="center" wrapText="1"/>
    </xf>
    <xf numFmtId="0" fontId="6" fillId="17" borderId="14" xfId="0" applyFont="1" applyFill="1" applyBorder="1" applyAlignment="1">
      <alignment horizontal="center" vertical="center" wrapText="1"/>
    </xf>
    <xf numFmtId="0" fontId="6" fillId="17" borderId="19" xfId="0" applyFont="1" applyFill="1" applyBorder="1" applyAlignment="1">
      <alignment horizontal="center" vertical="center" wrapText="1"/>
    </xf>
    <xf numFmtId="0" fontId="6" fillId="17" borderId="18" xfId="0" applyFont="1" applyFill="1" applyBorder="1" applyAlignment="1">
      <alignment horizontal="center" vertical="center" wrapText="1"/>
    </xf>
    <xf numFmtId="0" fontId="6" fillId="17" borderId="22" xfId="0" applyFont="1" applyFill="1" applyBorder="1" applyAlignment="1">
      <alignment horizontal="center" vertical="center" wrapText="1"/>
    </xf>
    <xf numFmtId="0" fontId="2" fillId="16" borderId="8" xfId="0" applyFont="1" applyFill="1" applyBorder="1" applyAlignment="1">
      <alignment horizontal="center" vertical="center"/>
    </xf>
    <xf numFmtId="0" fontId="2" fillId="16" borderId="23" xfId="0" applyFont="1" applyFill="1" applyBorder="1" applyAlignment="1">
      <alignment horizontal="center" vertical="center"/>
    </xf>
    <xf numFmtId="0" fontId="16" fillId="18" borderId="4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6" fillId="19" borderId="2" xfId="0" applyFont="1" applyFill="1" applyBorder="1" applyAlignment="1">
      <alignment horizontal="center" vertical="center"/>
    </xf>
    <xf numFmtId="0" fontId="6" fillId="19" borderId="3" xfId="0" applyFont="1" applyFill="1" applyBorder="1" applyAlignment="1">
      <alignment horizontal="center" vertical="center"/>
    </xf>
    <xf numFmtId="0" fontId="6" fillId="27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0" fontId="6" fillId="28" borderId="4" xfId="0" applyNumberFormat="1" applyFont="1" applyFill="1" applyBorder="1" applyAlignment="1">
      <alignment horizontal="center" vertical="center" wrapText="1"/>
    </xf>
    <xf numFmtId="0" fontId="16" fillId="29" borderId="1" xfId="0" applyFont="1" applyFill="1" applyBorder="1" applyAlignment="1">
      <alignment horizontal="center"/>
    </xf>
    <xf numFmtId="0" fontId="16" fillId="29" borderId="3" xfId="0" applyFont="1" applyFill="1" applyBorder="1" applyAlignment="1">
      <alignment horizontal="center"/>
    </xf>
    <xf numFmtId="9" fontId="2" fillId="0" borderId="12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0" fontId="2" fillId="21" borderId="8" xfId="0" applyFont="1" applyFill="1" applyBorder="1" applyAlignment="1">
      <alignment horizontal="center" vertical="center"/>
    </xf>
    <xf numFmtId="0" fontId="2" fillId="21" borderId="25" xfId="0" applyFont="1" applyFill="1" applyBorder="1" applyAlignment="1">
      <alignment horizontal="center" vertical="center"/>
    </xf>
    <xf numFmtId="0" fontId="2" fillId="21" borderId="2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9" fontId="2" fillId="0" borderId="11" xfId="0" applyNumberFormat="1" applyFont="1" applyBorder="1" applyAlignment="1">
      <alignment horizontal="center"/>
    </xf>
    <xf numFmtId="9" fontId="2" fillId="0" borderId="28" xfId="0" applyNumberFormat="1" applyFont="1" applyBorder="1" applyAlignment="1">
      <alignment horizontal="center"/>
    </xf>
    <xf numFmtId="0" fontId="6" fillId="2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25" borderId="4" xfId="0" applyFont="1" applyFill="1" applyBorder="1" applyAlignment="1">
      <alignment horizontal="center" vertical="center"/>
    </xf>
    <xf numFmtId="0" fontId="16" fillId="26" borderId="4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22" borderId="4" xfId="0" applyFont="1" applyFill="1" applyBorder="1" applyAlignment="1">
      <alignment horizontal="center" vertical="center"/>
    </xf>
    <xf numFmtId="9" fontId="2" fillId="16" borderId="1" xfId="0" applyNumberFormat="1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 vertical="center"/>
    </xf>
    <xf numFmtId="0" fontId="2" fillId="16" borderId="25" xfId="0" applyFont="1" applyFill="1" applyBorder="1" applyAlignment="1">
      <alignment horizontal="center" vertical="center"/>
    </xf>
    <xf numFmtId="0" fontId="12" fillId="30" borderId="4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4" borderId="0" xfId="0" applyFont="1" applyFill="1" applyAlignment="1">
      <alignment horizontal="center"/>
    </xf>
    <xf numFmtId="0" fontId="2" fillId="0" borderId="4" xfId="0" applyFont="1" applyBorder="1" applyAlignment="1">
      <alignment horizontal="center"/>
    </xf>
    <xf numFmtId="0" fontId="2" fillId="16" borderId="2" xfId="0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/>
    </xf>
    <xf numFmtId="0" fontId="8" fillId="2" borderId="9" xfId="0" quotePrefix="1" applyFont="1" applyFill="1" applyBorder="1" applyAlignment="1">
      <alignment horizontal="left" vertical="center"/>
    </xf>
    <xf numFmtId="0" fontId="11" fillId="0" borderId="2" xfId="0" quotePrefix="1" applyFont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8" fillId="2" borderId="0" xfId="0" quotePrefix="1" applyFont="1" applyFill="1" applyAlignment="1">
      <alignment horizontal="left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8" fillId="2" borderId="11" xfId="0" quotePrefix="1" applyFont="1" applyFill="1" applyBorder="1" applyAlignment="1">
      <alignment horizontal="center" vertical="center"/>
    </xf>
    <xf numFmtId="0" fontId="8" fillId="2" borderId="28" xfId="0" quotePrefix="1" applyFont="1" applyFill="1" applyBorder="1" applyAlignment="1">
      <alignment horizontal="center" vertical="center"/>
    </xf>
    <xf numFmtId="0" fontId="8" fillId="2" borderId="12" xfId="0" quotePrefix="1" applyFont="1" applyFill="1" applyBorder="1" applyAlignment="1">
      <alignment horizontal="center" vertical="center"/>
    </xf>
    <xf numFmtId="0" fontId="8" fillId="2" borderId="10" xfId="0" quotePrefix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6" fillId="2" borderId="0" xfId="0" quotePrefix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6" fillId="38" borderId="1" xfId="0" applyFont="1" applyFill="1" applyBorder="1" applyAlignment="1">
      <alignment horizontal="center" vertical="center"/>
    </xf>
    <xf numFmtId="0" fontId="6" fillId="38" borderId="2" xfId="0" applyFont="1" applyFill="1" applyBorder="1" applyAlignment="1">
      <alignment horizontal="center" vertical="center"/>
    </xf>
    <xf numFmtId="0" fontId="6" fillId="38" borderId="3" xfId="0" applyFont="1" applyFill="1" applyBorder="1" applyAlignment="1">
      <alignment horizontal="center" vertical="center"/>
    </xf>
    <xf numFmtId="0" fontId="11" fillId="2" borderId="8" xfId="0" quotePrefix="1" applyFont="1" applyFill="1" applyBorder="1" applyAlignment="1">
      <alignment horizontal="center" vertical="center"/>
    </xf>
    <xf numFmtId="0" fontId="11" fillId="2" borderId="23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9" borderId="2" xfId="0" applyFont="1" applyFill="1" applyBorder="1" applyAlignment="1">
      <alignment horizontal="center" vertical="center"/>
    </xf>
    <xf numFmtId="0" fontId="2" fillId="31" borderId="1" xfId="0" applyFont="1" applyFill="1" applyBorder="1" applyAlignment="1">
      <alignment horizontal="center" vertical="center" wrapText="1"/>
    </xf>
    <xf numFmtId="0" fontId="2" fillId="31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5" borderId="1" xfId="0" applyFont="1" applyFill="1" applyBorder="1" applyAlignment="1">
      <alignment horizontal="center" vertical="center"/>
    </xf>
    <xf numFmtId="0" fontId="2" fillId="35" borderId="2" xfId="0" applyFont="1" applyFill="1" applyBorder="1" applyAlignment="1">
      <alignment horizontal="center" vertical="center"/>
    </xf>
    <xf numFmtId="0" fontId="2" fillId="35" borderId="3" xfId="0" applyFont="1" applyFill="1" applyBorder="1" applyAlignment="1">
      <alignment horizontal="center" vertical="center"/>
    </xf>
    <xf numFmtId="0" fontId="2" fillId="35" borderId="1" xfId="0" quotePrefix="1" applyFont="1" applyFill="1" applyBorder="1" applyAlignment="1">
      <alignment horizontal="center" vertical="center"/>
    </xf>
    <xf numFmtId="0" fontId="2" fillId="35" borderId="2" xfId="0" quotePrefix="1" applyFont="1" applyFill="1" applyBorder="1" applyAlignment="1">
      <alignment horizontal="center" vertical="center"/>
    </xf>
    <xf numFmtId="0" fontId="2" fillId="35" borderId="3" xfId="0" quotePrefix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40" borderId="4" xfId="0" applyFont="1" applyFill="1" applyBorder="1" applyAlignment="1">
      <alignment horizontal="center"/>
    </xf>
    <xf numFmtId="0" fontId="16" fillId="42" borderId="1" xfId="0" applyFont="1" applyFill="1" applyBorder="1" applyAlignment="1">
      <alignment horizontal="center"/>
    </xf>
    <xf numFmtId="0" fontId="16" fillId="42" borderId="2" xfId="0" applyFont="1" applyFill="1" applyBorder="1" applyAlignment="1">
      <alignment horizontal="center"/>
    </xf>
    <xf numFmtId="0" fontId="16" fillId="42" borderId="3" xfId="0" applyFont="1" applyFill="1" applyBorder="1" applyAlignment="1">
      <alignment horizontal="center"/>
    </xf>
    <xf numFmtId="0" fontId="16" fillId="26" borderId="1" xfId="0" applyFont="1" applyFill="1" applyBorder="1" applyAlignment="1">
      <alignment horizontal="center"/>
    </xf>
    <xf numFmtId="0" fontId="16" fillId="26" borderId="2" xfId="0" applyFont="1" applyFill="1" applyBorder="1" applyAlignment="1">
      <alignment horizontal="center"/>
    </xf>
    <xf numFmtId="0" fontId="16" fillId="26" borderId="3" xfId="0" applyFont="1" applyFill="1" applyBorder="1" applyAlignment="1">
      <alignment horizontal="center"/>
    </xf>
    <xf numFmtId="0" fontId="16" fillId="45" borderId="1" xfId="0" applyFont="1" applyFill="1" applyBorder="1" applyAlignment="1">
      <alignment horizontal="center"/>
    </xf>
    <xf numFmtId="0" fontId="16" fillId="45" borderId="2" xfId="0" applyFont="1" applyFill="1" applyBorder="1" applyAlignment="1">
      <alignment horizontal="center"/>
    </xf>
    <xf numFmtId="0" fontId="16" fillId="45" borderId="3" xfId="0" applyFont="1" applyFill="1" applyBorder="1" applyAlignment="1">
      <alignment horizontal="center"/>
    </xf>
    <xf numFmtId="0" fontId="16" fillId="46" borderId="1" xfId="0" applyFont="1" applyFill="1" applyBorder="1" applyAlignment="1">
      <alignment horizontal="center"/>
    </xf>
    <xf numFmtId="0" fontId="16" fillId="46" borderId="2" xfId="0" applyFont="1" applyFill="1" applyBorder="1" applyAlignment="1">
      <alignment horizontal="center"/>
    </xf>
    <xf numFmtId="0" fontId="16" fillId="46" borderId="3" xfId="0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16" fillId="47" borderId="1" xfId="0" applyFont="1" applyFill="1" applyBorder="1" applyAlignment="1">
      <alignment horizontal="center"/>
    </xf>
    <xf numFmtId="0" fontId="16" fillId="47" borderId="2" xfId="0" applyFont="1" applyFill="1" applyBorder="1" applyAlignment="1">
      <alignment horizontal="center"/>
    </xf>
    <xf numFmtId="0" fontId="16" fillId="47" borderId="3" xfId="0" applyFont="1" applyFill="1" applyBorder="1" applyAlignment="1">
      <alignment horizontal="center"/>
    </xf>
    <xf numFmtId="0" fontId="16" fillId="45" borderId="0" xfId="0" applyFont="1" applyFill="1" applyAlignment="1">
      <alignment horizontal="center"/>
    </xf>
  </cellXfs>
  <cellStyles count="5">
    <cellStyle name="Hipervínculo" xfId="4" builtinId="8"/>
    <cellStyle name="Normal" xfId="0" builtinId="0"/>
    <cellStyle name="Normal 2" xfId="1" xr:uid="{06ADA05A-4E5D-42C1-A22C-29B430B9B27C}"/>
    <cellStyle name="Porcentaje" xfId="2" builtinId="5"/>
    <cellStyle name="Porcentaje 2" xfId="3" xr:uid="{076D3CFC-A97F-4F9D-9A70-7B81FC53D288}"/>
  </cellStyles>
  <dxfs count="0"/>
  <tableStyles count="0" defaultTableStyle="TableStyleMedium2" defaultPivotStyle="PivotStyleLight16"/>
  <colors>
    <mruColors>
      <color rgb="FFFFFF66"/>
      <color rgb="FFCCFF66"/>
      <color rgb="FFFF6600"/>
      <color rgb="FF006666"/>
      <color rgb="FFFF5050"/>
      <color rgb="FF9999FF"/>
      <color rgb="FFFF9900"/>
      <color rgb="FFFF9933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5.png"/><Relationship Id="rId7" Type="http://schemas.openxmlformats.org/officeDocument/2006/relationships/image" Target="../media/image8.png"/><Relationship Id="rId2" Type="http://schemas.microsoft.com/office/2007/relationships/hdphoto" Target="../media/hdphoto1.wdp"/><Relationship Id="rId1" Type="http://schemas.openxmlformats.org/officeDocument/2006/relationships/image" Target="../media/image4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microsoft.com/office/2007/relationships/hdphoto" Target="../media/hdphoto2.wdp"/><Relationship Id="rId9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microsoft.com/office/2007/relationships/hdphoto" Target="../media/hdphoto3.wdp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</xdr:colOff>
      <xdr:row>8</xdr:row>
      <xdr:rowOff>116205</xdr:rowOff>
    </xdr:from>
    <xdr:ext cx="4314825" cy="1163955"/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AB2432ED-F008-46F9-A2B1-FB5A185F5108}"/>
            </a:ext>
          </a:extLst>
        </xdr:cNvPr>
        <xdr:cNvSpPr txBox="1"/>
      </xdr:nvSpPr>
      <xdr:spPr>
        <a:xfrm>
          <a:off x="36195" y="1701165"/>
          <a:ext cx="4314825" cy="116395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i="1">
              <a:solidFill>
                <a:schemeClr val="dk1"/>
              </a:solidFill>
              <a:latin typeface="Times New Roman" panose="02020603050405020304" pitchFamily="18" charset="0"/>
              <a:ea typeface="Calibri"/>
              <a:cs typeface="Times New Roman" panose="02020603050405020304" pitchFamily="18" charset="0"/>
              <a:sym typeface="Calibri"/>
            </a:rPr>
            <a:t>No existen proveedores.</a:t>
          </a:r>
          <a:endParaRPr sz="1200" i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i="1">
              <a:solidFill>
                <a:schemeClr val="dk1"/>
              </a:solidFill>
              <a:latin typeface="Times New Roman" panose="02020603050405020304" pitchFamily="18" charset="0"/>
              <a:ea typeface="Calibri"/>
              <a:cs typeface="Times New Roman" panose="02020603050405020304" pitchFamily="18" charset="0"/>
              <a:sym typeface="Calibri"/>
            </a:rPr>
            <a:t>Se brinda el servicio de compra y venta de abarrotes en un tiempo de entrega promedio de  1 hora y 30 minutos para las empresas de </a:t>
          </a:r>
          <a:r>
            <a:rPr lang="es-PE" sz="1200" i="1">
              <a:solidFill>
                <a:schemeClr val="dk1"/>
              </a:solidFill>
              <a:latin typeface="Times New Roman" panose="02020603050405020304" pitchFamily="18" charset="0"/>
              <a:ea typeface="Calibri"/>
              <a:cs typeface="Times New Roman" panose="02020603050405020304" pitchFamily="18" charset="0"/>
              <a:sym typeface="Calibri"/>
            </a:rPr>
            <a:t>abarrotes de Chancay y los pobladores.</a:t>
          </a:r>
          <a:endParaRPr sz="1200" i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i="1">
              <a:solidFill>
                <a:schemeClr val="dk1"/>
              </a:solidFill>
              <a:latin typeface="Times New Roman" panose="02020603050405020304" pitchFamily="18" charset="0"/>
              <a:ea typeface="Calibri"/>
              <a:cs typeface="Times New Roman" panose="02020603050405020304" pitchFamily="18" charset="0"/>
              <a:sym typeface="Calibri"/>
            </a:rPr>
            <a:t>Se brinda un credito con u</a:t>
          </a:r>
          <a:r>
            <a:rPr lang="en-US" sz="1200" i="1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  <a:sym typeface="Calibri"/>
            </a:rPr>
            <a:t>n plazo de  30 dias a los microempresarios</a:t>
          </a:r>
          <a:r>
            <a:rPr lang="en-US" sz="1200" i="1" baseline="0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  <a:sym typeface="Calibri"/>
            </a:rPr>
            <a:t> para el cobro del servicio</a:t>
          </a:r>
          <a:endParaRPr sz="1200" i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 fLocksWithSheet="0"/>
  </xdr:oneCellAnchor>
  <xdr:oneCellAnchor>
    <xdr:from>
      <xdr:col>4</xdr:col>
      <xdr:colOff>563880</xdr:colOff>
      <xdr:row>8</xdr:row>
      <xdr:rowOff>144780</xdr:rowOff>
    </xdr:from>
    <xdr:ext cx="3970020" cy="1356360"/>
    <xdr:sp macro="" textlink="">
      <xdr:nvSpPr>
        <xdr:cNvPr id="3" name="Shape 7">
          <a:extLst>
            <a:ext uri="{FF2B5EF4-FFF2-40B4-BE49-F238E27FC236}">
              <a16:creationId xmlns:a16="http://schemas.microsoft.com/office/drawing/2014/main" id="{191C003D-0FDD-4107-8787-53D1D4982B43}"/>
            </a:ext>
          </a:extLst>
        </xdr:cNvPr>
        <xdr:cNvSpPr txBox="1"/>
      </xdr:nvSpPr>
      <xdr:spPr>
        <a:xfrm>
          <a:off x="4747260" y="1729740"/>
          <a:ext cx="3970020" cy="13563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i="1">
              <a:solidFill>
                <a:schemeClr val="dk1"/>
              </a:solidFill>
              <a:latin typeface="Times New Roman" panose="02020603050405020304" pitchFamily="18" charset="0"/>
              <a:ea typeface="Calibri"/>
              <a:cs typeface="Times New Roman" panose="02020603050405020304" pitchFamily="18" charset="0"/>
              <a:sym typeface="Calibri"/>
            </a:rPr>
            <a:t>Cabe resaltar que los empleados del área de Sistemas se encargan de darle mantenimiento al aplicativo móvil, así mismo, de mejorar el servicio prestado a los clientes. Además, los empleados del área Comercial se encargaran de mejorar el servicio de comercio electrónico y contribuir en la mejora del sistema del aplicativo.</a:t>
          </a:r>
          <a:endParaRPr sz="1200" i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 fLocksWithSheet="0"/>
  </xdr:oneCellAnchor>
  <xdr:twoCellAnchor editAs="oneCell">
    <xdr:from>
      <xdr:col>0</xdr:col>
      <xdr:colOff>251461</xdr:colOff>
      <xdr:row>1</xdr:row>
      <xdr:rowOff>83820</xdr:rowOff>
    </xdr:from>
    <xdr:to>
      <xdr:col>4</xdr:col>
      <xdr:colOff>91440</xdr:colOff>
      <xdr:row>8</xdr:row>
      <xdr:rowOff>55902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C0405FD-3EC3-4CAA-8276-0BEBD3C29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1" y="281940"/>
          <a:ext cx="4023359" cy="13589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152400</xdr:colOff>
      <xdr:row>31</xdr:row>
      <xdr:rowOff>28575</xdr:rowOff>
    </xdr:from>
    <xdr:ext cx="3688080" cy="725805"/>
    <xdr:sp macro="" textlink="">
      <xdr:nvSpPr>
        <xdr:cNvPr id="2" name="Shape 8">
          <a:extLst>
            <a:ext uri="{FF2B5EF4-FFF2-40B4-BE49-F238E27FC236}">
              <a16:creationId xmlns:a16="http://schemas.microsoft.com/office/drawing/2014/main" id="{3BEFAB38-5BDC-4484-869E-B0A28CA71F5F}"/>
            </a:ext>
          </a:extLst>
        </xdr:cNvPr>
        <xdr:cNvSpPr txBox="1"/>
      </xdr:nvSpPr>
      <xdr:spPr>
        <a:xfrm>
          <a:off x="7574280" y="5880735"/>
          <a:ext cx="3688080" cy="725805"/>
        </a:xfrm>
        <a:prstGeom prst="rect">
          <a:avLst/>
        </a:prstGeom>
        <a:solidFill>
          <a:schemeClr val="bg1">
            <a:lumMod val="95000"/>
          </a:schemeClr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i="1">
              <a:solidFill>
                <a:schemeClr val="dk1"/>
              </a:solidFill>
              <a:latin typeface="Times New Roman" panose="02020603050405020304" pitchFamily="18" charset="0"/>
              <a:ea typeface="Calibri"/>
              <a:cs typeface="Times New Roman" panose="02020603050405020304" pitchFamily="18" charset="0"/>
              <a:sym typeface="Calibri"/>
            </a:rPr>
            <a:t>Una vez identificado la cantidad máxima de préstamo que la empresa puede realizar, se realizo a traves la</a:t>
          </a:r>
          <a:r>
            <a:rPr lang="en-US" sz="1100" i="1" baseline="0">
              <a:solidFill>
                <a:schemeClr val="dk1"/>
              </a:solidFill>
              <a:latin typeface="Times New Roman" panose="02020603050405020304" pitchFamily="18" charset="0"/>
              <a:ea typeface="Calibri"/>
              <a:cs typeface="Times New Roman" panose="02020603050405020304" pitchFamily="18" charset="0"/>
              <a:sym typeface="Calibri"/>
            </a:rPr>
            <a:t> auditoria del servicio de contabilidad </a:t>
          </a:r>
          <a:r>
            <a:rPr lang="en-US" sz="1100" i="1">
              <a:solidFill>
                <a:schemeClr val="dk1"/>
              </a:solidFill>
              <a:latin typeface="Times New Roman" panose="02020603050405020304" pitchFamily="18" charset="0"/>
              <a:ea typeface="Calibri"/>
              <a:cs typeface="Times New Roman" panose="02020603050405020304" pitchFamily="18" charset="0"/>
              <a:sym typeface="Calibri"/>
            </a:rPr>
            <a:t>que el porcentaje de préstamo sea de 30%,.</a:t>
          </a:r>
          <a:endParaRPr sz="1100" i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 fLocksWithSheet="0"/>
  </xdr:oneCellAnchor>
  <xdr:oneCellAnchor>
    <xdr:from>
      <xdr:col>4</xdr:col>
      <xdr:colOff>32385</xdr:colOff>
      <xdr:row>35</xdr:row>
      <xdr:rowOff>45720</xdr:rowOff>
    </xdr:from>
    <xdr:ext cx="2543175" cy="476250"/>
    <xdr:pic>
      <xdr:nvPicPr>
        <xdr:cNvPr id="3" name="image2.png">
          <a:extLst>
            <a:ext uri="{FF2B5EF4-FFF2-40B4-BE49-F238E27FC236}">
              <a16:creationId xmlns:a16="http://schemas.microsoft.com/office/drawing/2014/main" id="{56F81976-9AEA-45C0-983B-02DC1A49A77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75785" y="6690360"/>
          <a:ext cx="2543175" cy="476250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5</xdr:row>
      <xdr:rowOff>129540</xdr:rowOff>
    </xdr:from>
    <xdr:to>
      <xdr:col>9</xdr:col>
      <xdr:colOff>729614</xdr:colOff>
      <xdr:row>10</xdr:row>
      <xdr:rowOff>116205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FF2C3A5-7F09-40F5-B417-63A78BF610A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  <a:ext uri="{FF2B5EF4-FFF2-40B4-BE49-F238E27FC236}">
              <a16:creationId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m="http://schemas.openxmlformats.org/officeDocument/2006/math" xmlns:wp14="http://schemas.microsoft.com/office/word/2010/wordprocessingDrawing" xmlns:wp="http://schemas.openxmlformats.org/drawingml/2006/wordprocessingDrawing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pic="http://schemas.openxmlformats.org/drawingml/2006/picture" xmlns="" xmlns:o="urn:schemas-microsoft-com:office:office" xmlns:v="urn:schemas-microsoft-com:vml" xmlns:w10="urn:schemas-microsoft-com:office:word" xmlns:w="http://schemas.openxmlformats.org/wordprocessingml/2006/main" xmlns:a14="http://schemas.microsoft.com/office/drawing/2010/main" xmlns:c="http://schemas.openxmlformats.org/drawingml/2006/chart" xmlns:a16="http://schemas.microsoft.com/office/drawing/2014/main" xmlns:arto="http://schemas.microsoft.com/office/word/2006/arto" xmlns:lc="http://schemas.openxmlformats.org/drawingml/2006/lockedCanvas" id="{EBB4AC78-A4C7-7447-A49B-748C420D27F3}"/>
            </a:ext>
            <a:ext uri="{147F2762-F138-4A5C-976F-8EAC2B608ADB}">
              <a16:predDERef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m="http://schemas.openxmlformats.org/officeDocument/2006/math" xmlns:wp14="http://schemas.microsoft.com/office/word/2010/wordprocessingDrawing" xmlns:wp="http://schemas.openxmlformats.org/drawingml/2006/wordprocessingDrawing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pic="http://schemas.openxmlformats.org/drawingml/2006/picture" xmlns="" xmlns:o="urn:schemas-microsoft-com:office:office" xmlns:v="urn:schemas-microsoft-com:vml" xmlns:w10="urn:schemas-microsoft-com:office:word" xmlns:w="http://schemas.openxmlformats.org/wordprocessingml/2006/main" xmlns:a14="http://schemas.microsoft.com/office/drawing/2010/main" xmlns:c="http://schemas.openxmlformats.org/drawingml/2006/chart" xmlns:a16="http://schemas.microsoft.com/office/drawing/2014/main" xmlns:arto="http://schemas.microsoft.com/office/word/2006/arto" xmlns:lc="http://schemas.openxmlformats.org/drawingml/2006/lockedCanvas" pred="{4B39C0A7-3C55-456E-AE77-5589B12A749F}"/>
            </a:ext>
          </a:extLst>
        </a:blip>
        <a:srcRect t="11668" b="16108"/>
        <a:stretch/>
      </xdr:blipFill>
      <xdr:spPr bwMode="auto">
        <a:xfrm>
          <a:off x="6111240" y="1104900"/>
          <a:ext cx="6307454" cy="946785"/>
        </a:xfrm>
        <a:prstGeom prst="rect">
          <a:avLst/>
        </a:prstGeom>
        <a:solidFill>
          <a:srgbClr val="FFFF00"/>
        </a:solidFill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268605</xdr:colOff>
      <xdr:row>8</xdr:row>
      <xdr:rowOff>131445</xdr:rowOff>
    </xdr:from>
    <xdr:to>
      <xdr:col>8</xdr:col>
      <xdr:colOff>698962</xdr:colOff>
      <xdr:row>11</xdr:row>
      <xdr:rowOff>65042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D560D7-658E-4D7F-A253-B8D4F40DA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47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1716405"/>
          <a:ext cx="5970097" cy="527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54699</xdr:colOff>
      <xdr:row>16</xdr:row>
      <xdr:rowOff>123007</xdr:rowOff>
    </xdr:from>
    <xdr:to>
      <xdr:col>13</xdr:col>
      <xdr:colOff>509575</xdr:colOff>
      <xdr:row>19</xdr:row>
      <xdr:rowOff>177980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1BFDDB-69A7-4ACB-8951-827FD13FE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colorTemperature colorTemp="47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2239" y="3094807"/>
          <a:ext cx="4158196" cy="649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1127761</xdr:colOff>
      <xdr:row>11</xdr:row>
      <xdr:rowOff>80356</xdr:rowOff>
    </xdr:from>
    <xdr:to>
      <xdr:col>12</xdr:col>
      <xdr:colOff>716280</xdr:colOff>
      <xdr:row>15</xdr:row>
      <xdr:rowOff>135070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DCB2F61-AFA5-4FE7-84FE-73E61391F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89921" y="2259676"/>
          <a:ext cx="3634739" cy="847194"/>
        </a:xfrm>
        <a:prstGeom prst="rect">
          <a:avLst/>
        </a:prstGeom>
      </xdr:spPr>
    </xdr:pic>
    <xdr:clientData/>
  </xdr:twoCellAnchor>
  <xdr:twoCellAnchor editAs="oneCell">
    <xdr:from>
      <xdr:col>8</xdr:col>
      <xdr:colOff>137160</xdr:colOff>
      <xdr:row>27</xdr:row>
      <xdr:rowOff>30480</xdr:rowOff>
    </xdr:from>
    <xdr:to>
      <xdr:col>10</xdr:col>
      <xdr:colOff>236220</xdr:colOff>
      <xdr:row>46</xdr:row>
      <xdr:rowOff>21817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12969725-2E34-404E-B61F-44B623C90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9320" y="5151120"/>
          <a:ext cx="2293620" cy="3466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7619</xdr:rowOff>
    </xdr:from>
    <xdr:to>
      <xdr:col>7</xdr:col>
      <xdr:colOff>883920</xdr:colOff>
      <xdr:row>33</xdr:row>
      <xdr:rowOff>66974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F8A13A19-4FBD-42DE-AA37-BCC81F3E3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2659"/>
          <a:ext cx="9639300" cy="2422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</xdr:colOff>
      <xdr:row>33</xdr:row>
      <xdr:rowOff>144780</xdr:rowOff>
    </xdr:from>
    <xdr:to>
      <xdr:col>7</xdr:col>
      <xdr:colOff>838200</xdr:colOff>
      <xdr:row>35</xdr:row>
      <xdr:rowOff>9936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DC726380-9C91-4B68-A320-AC6DB7B47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6362700"/>
          <a:ext cx="9585960" cy="2309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68579</xdr:colOff>
      <xdr:row>25</xdr:row>
      <xdr:rowOff>152400</xdr:rowOff>
    </xdr:from>
    <xdr:to>
      <xdr:col>4</xdr:col>
      <xdr:colOff>542924</xdr:colOff>
      <xdr:row>31</xdr:row>
      <xdr:rowOff>83820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C7F3CDBB-D39F-4BB3-97F8-E6ED7C162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" y="4907280"/>
          <a:ext cx="6067425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68580</xdr:colOff>
      <xdr:row>35</xdr:row>
      <xdr:rowOff>45720</xdr:rowOff>
    </xdr:from>
    <xdr:to>
      <xdr:col>5</xdr:col>
      <xdr:colOff>548640</xdr:colOff>
      <xdr:row>39</xdr:row>
      <xdr:rowOff>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22E9A94A-BE86-4BD7-9374-5C494CA3B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6629400"/>
          <a:ext cx="710184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809625</xdr:colOff>
      <xdr:row>4</xdr:row>
      <xdr:rowOff>171450</xdr:rowOff>
    </xdr:from>
    <xdr:to>
      <xdr:col>6</xdr:col>
      <xdr:colOff>796290</xdr:colOff>
      <xdr:row>16</xdr:row>
      <xdr:rowOff>89535</xdr:rowOff>
    </xdr:to>
    <xdr:pic>
      <xdr:nvPicPr>
        <xdr:cNvPr id="2" name="Imagen 1" descr="Tabla&#10;&#10;Descripción generada automáticamente">
          <a:extLst>
            <a:ext uri="{FF2B5EF4-FFF2-40B4-BE49-F238E27FC236}">
              <a16:creationId xmlns:a16="http://schemas.microsoft.com/office/drawing/2014/main" id="{B0E9EBB9-4A25-4F47-B71A-F4D3C365E49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</a14:imgLayer>
              </a14:imgProps>
            </a:ext>
            <a:ext uri="{FF2B5EF4-FFF2-40B4-BE49-F238E27FC236}">
              <a16:creationId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m="http://schemas.openxmlformats.org/officeDocument/2006/math" xmlns:wp14="http://schemas.microsoft.com/office/word/2010/wordprocessingDrawing" xmlns:wp="http://schemas.openxmlformats.org/drawingml/2006/wordprocessingDrawing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pic="http://schemas.openxmlformats.org/drawingml/2006/picture" xmlns="" xmlns:o="urn:schemas-microsoft-com:office:office" xmlns:v="urn:schemas-microsoft-com:vml" xmlns:w10="urn:schemas-microsoft-com:office:word" xmlns:w="http://schemas.openxmlformats.org/wordprocessingml/2006/main" xmlns:a14="http://schemas.microsoft.com/office/drawing/2010/main" xmlns:c="http://schemas.openxmlformats.org/drawingml/2006/chart" xmlns:a16="http://schemas.microsoft.com/office/drawing/2014/main" xmlns:arto="http://schemas.microsoft.com/office/word/2006/arto" xmlns:lc="http://schemas.openxmlformats.org/drawingml/2006/lockedCanvas" id="{4B39C0A7-3C55-456E-AE77-5589B12A749F}"/>
            </a:ext>
          </a:extLst>
        </a:blip>
        <a:stretch>
          <a:fillRect/>
        </a:stretch>
      </xdr:blipFill>
      <xdr:spPr>
        <a:xfrm>
          <a:off x="3872865" y="1162050"/>
          <a:ext cx="3987165" cy="215836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13</xdr:row>
      <xdr:rowOff>91440</xdr:rowOff>
    </xdr:from>
    <xdr:to>
      <xdr:col>1</xdr:col>
      <xdr:colOff>434340</xdr:colOff>
      <xdr:row>35</xdr:row>
      <xdr:rowOff>114300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8FCBD25-A3CF-4FC0-971A-F9991128B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667000"/>
          <a:ext cx="2727960" cy="412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bs.gob.pe/app/pp/EstadisticasSAEEPortal/Paginas/TIActivaTipoCreditoEmpresa.aspx?tip=B" TargetMode="External"/><Relationship Id="rId2" Type="http://schemas.openxmlformats.org/officeDocument/2006/relationships/hyperlink" Target="http://people.stern.nyu.edu/adamodar/New_Home_Page/datafile/Betas.html" TargetMode="External"/><Relationship Id="rId1" Type="http://schemas.openxmlformats.org/officeDocument/2006/relationships/hyperlink" Target="http://people.stern.nyu.edu/adamodar/New_Home_Page/datafile/histretSP.html" TargetMode="External"/><Relationship Id="rId5" Type="http://schemas.openxmlformats.org/officeDocument/2006/relationships/hyperlink" Target="https://gestion.pe/economia/riesgo-pais-de-peru-subio-nueve-puntos-basicos-y-cerro-en-150-puntos-porcentuales-noticia/" TargetMode="External"/><Relationship Id="rId4" Type="http://schemas.openxmlformats.org/officeDocument/2006/relationships/hyperlink" Target="https://finance.yahoo.com/bond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E437-52A9-4550-B13E-7D0CE222B21C}">
  <dimension ref="A1:A5"/>
  <sheetViews>
    <sheetView workbookViewId="0">
      <selection activeCell="A5" sqref="A5"/>
    </sheetView>
  </sheetViews>
  <sheetFormatPr baseColWidth="10" defaultColWidth="11.44140625" defaultRowHeight="14.4" x14ac:dyDescent="0.3"/>
  <sheetData>
    <row r="1" spans="1:1" x14ac:dyDescent="0.3">
      <c r="A1" s="151" t="s">
        <v>0</v>
      </c>
    </row>
    <row r="2" spans="1:1" x14ac:dyDescent="0.3">
      <c r="A2" s="151" t="s">
        <v>1</v>
      </c>
    </row>
    <row r="3" spans="1:1" x14ac:dyDescent="0.3">
      <c r="A3" s="151" t="s">
        <v>2</v>
      </c>
    </row>
    <row r="4" spans="1:1" x14ac:dyDescent="0.3">
      <c r="A4" s="151" t="s">
        <v>3</v>
      </c>
    </row>
    <row r="5" spans="1:1" x14ac:dyDescent="0.3">
      <c r="A5" s="151" t="s">
        <v>4</v>
      </c>
    </row>
  </sheetData>
  <hyperlinks>
    <hyperlink ref="A2" r:id="rId1" xr:uid="{D645D800-FBD6-4645-A75A-C3BE2D59E12E}"/>
    <hyperlink ref="A1" r:id="rId2" xr:uid="{6F4748B1-FDCC-49E6-A4BA-55FD6E914B3B}"/>
    <hyperlink ref="A3" r:id="rId3" xr:uid="{83E0009F-3CCE-427C-9D8E-8AD30F5D66AC}"/>
    <hyperlink ref="A4" r:id="rId4" xr:uid="{9807642F-0B78-44C4-933D-7D3966E1F679}"/>
    <hyperlink ref="A5" r:id="rId5" xr:uid="{1A88B222-5ED7-49D4-9447-BDF32BA152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2658-6CFE-420A-A457-CDBE314D1718}">
  <dimension ref="A1:J28"/>
  <sheetViews>
    <sheetView workbookViewId="0">
      <selection activeCell="D13" sqref="D13"/>
    </sheetView>
  </sheetViews>
  <sheetFormatPr baseColWidth="10" defaultColWidth="11.44140625" defaultRowHeight="14.4" x14ac:dyDescent="0.3"/>
  <cols>
    <col min="1" max="1" width="40.88671875" bestFit="1" customWidth="1"/>
    <col min="2" max="2" width="14.5546875" bestFit="1" customWidth="1"/>
  </cols>
  <sheetData>
    <row r="1" spans="1:10" ht="15.6" x14ac:dyDescent="0.3">
      <c r="A1" s="340" t="s">
        <v>5</v>
      </c>
      <c r="B1" s="340"/>
      <c r="C1" s="225"/>
      <c r="D1" s="225"/>
      <c r="E1" s="225"/>
      <c r="F1" s="226"/>
      <c r="G1" s="55"/>
      <c r="H1" s="55"/>
      <c r="I1" s="55"/>
      <c r="J1" s="55"/>
    </row>
    <row r="2" spans="1:10" ht="15.6" x14ac:dyDescent="0.3">
      <c r="A2" s="64" t="s">
        <v>6</v>
      </c>
      <c r="B2" s="68">
        <f>'EVALUACION ECONOMICA'!F17</f>
        <v>0.48330000000000001</v>
      </c>
      <c r="C2" s="55"/>
      <c r="D2" s="55"/>
      <c r="E2" s="55"/>
      <c r="F2" s="55"/>
      <c r="G2" s="55"/>
      <c r="H2" s="55"/>
      <c r="I2" s="55"/>
      <c r="J2" s="55"/>
    </row>
    <row r="3" spans="1:10" ht="15.6" x14ac:dyDescent="0.3">
      <c r="A3" s="56" t="s">
        <v>7</v>
      </c>
      <c r="B3" s="57">
        <f>((1+B2)^(1/12))-1</f>
        <v>3.3401489207639079E-2</v>
      </c>
      <c r="C3" s="55"/>
      <c r="D3" s="55"/>
      <c r="E3" s="55"/>
      <c r="F3" s="55"/>
      <c r="G3" s="55"/>
      <c r="H3" s="55"/>
      <c r="I3" s="55"/>
      <c r="J3" s="55"/>
    </row>
    <row r="4" spans="1:10" ht="15.6" x14ac:dyDescent="0.3">
      <c r="A4" s="56" t="s">
        <v>8</v>
      </c>
      <c r="B4" s="58">
        <v>700</v>
      </c>
      <c r="C4" s="55"/>
      <c r="D4" s="55"/>
      <c r="E4" s="55"/>
      <c r="F4" s="55"/>
      <c r="G4" s="55"/>
      <c r="H4" s="338" t="s">
        <v>9</v>
      </c>
      <c r="I4" s="339"/>
      <c r="J4" s="339"/>
    </row>
    <row r="5" spans="1:10" ht="15.6" x14ac:dyDescent="0.3">
      <c r="A5" s="56" t="s">
        <v>10</v>
      </c>
      <c r="B5" s="58">
        <v>900</v>
      </c>
      <c r="C5" s="55"/>
      <c r="D5" s="55"/>
      <c r="E5" s="55"/>
      <c r="F5" s="55"/>
      <c r="G5" s="55"/>
      <c r="H5" s="59"/>
      <c r="I5" s="60" t="s">
        <v>11</v>
      </c>
      <c r="J5" s="60" t="s">
        <v>12</v>
      </c>
    </row>
    <row r="6" spans="1:10" ht="15.6" x14ac:dyDescent="0.3">
      <c r="A6" s="56" t="s">
        <v>13</v>
      </c>
      <c r="B6" s="58">
        <f>AVERAGE(B4:B5)</f>
        <v>800</v>
      </c>
      <c r="C6" s="55"/>
      <c r="D6" s="55"/>
      <c r="E6" s="55"/>
      <c r="F6" s="55"/>
      <c r="G6" s="55"/>
      <c r="H6" s="61" t="s">
        <v>14</v>
      </c>
      <c r="I6" s="62">
        <v>1</v>
      </c>
      <c r="J6" s="63">
        <v>3.98</v>
      </c>
    </row>
    <row r="7" spans="1:10" ht="15.6" x14ac:dyDescent="0.3">
      <c r="A7" s="64" t="s">
        <v>15</v>
      </c>
      <c r="B7" s="65">
        <f>B6*3</f>
        <v>2400</v>
      </c>
      <c r="C7" s="55"/>
      <c r="D7" s="55"/>
      <c r="E7" s="55"/>
      <c r="F7" s="55"/>
      <c r="G7" s="55"/>
      <c r="H7" s="55"/>
      <c r="I7" s="55"/>
      <c r="J7" s="55"/>
    </row>
    <row r="8" spans="1:10" ht="15.6" x14ac:dyDescent="0.3">
      <c r="A8" s="66" t="s">
        <v>16</v>
      </c>
      <c r="B8" s="65">
        <f>B7+B6*(((1-((1+B3)^-57))/(B3))+1)</f>
        <v>23469.853255872666</v>
      </c>
      <c r="C8" s="55"/>
      <c r="D8" s="55"/>
      <c r="E8" s="55"/>
      <c r="F8" s="55"/>
      <c r="G8" s="55"/>
      <c r="H8" s="55"/>
      <c r="I8" s="55"/>
      <c r="J8" s="55"/>
    </row>
    <row r="9" spans="1:10" ht="15.6" x14ac:dyDescent="0.3">
      <c r="C9" s="55"/>
      <c r="D9" s="55"/>
      <c r="E9" s="55"/>
      <c r="F9" s="55"/>
      <c r="G9" s="55"/>
      <c r="H9" s="55"/>
      <c r="I9" s="55"/>
      <c r="J9" s="55"/>
    </row>
    <row r="10" spans="1:10" ht="15.6" x14ac:dyDescent="0.3">
      <c r="A10" s="341" t="s">
        <v>17</v>
      </c>
      <c r="B10" s="342"/>
      <c r="C10" s="224"/>
      <c r="D10" s="224"/>
      <c r="E10" s="224"/>
      <c r="F10" s="224"/>
      <c r="G10" s="55"/>
      <c r="H10" s="55"/>
      <c r="I10" s="55"/>
      <c r="J10" s="55"/>
    </row>
    <row r="11" spans="1:10" ht="15.6" x14ac:dyDescent="0.3">
      <c r="A11" s="67" t="s">
        <v>18</v>
      </c>
      <c r="B11" s="203">
        <v>50</v>
      </c>
      <c r="C11" s="55"/>
      <c r="D11" s="55"/>
      <c r="E11" s="55"/>
      <c r="F11" s="55"/>
      <c r="G11" s="55"/>
      <c r="H11" s="55"/>
      <c r="I11" s="55"/>
      <c r="J11" s="55"/>
    </row>
    <row r="12" spans="1:10" ht="15.6" x14ac:dyDescent="0.3">
      <c r="A12" s="67" t="s">
        <v>19</v>
      </c>
      <c r="B12" s="203">
        <f>B11*120</f>
        <v>6000</v>
      </c>
      <c r="G12" s="55"/>
      <c r="H12" s="55"/>
      <c r="I12" s="55"/>
      <c r="J12" s="55"/>
    </row>
    <row r="13" spans="1:10" ht="15.6" x14ac:dyDescent="0.3">
      <c r="A13" s="67" t="s">
        <v>20</v>
      </c>
      <c r="B13" s="218">
        <f>B12*J6</f>
        <v>23880</v>
      </c>
      <c r="C13" s="55"/>
      <c r="D13" s="55"/>
      <c r="E13" s="55"/>
      <c r="F13" s="55"/>
      <c r="G13" s="55"/>
      <c r="H13" s="55"/>
      <c r="I13" s="55"/>
      <c r="J13" s="55"/>
    </row>
    <row r="14" spans="1:10" ht="15.6" x14ac:dyDescent="0.3">
      <c r="A14" s="56" t="s">
        <v>21</v>
      </c>
      <c r="B14" s="88">
        <v>140000</v>
      </c>
      <c r="C14" s="55"/>
      <c r="D14" s="55"/>
      <c r="E14" s="55"/>
      <c r="F14" s="55"/>
      <c r="G14" s="55"/>
      <c r="H14" s="55"/>
      <c r="I14" s="55"/>
      <c r="J14" s="55"/>
    </row>
    <row r="15" spans="1:10" ht="15.6" x14ac:dyDescent="0.3">
      <c r="A15" s="229" t="s">
        <v>22</v>
      </c>
      <c r="B15" s="230">
        <f>SUM(B13:B14)</f>
        <v>163880</v>
      </c>
      <c r="C15" s="55"/>
      <c r="D15" s="55"/>
      <c r="E15" s="55"/>
      <c r="F15" s="55"/>
      <c r="G15" s="55"/>
      <c r="H15" s="55"/>
      <c r="I15" s="55"/>
      <c r="J15" s="55"/>
    </row>
    <row r="16" spans="1:10" ht="15.6" x14ac:dyDescent="0.3">
      <c r="C16" s="55"/>
      <c r="D16" s="55"/>
      <c r="E16" s="55"/>
      <c r="F16" s="55"/>
      <c r="G16" s="55"/>
      <c r="H16" s="55"/>
      <c r="I16" s="55"/>
      <c r="J16" s="55"/>
    </row>
    <row r="17" spans="1:10" ht="15.6" x14ac:dyDescent="0.3">
      <c r="C17" s="55"/>
      <c r="D17" s="55"/>
      <c r="E17" s="55"/>
      <c r="F17" s="55"/>
      <c r="G17" s="55"/>
      <c r="H17" s="55"/>
      <c r="I17" s="55"/>
      <c r="J17" s="55"/>
    </row>
    <row r="18" spans="1:10" ht="15.6" x14ac:dyDescent="0.3">
      <c r="A18" t="s">
        <v>23</v>
      </c>
      <c r="C18" s="55"/>
      <c r="D18" s="55"/>
      <c r="E18" s="55"/>
      <c r="F18" s="55"/>
      <c r="G18" s="55"/>
      <c r="H18" s="55"/>
      <c r="I18" s="55"/>
      <c r="J18" s="55"/>
    </row>
    <row r="19" spans="1:10" x14ac:dyDescent="0.3">
      <c r="A19" t="s">
        <v>24</v>
      </c>
    </row>
    <row r="20" spans="1:10" x14ac:dyDescent="0.3">
      <c r="A20" t="s">
        <v>25</v>
      </c>
    </row>
    <row r="21" spans="1:10" x14ac:dyDescent="0.3">
      <c r="A21" t="s">
        <v>26</v>
      </c>
    </row>
    <row r="22" spans="1:10" x14ac:dyDescent="0.3">
      <c r="A22" t="s">
        <v>27</v>
      </c>
    </row>
    <row r="23" spans="1:10" x14ac:dyDescent="0.3">
      <c r="A23" t="s">
        <v>28</v>
      </c>
    </row>
    <row r="24" spans="1:10" x14ac:dyDescent="0.3">
      <c r="A24" t="s">
        <v>29</v>
      </c>
    </row>
    <row r="26" spans="1:10" x14ac:dyDescent="0.3">
      <c r="A26" t="s">
        <v>30</v>
      </c>
    </row>
    <row r="27" spans="1:10" x14ac:dyDescent="0.3">
      <c r="A27" t="s">
        <v>31</v>
      </c>
    </row>
    <row r="28" spans="1:10" x14ac:dyDescent="0.3">
      <c r="A28" t="s">
        <v>32</v>
      </c>
    </row>
  </sheetData>
  <mergeCells count="3">
    <mergeCell ref="H4:J4"/>
    <mergeCell ref="A1:B1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F3CA-D609-41F6-A887-FFAE56DF3EF9}">
  <dimension ref="A1:N61"/>
  <sheetViews>
    <sheetView topLeftCell="A34" workbookViewId="0">
      <selection activeCell="A46" sqref="A46:A55"/>
    </sheetView>
  </sheetViews>
  <sheetFormatPr baseColWidth="10" defaultColWidth="11.44140625" defaultRowHeight="14.4" x14ac:dyDescent="0.3"/>
  <cols>
    <col min="1" max="1" width="27.33203125" customWidth="1"/>
    <col min="2" max="2" width="24.33203125" customWidth="1"/>
    <col min="3" max="3" width="25.44140625" customWidth="1"/>
    <col min="4" max="4" width="25.6640625" customWidth="1"/>
    <col min="5" max="5" width="20.88671875" customWidth="1"/>
    <col min="6" max="6" width="17.33203125" customWidth="1"/>
  </cols>
  <sheetData>
    <row r="1" spans="1:14" ht="15.6" x14ac:dyDescent="0.3">
      <c r="A1" s="350" t="s">
        <v>33</v>
      </c>
      <c r="B1" s="351"/>
      <c r="C1" s="351"/>
      <c r="D1" s="351"/>
      <c r="E1" s="351"/>
      <c r="F1" s="352"/>
      <c r="H1" s="353"/>
      <c r="I1" s="353"/>
      <c r="J1" s="353"/>
      <c r="K1" s="353"/>
      <c r="L1" s="353"/>
      <c r="M1" s="353"/>
      <c r="N1" s="353"/>
    </row>
    <row r="2" spans="1:14" ht="16.2" customHeight="1" x14ac:dyDescent="0.3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2" t="s">
        <v>39</v>
      </c>
      <c r="H2" s="3"/>
      <c r="I2" s="4"/>
      <c r="J2" s="4"/>
      <c r="K2" s="3"/>
      <c r="L2" s="354"/>
      <c r="M2" s="354"/>
      <c r="N2" s="3"/>
    </row>
    <row r="3" spans="1:14" ht="15.6" x14ac:dyDescent="0.3">
      <c r="A3" s="347" t="s">
        <v>40</v>
      </c>
      <c r="B3" s="5" t="s">
        <v>41</v>
      </c>
      <c r="C3" s="6">
        <v>1</v>
      </c>
      <c r="D3" s="7">
        <v>1200</v>
      </c>
      <c r="E3" s="8">
        <f>C3*D3</f>
        <v>1200</v>
      </c>
      <c r="F3" s="5">
        <v>5</v>
      </c>
      <c r="H3" s="9"/>
      <c r="I3" s="10"/>
      <c r="J3" s="11"/>
      <c r="K3" s="12"/>
      <c r="L3" s="346"/>
      <c r="M3" s="346"/>
      <c r="N3" s="11"/>
    </row>
    <row r="4" spans="1:14" ht="15.6" x14ac:dyDescent="0.3">
      <c r="A4" s="348"/>
      <c r="B4" s="13" t="s">
        <v>42</v>
      </c>
      <c r="C4" s="14">
        <v>1</v>
      </c>
      <c r="D4" s="15">
        <v>300</v>
      </c>
      <c r="E4" s="16">
        <f>C4*D4</f>
        <v>300</v>
      </c>
      <c r="F4" s="13">
        <v>5</v>
      </c>
      <c r="H4" s="9"/>
      <c r="I4" s="9"/>
      <c r="J4" s="11"/>
      <c r="K4" s="12"/>
      <c r="L4" s="346"/>
      <c r="M4" s="346"/>
      <c r="N4" s="11"/>
    </row>
    <row r="5" spans="1:14" ht="15.6" x14ac:dyDescent="0.3">
      <c r="A5" s="348"/>
      <c r="B5" s="13" t="s">
        <v>43</v>
      </c>
      <c r="C5" s="14">
        <v>2</v>
      </c>
      <c r="D5" s="15">
        <v>200</v>
      </c>
      <c r="E5" s="16">
        <f>C5*D5</f>
        <v>400</v>
      </c>
      <c r="F5" s="13">
        <v>5</v>
      </c>
      <c r="H5" s="9"/>
      <c r="I5" s="4"/>
      <c r="J5" s="11"/>
      <c r="K5" s="12"/>
      <c r="L5" s="346"/>
      <c r="M5" s="346"/>
      <c r="N5" s="11"/>
    </row>
    <row r="6" spans="1:14" ht="15.6" x14ac:dyDescent="0.3">
      <c r="A6" s="348"/>
      <c r="B6" s="13" t="s">
        <v>44</v>
      </c>
      <c r="C6" s="14">
        <v>2</v>
      </c>
      <c r="D6" s="15">
        <v>120</v>
      </c>
      <c r="E6" s="16">
        <f>C6*D6</f>
        <v>240</v>
      </c>
      <c r="F6" s="13">
        <v>5</v>
      </c>
      <c r="H6" s="9"/>
      <c r="I6" s="17"/>
      <c r="J6" s="11"/>
      <c r="K6" s="12"/>
      <c r="L6" s="346"/>
      <c r="M6" s="346"/>
      <c r="N6" s="11"/>
    </row>
    <row r="7" spans="1:14" ht="15.6" x14ac:dyDescent="0.3">
      <c r="A7" s="348"/>
      <c r="B7" s="13" t="s">
        <v>45</v>
      </c>
      <c r="C7" s="14">
        <v>2</v>
      </c>
      <c r="D7" s="15">
        <v>1400</v>
      </c>
      <c r="E7" s="16">
        <f t="shared" ref="E7:E8" si="0">C7*D7</f>
        <v>2800</v>
      </c>
      <c r="F7" s="13">
        <v>5</v>
      </c>
      <c r="H7" s="9"/>
      <c r="I7" s="9"/>
      <c r="J7" s="11"/>
      <c r="K7" s="12"/>
      <c r="L7" s="12"/>
      <c r="M7" s="12"/>
      <c r="N7" s="11"/>
    </row>
    <row r="8" spans="1:14" ht="15.6" x14ac:dyDescent="0.3">
      <c r="A8" s="348"/>
      <c r="B8" s="13" t="s">
        <v>46</v>
      </c>
      <c r="C8" s="14">
        <v>10</v>
      </c>
      <c r="D8" s="15">
        <v>250</v>
      </c>
      <c r="E8" s="16">
        <f t="shared" si="0"/>
        <v>2500</v>
      </c>
      <c r="F8" s="13">
        <v>5</v>
      </c>
      <c r="H8" s="9"/>
      <c r="I8" s="4"/>
      <c r="J8" s="11"/>
      <c r="K8" s="12"/>
      <c r="L8" s="12"/>
      <c r="M8" s="12"/>
      <c r="N8" s="11"/>
    </row>
    <row r="9" spans="1:14" ht="15.6" x14ac:dyDescent="0.3">
      <c r="A9" s="348"/>
      <c r="B9" s="13" t="s">
        <v>47</v>
      </c>
      <c r="C9" s="14">
        <v>2</v>
      </c>
      <c r="D9" s="15">
        <v>100</v>
      </c>
      <c r="E9" s="16">
        <f>C9*D9</f>
        <v>200</v>
      </c>
      <c r="F9" s="13">
        <v>5</v>
      </c>
      <c r="H9" s="9"/>
      <c r="I9" s="17"/>
      <c r="J9" s="11"/>
      <c r="K9" s="12"/>
      <c r="L9" s="346"/>
      <c r="M9" s="346"/>
      <c r="N9" s="11"/>
    </row>
    <row r="10" spans="1:14" ht="15.6" x14ac:dyDescent="0.3">
      <c r="A10" s="349"/>
      <c r="B10" s="18" t="s">
        <v>40</v>
      </c>
      <c r="C10" s="19">
        <v>1</v>
      </c>
      <c r="D10" s="20">
        <v>700</v>
      </c>
      <c r="E10" s="21">
        <f>C10*D10</f>
        <v>700</v>
      </c>
      <c r="F10" s="18">
        <v>5</v>
      </c>
      <c r="H10" s="9"/>
      <c r="I10" s="9"/>
      <c r="J10" s="11"/>
      <c r="K10" s="12"/>
      <c r="L10" s="346"/>
      <c r="M10" s="346"/>
      <c r="N10" s="11"/>
    </row>
    <row r="11" spans="1:14" ht="15.6" x14ac:dyDescent="0.3">
      <c r="A11" s="343" t="s">
        <v>48</v>
      </c>
      <c r="B11" s="5" t="s">
        <v>49</v>
      </c>
      <c r="C11" s="6">
        <v>4</v>
      </c>
      <c r="D11" s="7">
        <v>1000</v>
      </c>
      <c r="E11" s="8">
        <f>C11*D11</f>
        <v>4000</v>
      </c>
      <c r="F11" s="5">
        <v>5</v>
      </c>
      <c r="H11" s="9"/>
      <c r="I11" s="4"/>
      <c r="J11" s="11"/>
      <c r="K11" s="12"/>
      <c r="L11" s="346"/>
      <c r="M11" s="346"/>
      <c r="N11" s="11"/>
    </row>
    <row r="12" spans="1:14" ht="15.6" x14ac:dyDescent="0.3">
      <c r="A12" s="344"/>
      <c r="B12" s="13" t="s">
        <v>50</v>
      </c>
      <c r="C12" s="14">
        <v>4</v>
      </c>
      <c r="D12" s="15">
        <v>4000</v>
      </c>
      <c r="E12" s="16">
        <f>C12*D12</f>
        <v>16000</v>
      </c>
      <c r="F12" s="13">
        <v>2</v>
      </c>
      <c r="H12" s="9"/>
      <c r="I12" s="17"/>
      <c r="J12" s="11"/>
      <c r="K12" s="12"/>
      <c r="L12" s="346"/>
      <c r="M12" s="346"/>
      <c r="N12" s="11"/>
    </row>
    <row r="13" spans="1:14" ht="15.6" x14ac:dyDescent="0.3">
      <c r="A13" s="344"/>
      <c r="B13" s="13" t="s">
        <v>51</v>
      </c>
      <c r="C13" s="14">
        <v>4</v>
      </c>
      <c r="D13" s="15">
        <v>400</v>
      </c>
      <c r="E13" s="16">
        <f t="shared" ref="E13:E55" si="1">C13*D13</f>
        <v>1600</v>
      </c>
      <c r="F13" s="13">
        <v>5</v>
      </c>
      <c r="H13" s="9"/>
      <c r="I13" s="9"/>
      <c r="J13" s="11"/>
      <c r="K13" s="12"/>
      <c r="L13" s="22"/>
      <c r="M13" s="22"/>
      <c r="N13" s="11"/>
    </row>
    <row r="14" spans="1:14" ht="16.2" customHeight="1" x14ac:dyDescent="0.3">
      <c r="A14" s="345"/>
      <c r="B14" s="18" t="s">
        <v>52</v>
      </c>
      <c r="C14" s="19">
        <v>2</v>
      </c>
      <c r="D14" s="20">
        <v>1000</v>
      </c>
      <c r="E14" s="21">
        <f t="shared" si="1"/>
        <v>2000</v>
      </c>
      <c r="F14" s="18">
        <v>5</v>
      </c>
      <c r="H14" s="9"/>
      <c r="I14" s="4"/>
      <c r="J14" s="11"/>
      <c r="K14" s="12"/>
      <c r="L14" s="22"/>
      <c r="M14" s="22"/>
      <c r="N14" s="11"/>
    </row>
    <row r="15" spans="1:14" ht="15.6" x14ac:dyDescent="0.3">
      <c r="A15" s="347" t="s">
        <v>53</v>
      </c>
      <c r="B15" s="5" t="s">
        <v>49</v>
      </c>
      <c r="C15" s="6">
        <v>1</v>
      </c>
      <c r="D15" s="7">
        <v>1000</v>
      </c>
      <c r="E15" s="8">
        <f t="shared" si="1"/>
        <v>1000</v>
      </c>
      <c r="F15" s="5">
        <v>5</v>
      </c>
      <c r="H15" s="9"/>
      <c r="I15" s="17"/>
      <c r="J15" s="11"/>
      <c r="K15" s="12"/>
      <c r="L15" s="22"/>
      <c r="M15" s="22"/>
      <c r="N15" s="11"/>
    </row>
    <row r="16" spans="1:14" ht="15.6" x14ac:dyDescent="0.3">
      <c r="A16" s="348"/>
      <c r="B16" s="13" t="s">
        <v>51</v>
      </c>
      <c r="C16" s="14">
        <v>1</v>
      </c>
      <c r="D16" s="15">
        <v>400</v>
      </c>
      <c r="E16" s="16">
        <f t="shared" si="1"/>
        <v>400</v>
      </c>
      <c r="F16" s="13">
        <v>5</v>
      </c>
      <c r="H16" s="9"/>
      <c r="I16" s="9"/>
      <c r="J16" s="11"/>
      <c r="K16" s="12"/>
      <c r="L16" s="22"/>
      <c r="M16" s="22"/>
      <c r="N16" s="11"/>
    </row>
    <row r="17" spans="1:14" ht="15.6" x14ac:dyDescent="0.3">
      <c r="A17" s="348"/>
      <c r="B17" s="13" t="s">
        <v>50</v>
      </c>
      <c r="C17" s="14">
        <v>1</v>
      </c>
      <c r="D17" s="15">
        <v>4000</v>
      </c>
      <c r="E17" s="16">
        <f t="shared" si="1"/>
        <v>4000</v>
      </c>
      <c r="F17" s="13">
        <v>2</v>
      </c>
      <c r="H17" s="9"/>
      <c r="I17" s="9"/>
      <c r="J17" s="11"/>
      <c r="K17" s="12"/>
      <c r="L17" s="22"/>
      <c r="M17" s="22"/>
      <c r="N17" s="11"/>
    </row>
    <row r="18" spans="1:14" ht="16.2" customHeight="1" x14ac:dyDescent="0.3">
      <c r="A18" s="348"/>
      <c r="B18" s="13" t="s">
        <v>54</v>
      </c>
      <c r="C18" s="14">
        <v>1</v>
      </c>
      <c r="D18" s="15">
        <v>1500</v>
      </c>
      <c r="E18" s="16">
        <f t="shared" si="1"/>
        <v>1500</v>
      </c>
      <c r="F18" s="13">
        <v>5</v>
      </c>
      <c r="H18" s="9"/>
      <c r="I18" s="9"/>
      <c r="J18" s="11"/>
      <c r="K18" s="12"/>
      <c r="L18" s="22"/>
      <c r="M18" s="22"/>
      <c r="N18" s="11"/>
    </row>
    <row r="19" spans="1:14" ht="15.6" x14ac:dyDescent="0.3">
      <c r="A19" s="348"/>
      <c r="B19" s="13" t="s">
        <v>55</v>
      </c>
      <c r="C19" s="14">
        <v>2</v>
      </c>
      <c r="D19" s="15">
        <v>1300</v>
      </c>
      <c r="E19" s="16">
        <f t="shared" si="1"/>
        <v>2600</v>
      </c>
      <c r="F19" s="13">
        <v>5</v>
      </c>
      <c r="H19" s="9"/>
      <c r="I19" s="9"/>
      <c r="J19" s="11"/>
      <c r="K19" s="12"/>
      <c r="L19" s="22"/>
      <c r="M19" s="22"/>
      <c r="N19" s="11"/>
    </row>
    <row r="20" spans="1:14" ht="15.6" x14ac:dyDescent="0.3">
      <c r="A20" s="348"/>
      <c r="B20" s="13" t="s">
        <v>56</v>
      </c>
      <c r="C20" s="14">
        <v>1</v>
      </c>
      <c r="D20" s="15">
        <v>500</v>
      </c>
      <c r="E20" s="16">
        <f t="shared" si="1"/>
        <v>500</v>
      </c>
      <c r="F20" s="13">
        <v>5</v>
      </c>
      <c r="H20" s="9"/>
      <c r="I20" s="9"/>
      <c r="J20" s="11"/>
      <c r="K20" s="12"/>
      <c r="L20" s="22"/>
      <c r="M20" s="22"/>
      <c r="N20" s="11"/>
    </row>
    <row r="21" spans="1:14" ht="15.6" x14ac:dyDescent="0.3">
      <c r="A21" s="349"/>
      <c r="B21" s="18" t="s">
        <v>52</v>
      </c>
      <c r="C21" s="19">
        <v>1</v>
      </c>
      <c r="D21" s="20">
        <v>1000</v>
      </c>
      <c r="E21" s="21">
        <f t="shared" si="1"/>
        <v>1000</v>
      </c>
      <c r="F21" s="18">
        <v>5</v>
      </c>
      <c r="H21" s="9"/>
      <c r="I21" s="9"/>
      <c r="J21" s="11"/>
      <c r="K21" s="12"/>
      <c r="L21" s="22"/>
      <c r="M21" s="22"/>
      <c r="N21" s="11"/>
    </row>
    <row r="22" spans="1:14" ht="15.6" x14ac:dyDescent="0.3">
      <c r="A22" s="347" t="s">
        <v>57</v>
      </c>
      <c r="B22" s="5" t="s">
        <v>54</v>
      </c>
      <c r="C22" s="6">
        <v>2</v>
      </c>
      <c r="D22" s="7">
        <v>1500</v>
      </c>
      <c r="E22" s="8">
        <f t="shared" si="1"/>
        <v>3000</v>
      </c>
      <c r="F22" s="5">
        <v>5</v>
      </c>
      <c r="H22" s="9"/>
      <c r="I22" s="9"/>
      <c r="J22" s="11"/>
      <c r="K22" s="12"/>
      <c r="L22" s="22"/>
      <c r="M22" s="22"/>
      <c r="N22" s="11"/>
    </row>
    <row r="23" spans="1:14" ht="15.6" x14ac:dyDescent="0.3">
      <c r="A23" s="348"/>
      <c r="B23" s="13" t="s">
        <v>50</v>
      </c>
      <c r="C23" s="14">
        <v>2</v>
      </c>
      <c r="D23" s="15">
        <v>4000</v>
      </c>
      <c r="E23" s="16">
        <f t="shared" si="1"/>
        <v>8000</v>
      </c>
      <c r="F23" s="13">
        <v>2</v>
      </c>
      <c r="H23" s="9"/>
      <c r="I23" s="9"/>
      <c r="J23" s="11"/>
      <c r="K23" s="12"/>
      <c r="L23" s="22"/>
      <c r="M23" s="22"/>
      <c r="N23" s="11"/>
    </row>
    <row r="24" spans="1:14" ht="15.6" x14ac:dyDescent="0.3">
      <c r="A24" s="348"/>
      <c r="B24" s="13" t="s">
        <v>49</v>
      </c>
      <c r="C24" s="14">
        <v>2</v>
      </c>
      <c r="D24" s="15">
        <v>1000</v>
      </c>
      <c r="E24" s="16">
        <f t="shared" si="1"/>
        <v>2000</v>
      </c>
      <c r="F24" s="13">
        <v>5</v>
      </c>
      <c r="H24" s="9"/>
      <c r="I24" s="9"/>
      <c r="J24" s="11"/>
      <c r="K24" s="12"/>
      <c r="L24" s="12"/>
      <c r="M24" s="12"/>
      <c r="N24" s="11"/>
    </row>
    <row r="25" spans="1:14" ht="15.6" x14ac:dyDescent="0.3">
      <c r="A25" s="348"/>
      <c r="B25" s="13" t="s">
        <v>52</v>
      </c>
      <c r="C25" s="14">
        <v>2</v>
      </c>
      <c r="D25" s="15">
        <v>1000</v>
      </c>
      <c r="E25" s="16">
        <f t="shared" si="1"/>
        <v>2000</v>
      </c>
      <c r="F25" s="13">
        <v>5</v>
      </c>
      <c r="H25" s="9"/>
      <c r="I25" s="9"/>
      <c r="J25" s="11"/>
      <c r="K25" s="12"/>
      <c r="L25" s="22"/>
      <c r="M25" s="22"/>
      <c r="N25" s="11"/>
    </row>
    <row r="26" spans="1:14" ht="16.2" customHeight="1" x14ac:dyDescent="0.3">
      <c r="A26" s="348"/>
      <c r="B26" s="13" t="s">
        <v>55</v>
      </c>
      <c r="C26" s="14">
        <v>2</v>
      </c>
      <c r="D26" s="15">
        <v>1300</v>
      </c>
      <c r="E26" s="16">
        <f t="shared" si="1"/>
        <v>2600</v>
      </c>
      <c r="F26" s="13">
        <v>5</v>
      </c>
      <c r="H26" s="9"/>
      <c r="I26" s="9"/>
      <c r="J26" s="11"/>
      <c r="K26" s="12"/>
      <c r="L26" s="22"/>
      <c r="M26" s="22"/>
      <c r="N26" s="11"/>
    </row>
    <row r="27" spans="1:14" ht="15.6" x14ac:dyDescent="0.3">
      <c r="A27" s="348"/>
      <c r="B27" s="13" t="s">
        <v>56</v>
      </c>
      <c r="C27" s="14">
        <v>1</v>
      </c>
      <c r="D27" s="15">
        <v>500</v>
      </c>
      <c r="E27" s="16">
        <f t="shared" si="1"/>
        <v>500</v>
      </c>
      <c r="F27" s="13">
        <v>5</v>
      </c>
      <c r="H27" s="9"/>
      <c r="I27" s="9"/>
      <c r="J27" s="11"/>
      <c r="K27" s="12"/>
      <c r="L27" s="22"/>
      <c r="M27" s="22"/>
      <c r="N27" s="11"/>
    </row>
    <row r="28" spans="1:14" ht="15.6" x14ac:dyDescent="0.3">
      <c r="A28" s="348"/>
      <c r="B28" s="13" t="s">
        <v>51</v>
      </c>
      <c r="C28" s="14">
        <v>4</v>
      </c>
      <c r="D28" s="15">
        <v>400</v>
      </c>
      <c r="E28" s="16">
        <f t="shared" si="1"/>
        <v>1600</v>
      </c>
      <c r="F28" s="13">
        <v>5</v>
      </c>
      <c r="H28" s="9"/>
      <c r="I28" s="9"/>
      <c r="J28" s="11"/>
      <c r="K28" s="12"/>
      <c r="L28" s="22"/>
      <c r="M28" s="22"/>
      <c r="N28" s="11"/>
    </row>
    <row r="29" spans="1:14" ht="15.6" x14ac:dyDescent="0.3">
      <c r="A29" s="349"/>
      <c r="B29" s="18" t="s">
        <v>58</v>
      </c>
      <c r="C29" s="19">
        <v>10</v>
      </c>
      <c r="D29" s="20">
        <v>500</v>
      </c>
      <c r="E29" s="21">
        <f t="shared" si="1"/>
        <v>5000</v>
      </c>
      <c r="F29" s="18">
        <v>5</v>
      </c>
      <c r="H29" s="9"/>
      <c r="I29" s="9"/>
      <c r="J29" s="11"/>
      <c r="K29" s="12"/>
      <c r="L29" s="22"/>
      <c r="M29" s="22"/>
      <c r="N29" s="11"/>
    </row>
    <row r="30" spans="1:14" ht="15.6" x14ac:dyDescent="0.3">
      <c r="A30" s="347" t="s">
        <v>59</v>
      </c>
      <c r="B30" s="5" t="s">
        <v>60</v>
      </c>
      <c r="C30" s="6">
        <v>1</v>
      </c>
      <c r="D30" s="7">
        <v>1500</v>
      </c>
      <c r="E30" s="8">
        <f t="shared" si="1"/>
        <v>1500</v>
      </c>
      <c r="F30" s="5">
        <v>5</v>
      </c>
      <c r="H30" s="9"/>
      <c r="I30" s="9"/>
      <c r="J30" s="11"/>
      <c r="K30" s="12"/>
      <c r="L30" s="22"/>
      <c r="M30" s="22"/>
      <c r="N30" s="11"/>
    </row>
    <row r="31" spans="1:14" ht="15.6" x14ac:dyDescent="0.3">
      <c r="A31" s="348"/>
      <c r="B31" s="13" t="s">
        <v>61</v>
      </c>
      <c r="C31" s="14">
        <v>3</v>
      </c>
      <c r="D31" s="15">
        <v>100</v>
      </c>
      <c r="E31" s="16">
        <f t="shared" si="1"/>
        <v>300</v>
      </c>
      <c r="F31" s="13">
        <v>2</v>
      </c>
      <c r="H31" s="9"/>
      <c r="I31" s="9"/>
      <c r="J31" s="11"/>
      <c r="K31" s="12"/>
      <c r="L31" s="12"/>
      <c r="M31" s="12"/>
      <c r="N31" s="11"/>
    </row>
    <row r="32" spans="1:14" ht="15.6" x14ac:dyDescent="0.3">
      <c r="A32" s="348"/>
      <c r="B32" s="13" t="s">
        <v>52</v>
      </c>
      <c r="C32" s="14">
        <v>3</v>
      </c>
      <c r="D32" s="15">
        <v>1000</v>
      </c>
      <c r="E32" s="16">
        <f t="shared" si="1"/>
        <v>3000</v>
      </c>
      <c r="F32" s="13">
        <v>5</v>
      </c>
      <c r="H32" s="9"/>
      <c r="I32" s="9"/>
      <c r="J32" s="11"/>
      <c r="K32" s="12"/>
      <c r="L32" s="22"/>
      <c r="M32" s="22"/>
      <c r="N32" s="11"/>
    </row>
    <row r="33" spans="1:14" ht="15.6" x14ac:dyDescent="0.3">
      <c r="A33" s="348"/>
      <c r="B33" s="13" t="s">
        <v>62</v>
      </c>
      <c r="C33" s="14">
        <v>1</v>
      </c>
      <c r="D33" s="15">
        <v>250</v>
      </c>
      <c r="E33" s="16">
        <f t="shared" si="1"/>
        <v>250</v>
      </c>
      <c r="F33" s="13">
        <v>5</v>
      </c>
      <c r="H33" s="9"/>
      <c r="I33" s="9"/>
      <c r="J33" s="11"/>
      <c r="K33" s="12"/>
      <c r="L33" s="22"/>
      <c r="M33" s="22"/>
      <c r="N33" s="11"/>
    </row>
    <row r="34" spans="1:14" ht="15.6" x14ac:dyDescent="0.3">
      <c r="A34" s="348"/>
      <c r="B34" s="13" t="s">
        <v>63</v>
      </c>
      <c r="C34" s="14">
        <v>20</v>
      </c>
      <c r="D34" s="15">
        <v>200</v>
      </c>
      <c r="E34" s="16">
        <f t="shared" si="1"/>
        <v>4000</v>
      </c>
      <c r="F34" s="13">
        <v>5</v>
      </c>
      <c r="H34" s="9"/>
      <c r="I34" s="9"/>
      <c r="J34" s="11"/>
      <c r="K34" s="12"/>
      <c r="L34" s="12"/>
      <c r="M34" s="12"/>
      <c r="N34" s="11"/>
    </row>
    <row r="35" spans="1:14" ht="15.6" x14ac:dyDescent="0.3">
      <c r="A35" s="349"/>
      <c r="B35" s="18" t="s">
        <v>64</v>
      </c>
      <c r="C35" s="19">
        <v>2</v>
      </c>
      <c r="D35" s="20">
        <v>1600</v>
      </c>
      <c r="E35" s="21">
        <f t="shared" si="1"/>
        <v>3200</v>
      </c>
      <c r="F35" s="18">
        <v>5</v>
      </c>
      <c r="H35" s="9"/>
      <c r="I35" s="9"/>
      <c r="J35" s="11"/>
      <c r="K35" s="12"/>
      <c r="L35" s="22"/>
      <c r="M35" s="22"/>
      <c r="N35" s="11"/>
    </row>
    <row r="36" spans="1:14" ht="15.6" x14ac:dyDescent="0.3">
      <c r="A36" s="347" t="s">
        <v>65</v>
      </c>
      <c r="B36" s="5" t="s">
        <v>49</v>
      </c>
      <c r="C36" s="6">
        <v>14</v>
      </c>
      <c r="D36" s="7">
        <v>1000</v>
      </c>
      <c r="E36" s="8">
        <f t="shared" si="1"/>
        <v>14000</v>
      </c>
      <c r="F36" s="5">
        <v>5</v>
      </c>
      <c r="H36" s="9"/>
      <c r="I36" s="9"/>
      <c r="J36" s="11"/>
      <c r="K36" s="12"/>
      <c r="L36" s="22"/>
      <c r="M36" s="22"/>
      <c r="N36" s="11"/>
    </row>
    <row r="37" spans="1:14" ht="15.6" x14ac:dyDescent="0.3">
      <c r="A37" s="348"/>
      <c r="B37" s="13" t="s">
        <v>51</v>
      </c>
      <c r="C37" s="14">
        <v>14</v>
      </c>
      <c r="D37" s="15">
        <v>400</v>
      </c>
      <c r="E37" s="16">
        <f t="shared" si="1"/>
        <v>5600</v>
      </c>
      <c r="F37" s="13">
        <v>5</v>
      </c>
      <c r="H37" s="9"/>
      <c r="I37" s="9"/>
      <c r="J37" s="11"/>
      <c r="K37" s="12"/>
      <c r="L37" s="22"/>
      <c r="M37" s="22"/>
      <c r="N37" s="11"/>
    </row>
    <row r="38" spans="1:14" ht="15.6" x14ac:dyDescent="0.3">
      <c r="A38" s="348"/>
      <c r="B38" s="13" t="s">
        <v>50</v>
      </c>
      <c r="C38" s="14">
        <v>14</v>
      </c>
      <c r="D38" s="15">
        <v>4000</v>
      </c>
      <c r="E38" s="16">
        <f t="shared" si="1"/>
        <v>56000</v>
      </c>
      <c r="F38" s="13">
        <v>2</v>
      </c>
      <c r="H38" s="9"/>
      <c r="I38" s="9"/>
      <c r="J38" s="11"/>
      <c r="K38" s="12"/>
      <c r="L38" s="22"/>
      <c r="M38" s="22"/>
      <c r="N38" s="11"/>
    </row>
    <row r="39" spans="1:14" ht="15.6" x14ac:dyDescent="0.3">
      <c r="A39" s="348"/>
      <c r="B39" s="13" t="s">
        <v>55</v>
      </c>
      <c r="C39" s="14">
        <v>3</v>
      </c>
      <c r="D39" s="15">
        <v>1300</v>
      </c>
      <c r="E39" s="16">
        <f t="shared" si="1"/>
        <v>3900</v>
      </c>
      <c r="F39" s="13">
        <v>5</v>
      </c>
      <c r="H39" s="9"/>
      <c r="I39" s="9"/>
      <c r="J39" s="11"/>
      <c r="K39" s="12"/>
      <c r="L39" s="22"/>
      <c r="M39" s="22"/>
      <c r="N39" s="11"/>
    </row>
    <row r="40" spans="1:14" ht="15.6" x14ac:dyDescent="0.3">
      <c r="A40" s="349"/>
      <c r="B40" s="18" t="s">
        <v>52</v>
      </c>
      <c r="C40" s="19">
        <v>2</v>
      </c>
      <c r="D40" s="20">
        <v>1000</v>
      </c>
      <c r="E40" s="21">
        <f t="shared" si="1"/>
        <v>2000</v>
      </c>
      <c r="F40" s="18">
        <v>5</v>
      </c>
      <c r="H40" s="9"/>
      <c r="I40" s="9"/>
      <c r="J40" s="11"/>
      <c r="K40" s="12"/>
      <c r="L40" s="22"/>
      <c r="M40" s="22"/>
      <c r="N40" s="11"/>
    </row>
    <row r="41" spans="1:14" ht="15.6" x14ac:dyDescent="0.3">
      <c r="A41" s="348" t="s">
        <v>66</v>
      </c>
      <c r="B41" s="13" t="s">
        <v>49</v>
      </c>
      <c r="C41" s="14">
        <v>3</v>
      </c>
      <c r="D41" s="15">
        <v>1000</v>
      </c>
      <c r="E41" s="16">
        <f t="shared" si="1"/>
        <v>3000</v>
      </c>
      <c r="F41" s="5">
        <v>5</v>
      </c>
      <c r="H41" s="9"/>
      <c r="I41" s="9"/>
      <c r="J41" s="11"/>
      <c r="K41" s="12"/>
      <c r="L41" s="22"/>
      <c r="M41" s="22"/>
      <c r="N41" s="11"/>
    </row>
    <row r="42" spans="1:14" ht="16.2" customHeight="1" x14ac:dyDescent="0.3">
      <c r="A42" s="348"/>
      <c r="B42" s="13" t="s">
        <v>51</v>
      </c>
      <c r="C42" s="14">
        <v>3</v>
      </c>
      <c r="D42" s="15">
        <v>400</v>
      </c>
      <c r="E42" s="16">
        <f t="shared" si="1"/>
        <v>1200</v>
      </c>
      <c r="F42" s="13">
        <v>5</v>
      </c>
      <c r="H42" s="9"/>
      <c r="I42" s="9"/>
      <c r="J42" s="11"/>
      <c r="K42" s="12"/>
      <c r="L42" s="22"/>
      <c r="M42" s="22"/>
      <c r="N42" s="11"/>
    </row>
    <row r="43" spans="1:14" ht="15.6" x14ac:dyDescent="0.3">
      <c r="A43" s="348"/>
      <c r="B43" s="13" t="s">
        <v>50</v>
      </c>
      <c r="C43" s="14">
        <v>3</v>
      </c>
      <c r="D43" s="15">
        <v>4000</v>
      </c>
      <c r="E43" s="16">
        <f t="shared" si="1"/>
        <v>12000</v>
      </c>
      <c r="F43" s="13">
        <v>2</v>
      </c>
      <c r="H43" s="9"/>
      <c r="I43" s="9"/>
      <c r="J43" s="11"/>
      <c r="K43" s="12"/>
      <c r="L43" s="22"/>
      <c r="M43" s="22"/>
      <c r="N43" s="11"/>
    </row>
    <row r="44" spans="1:14" ht="15.6" x14ac:dyDescent="0.3">
      <c r="A44" s="348"/>
      <c r="B44" s="13" t="s">
        <v>55</v>
      </c>
      <c r="C44" s="14">
        <v>1</v>
      </c>
      <c r="D44" s="15">
        <v>1300</v>
      </c>
      <c r="E44" s="16">
        <f t="shared" si="1"/>
        <v>1300</v>
      </c>
      <c r="F44" s="13">
        <v>5</v>
      </c>
      <c r="H44" s="9"/>
      <c r="I44" s="9"/>
      <c r="J44" s="11"/>
      <c r="K44" s="12"/>
      <c r="L44" s="22"/>
      <c r="M44" s="22"/>
      <c r="N44" s="11"/>
    </row>
    <row r="45" spans="1:14" ht="15.6" x14ac:dyDescent="0.3">
      <c r="A45" s="349"/>
      <c r="B45" s="13" t="s">
        <v>52</v>
      </c>
      <c r="C45" s="14">
        <v>1</v>
      </c>
      <c r="D45" s="15">
        <v>1000</v>
      </c>
      <c r="E45" s="16">
        <f t="shared" si="1"/>
        <v>1000</v>
      </c>
      <c r="F45" s="18">
        <v>5</v>
      </c>
      <c r="H45" s="9"/>
      <c r="I45" s="9"/>
      <c r="J45" s="11"/>
      <c r="K45" s="12"/>
      <c r="L45" s="22"/>
      <c r="M45" s="22"/>
      <c r="N45" s="11"/>
    </row>
    <row r="46" spans="1:14" ht="15.6" x14ac:dyDescent="0.3">
      <c r="A46" s="347" t="s">
        <v>67</v>
      </c>
      <c r="B46" s="115" t="s">
        <v>49</v>
      </c>
      <c r="C46" s="6">
        <v>1</v>
      </c>
      <c r="D46" s="7">
        <v>1000</v>
      </c>
      <c r="E46" s="8">
        <f t="shared" si="1"/>
        <v>1000</v>
      </c>
      <c r="F46" s="13">
        <v>5</v>
      </c>
      <c r="H46" s="9"/>
      <c r="I46" s="9"/>
      <c r="J46" s="11"/>
      <c r="K46" s="12"/>
      <c r="L46" s="22"/>
      <c r="M46" s="22"/>
      <c r="N46" s="11"/>
    </row>
    <row r="47" spans="1:14" ht="15.6" x14ac:dyDescent="0.3">
      <c r="A47" s="348"/>
      <c r="B47" s="116" t="s">
        <v>51</v>
      </c>
      <c r="C47" s="14">
        <v>1</v>
      </c>
      <c r="D47" s="15">
        <v>400</v>
      </c>
      <c r="E47" s="16">
        <f t="shared" si="1"/>
        <v>400</v>
      </c>
      <c r="F47" s="13">
        <v>5</v>
      </c>
      <c r="H47" s="9"/>
      <c r="I47" s="9"/>
      <c r="J47" s="11"/>
      <c r="K47" s="12"/>
      <c r="L47" s="22"/>
      <c r="M47" s="22"/>
      <c r="N47" s="11"/>
    </row>
    <row r="48" spans="1:14" ht="15.6" x14ac:dyDescent="0.3">
      <c r="A48" s="348"/>
      <c r="B48" s="116" t="s">
        <v>50</v>
      </c>
      <c r="C48" s="14">
        <v>1</v>
      </c>
      <c r="D48" s="15">
        <v>4000</v>
      </c>
      <c r="E48" s="16">
        <f t="shared" si="1"/>
        <v>4000</v>
      </c>
      <c r="F48" s="13">
        <v>2</v>
      </c>
      <c r="H48" s="9"/>
      <c r="I48" s="9"/>
      <c r="J48" s="11"/>
      <c r="K48" s="12"/>
      <c r="L48" s="22"/>
      <c r="M48" s="22"/>
      <c r="N48" s="11"/>
    </row>
    <row r="49" spans="1:14" ht="15.6" x14ac:dyDescent="0.3">
      <c r="A49" s="348"/>
      <c r="B49" s="116" t="s">
        <v>55</v>
      </c>
      <c r="C49" s="14">
        <v>1</v>
      </c>
      <c r="D49" s="15">
        <v>1300</v>
      </c>
      <c r="E49" s="16">
        <f t="shared" si="1"/>
        <v>1300</v>
      </c>
      <c r="F49" s="13">
        <v>5</v>
      </c>
      <c r="H49" s="9"/>
      <c r="I49" s="9"/>
      <c r="J49" s="11"/>
      <c r="K49" s="12"/>
      <c r="L49" s="22"/>
      <c r="M49" s="22"/>
      <c r="N49" s="11"/>
    </row>
    <row r="50" spans="1:14" ht="15.6" x14ac:dyDescent="0.3">
      <c r="A50" s="348"/>
      <c r="B50" s="116" t="s">
        <v>52</v>
      </c>
      <c r="C50" s="19">
        <v>1</v>
      </c>
      <c r="D50" s="20">
        <v>1000</v>
      </c>
      <c r="E50" s="16">
        <f t="shared" si="1"/>
        <v>1000</v>
      </c>
      <c r="F50" s="13">
        <v>5</v>
      </c>
      <c r="H50" s="9"/>
      <c r="I50" s="9"/>
      <c r="J50" s="11"/>
      <c r="K50" s="12"/>
      <c r="L50" s="22"/>
      <c r="M50" s="22"/>
      <c r="N50" s="11"/>
    </row>
    <row r="51" spans="1:14" ht="15.6" x14ac:dyDescent="0.3">
      <c r="A51" s="348"/>
      <c r="B51" s="115" t="s">
        <v>68</v>
      </c>
      <c r="C51" s="27">
        <v>2</v>
      </c>
      <c r="D51" s="30">
        <v>80000</v>
      </c>
      <c r="E51" s="8">
        <f t="shared" si="1"/>
        <v>160000</v>
      </c>
      <c r="F51" s="5">
        <v>3</v>
      </c>
      <c r="H51" s="9"/>
      <c r="I51" s="9"/>
      <c r="J51" s="11"/>
      <c r="K51" s="12"/>
      <c r="L51" s="22"/>
      <c r="M51" s="22"/>
      <c r="N51" s="11"/>
    </row>
    <row r="52" spans="1:14" ht="15.6" x14ac:dyDescent="0.3">
      <c r="A52" s="348"/>
      <c r="B52" s="116" t="s">
        <v>69</v>
      </c>
      <c r="C52" s="28">
        <v>5</v>
      </c>
      <c r="D52" s="31">
        <v>50000</v>
      </c>
      <c r="E52" s="16">
        <f t="shared" si="1"/>
        <v>250000</v>
      </c>
      <c r="F52" s="13">
        <v>3</v>
      </c>
      <c r="H52" s="9"/>
      <c r="I52" s="9"/>
      <c r="J52" s="11"/>
      <c r="K52" s="12"/>
      <c r="L52" s="22"/>
      <c r="M52" s="22"/>
      <c r="N52" s="11"/>
    </row>
    <row r="53" spans="1:14" ht="15.6" x14ac:dyDescent="0.3">
      <c r="A53" s="348"/>
      <c r="B53" s="116" t="s">
        <v>70</v>
      </c>
      <c r="C53" s="28">
        <v>10</v>
      </c>
      <c r="D53" s="31">
        <v>4000</v>
      </c>
      <c r="E53" s="16">
        <f t="shared" si="1"/>
        <v>40000</v>
      </c>
      <c r="F53" s="13">
        <v>3</v>
      </c>
      <c r="H53" s="9"/>
      <c r="I53" s="9"/>
      <c r="J53" s="11"/>
      <c r="K53" s="12"/>
      <c r="L53" s="22"/>
      <c r="M53" s="22"/>
      <c r="N53" s="11"/>
    </row>
    <row r="54" spans="1:14" ht="15.6" x14ac:dyDescent="0.3">
      <c r="A54" s="348"/>
      <c r="B54" s="116" t="s">
        <v>71</v>
      </c>
      <c r="C54" s="28">
        <v>20</v>
      </c>
      <c r="D54" s="31">
        <v>1100</v>
      </c>
      <c r="E54" s="16">
        <f t="shared" si="1"/>
        <v>22000</v>
      </c>
      <c r="F54" s="13">
        <v>3</v>
      </c>
      <c r="H54" s="9"/>
      <c r="I54" s="9"/>
      <c r="J54" s="11"/>
      <c r="K54" s="12"/>
      <c r="L54" s="22"/>
      <c r="M54" s="22"/>
      <c r="N54" s="11"/>
    </row>
    <row r="55" spans="1:14" ht="15.6" x14ac:dyDescent="0.3">
      <c r="A55" s="349"/>
      <c r="B55" s="26" t="s">
        <v>72</v>
      </c>
      <c r="C55" s="29">
        <v>20</v>
      </c>
      <c r="D55" s="32">
        <v>900</v>
      </c>
      <c r="E55" s="21">
        <f t="shared" si="1"/>
        <v>18000</v>
      </c>
      <c r="F55" s="18">
        <v>3</v>
      </c>
      <c r="H55" s="9"/>
      <c r="I55" s="9"/>
      <c r="J55" s="11"/>
      <c r="K55" s="12"/>
      <c r="L55" s="22"/>
      <c r="M55" s="22"/>
      <c r="N55" s="11"/>
    </row>
    <row r="56" spans="1:14" ht="15.6" x14ac:dyDescent="0.3">
      <c r="A56" s="355" t="s">
        <v>73</v>
      </c>
      <c r="B56" s="356"/>
      <c r="C56" s="356"/>
      <c r="D56" s="357"/>
      <c r="E56" s="231">
        <f>SUM(E3:E55)</f>
        <v>677590</v>
      </c>
      <c r="F56" s="23"/>
      <c r="H56" s="9"/>
      <c r="I56" s="9"/>
      <c r="J56" s="11"/>
      <c r="K56" s="12"/>
      <c r="L56" s="22"/>
      <c r="M56" s="22"/>
      <c r="N56" s="11"/>
    </row>
    <row r="57" spans="1:14" x14ac:dyDescent="0.3">
      <c r="H57" s="9"/>
      <c r="I57" s="9"/>
      <c r="J57" s="9"/>
      <c r="K57" s="22"/>
      <c r="L57" s="22"/>
      <c r="M57" s="22"/>
      <c r="N57" s="11"/>
    </row>
    <row r="58" spans="1:14" x14ac:dyDescent="0.3">
      <c r="H58" s="9"/>
      <c r="I58" s="9"/>
      <c r="J58" s="11"/>
      <c r="K58" s="12"/>
      <c r="L58" s="22"/>
      <c r="M58" s="22"/>
      <c r="N58" s="11"/>
    </row>
    <row r="59" spans="1:14" x14ac:dyDescent="0.3">
      <c r="H59" s="9"/>
      <c r="I59" s="9"/>
      <c r="J59" s="11"/>
      <c r="K59" s="12"/>
      <c r="L59" s="22"/>
      <c r="M59" s="22"/>
      <c r="N59" s="11"/>
    </row>
    <row r="60" spans="1:14" x14ac:dyDescent="0.3">
      <c r="H60" s="9"/>
      <c r="I60" s="9"/>
      <c r="J60" s="11"/>
      <c r="K60" s="12"/>
      <c r="L60" s="22"/>
      <c r="M60" s="22"/>
      <c r="N60" s="11"/>
    </row>
    <row r="61" spans="1:14" x14ac:dyDescent="0.3">
      <c r="H61" s="24"/>
      <c r="I61" s="24"/>
      <c r="J61" s="24"/>
      <c r="K61" s="24"/>
      <c r="L61" s="25"/>
      <c r="M61" s="25"/>
      <c r="N61" s="9"/>
    </row>
  </sheetData>
  <mergeCells count="20">
    <mergeCell ref="A36:A40"/>
    <mergeCell ref="A41:A45"/>
    <mergeCell ref="A56:D56"/>
    <mergeCell ref="A30:A35"/>
    <mergeCell ref="A46:A55"/>
    <mergeCell ref="A1:F1"/>
    <mergeCell ref="H1:N1"/>
    <mergeCell ref="L2:M2"/>
    <mergeCell ref="A3:A10"/>
    <mergeCell ref="L3:M3"/>
    <mergeCell ref="L4:M4"/>
    <mergeCell ref="L5:M5"/>
    <mergeCell ref="L6:M6"/>
    <mergeCell ref="L9:M9"/>
    <mergeCell ref="L10:M10"/>
    <mergeCell ref="A11:A14"/>
    <mergeCell ref="L11:M11"/>
    <mergeCell ref="L12:M12"/>
    <mergeCell ref="A15:A21"/>
    <mergeCell ref="A22:A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D42A-FCF5-43AD-8443-FE84680A400F}">
  <dimension ref="A2:K11"/>
  <sheetViews>
    <sheetView workbookViewId="0">
      <selection activeCell="D6" sqref="D6"/>
    </sheetView>
  </sheetViews>
  <sheetFormatPr baseColWidth="10" defaultColWidth="11.44140625" defaultRowHeight="14.4" x14ac:dyDescent="0.3"/>
  <cols>
    <col min="1" max="1" width="42.109375" customWidth="1"/>
    <col min="2" max="2" width="15.33203125" bestFit="1" customWidth="1"/>
    <col min="7" max="7" width="13.109375" customWidth="1"/>
  </cols>
  <sheetData>
    <row r="2" spans="1:11" ht="15" thickBot="1" x14ac:dyDescent="0.35"/>
    <row r="3" spans="1:11" ht="16.2" thickBot="1" x14ac:dyDescent="0.35">
      <c r="A3" s="358" t="s">
        <v>74</v>
      </c>
      <c r="B3" s="359"/>
      <c r="E3" s="10"/>
      <c r="F3" s="79"/>
      <c r="K3" s="36"/>
    </row>
    <row r="4" spans="1:11" ht="16.2" thickBot="1" x14ac:dyDescent="0.35">
      <c r="A4" s="234" t="s">
        <v>35</v>
      </c>
      <c r="B4" s="235" t="s">
        <v>75</v>
      </c>
      <c r="E4" s="10"/>
      <c r="F4" s="79"/>
      <c r="G4" s="80"/>
    </row>
    <row r="5" spans="1:11" ht="15.6" x14ac:dyDescent="0.3">
      <c r="A5" s="33" t="s">
        <v>76</v>
      </c>
      <c r="B5" s="112">
        <v>275</v>
      </c>
    </row>
    <row r="6" spans="1:11" ht="15.6" x14ac:dyDescent="0.3">
      <c r="A6" s="33" t="s">
        <v>77</v>
      </c>
      <c r="B6" s="113">
        <v>165.1</v>
      </c>
    </row>
    <row r="7" spans="1:11" ht="15.6" x14ac:dyDescent="0.3">
      <c r="A7" s="34" t="s">
        <v>78</v>
      </c>
      <c r="B7" s="113">
        <v>28</v>
      </c>
    </row>
    <row r="8" spans="1:11" ht="15.6" x14ac:dyDescent="0.3">
      <c r="A8" s="33" t="s">
        <v>79</v>
      </c>
      <c r="B8" s="113">
        <f>25*'ANALISIS ALQUILER O COMPRA'!J6</f>
        <v>99.5</v>
      </c>
    </row>
    <row r="9" spans="1:11" ht="15.6" x14ac:dyDescent="0.3">
      <c r="A9" s="33" t="s">
        <v>80</v>
      </c>
      <c r="B9" s="113">
        <v>40000</v>
      </c>
    </row>
    <row r="10" spans="1:11" ht="16.2" thickBot="1" x14ac:dyDescent="0.35">
      <c r="A10" s="35" t="s">
        <v>81</v>
      </c>
      <c r="B10" s="114">
        <v>42000</v>
      </c>
    </row>
    <row r="11" spans="1:11" ht="16.2" thickBot="1" x14ac:dyDescent="0.35">
      <c r="A11" s="232" t="s">
        <v>82</v>
      </c>
      <c r="B11" s="233">
        <f>SUM(B5:B10)</f>
        <v>82567.600000000006</v>
      </c>
    </row>
  </sheetData>
  <mergeCells count="1"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D4DD-017F-4C4E-96D2-95EA0B0DA2DE}">
  <dimension ref="A1:M11"/>
  <sheetViews>
    <sheetView workbookViewId="0">
      <selection activeCell="C16" sqref="C16"/>
    </sheetView>
  </sheetViews>
  <sheetFormatPr baseColWidth="10" defaultColWidth="11.44140625" defaultRowHeight="14.4" x14ac:dyDescent="0.3"/>
  <cols>
    <col min="1" max="1" width="13.5546875" customWidth="1"/>
    <col min="2" max="2" width="18" customWidth="1"/>
    <col min="3" max="3" width="17.33203125" bestFit="1" customWidth="1"/>
    <col min="4" max="5" width="14.88671875" bestFit="1" customWidth="1"/>
    <col min="6" max="6" width="17.33203125" bestFit="1" customWidth="1"/>
    <col min="7" max="7" width="14.88671875" bestFit="1" customWidth="1"/>
    <col min="10" max="10" width="18.5546875" customWidth="1"/>
    <col min="13" max="13" width="14.6640625" customWidth="1"/>
  </cols>
  <sheetData>
    <row r="1" spans="1:13" ht="16.2" customHeight="1" thickBot="1" x14ac:dyDescent="0.35">
      <c r="A1" s="365" t="s">
        <v>83</v>
      </c>
      <c r="B1" s="366"/>
      <c r="C1" s="366"/>
      <c r="D1" s="367"/>
      <c r="K1" s="85"/>
    </row>
    <row r="2" spans="1:13" ht="16.2" thickBot="1" x14ac:dyDescent="0.35">
      <c r="K2" s="200"/>
      <c r="L2" s="372"/>
      <c r="M2" s="373"/>
    </row>
    <row r="3" spans="1:13" ht="15.6" customHeight="1" thickBot="1" x14ac:dyDescent="0.35">
      <c r="A3" s="377" t="s">
        <v>84</v>
      </c>
      <c r="B3" s="378"/>
      <c r="C3" s="379"/>
      <c r="E3" s="374" t="s">
        <v>85</v>
      </c>
      <c r="F3" s="375"/>
      <c r="G3" s="376"/>
      <c r="K3" s="200"/>
      <c r="L3" s="372"/>
      <c r="M3" s="373"/>
    </row>
    <row r="4" spans="1:13" ht="16.95" customHeight="1" thickBot="1" x14ac:dyDescent="0.35">
      <c r="A4" s="380" t="s">
        <v>86</v>
      </c>
      <c r="B4" s="381"/>
      <c r="C4" s="37">
        <v>4.2999999999999997E-2</v>
      </c>
      <c r="E4" s="362">
        <f>(4.9+2.6)/2</f>
        <v>3.75</v>
      </c>
      <c r="F4" s="363"/>
      <c r="G4" s="364"/>
      <c r="K4" s="200"/>
      <c r="L4" s="372"/>
      <c r="M4" s="373"/>
    </row>
    <row r="5" spans="1:13" ht="16.2" thickBot="1" x14ac:dyDescent="0.35">
      <c r="K5" s="200"/>
      <c r="L5" s="372"/>
      <c r="M5" s="373"/>
    </row>
    <row r="6" spans="1:13" ht="16.2" thickBot="1" x14ac:dyDescent="0.35">
      <c r="C6" s="236" t="s">
        <v>87</v>
      </c>
      <c r="D6" s="236" t="s">
        <v>88</v>
      </c>
      <c r="E6" s="236" t="s">
        <v>89</v>
      </c>
      <c r="F6" s="236" t="s">
        <v>90</v>
      </c>
      <c r="G6" s="237" t="s">
        <v>91</v>
      </c>
      <c r="K6" s="200"/>
      <c r="L6" s="372"/>
      <c r="M6" s="373"/>
    </row>
    <row r="7" spans="1:13" ht="16.2" thickBot="1" x14ac:dyDescent="0.35">
      <c r="A7" s="370" t="s">
        <v>92</v>
      </c>
      <c r="B7" s="371"/>
      <c r="C7" s="39">
        <v>390</v>
      </c>
      <c r="D7" s="39">
        <f>ROUNDUP(C7*(1+$C$4),0)</f>
        <v>407</v>
      </c>
      <c r="E7" s="39">
        <f t="shared" ref="E7:G7" si="0">ROUNDUP(D7*(1+$C$4),0)</f>
        <v>425</v>
      </c>
      <c r="F7" s="39">
        <f t="shared" si="0"/>
        <v>444</v>
      </c>
      <c r="G7" s="39">
        <f t="shared" si="0"/>
        <v>464</v>
      </c>
      <c r="K7" s="200"/>
      <c r="L7" s="204"/>
      <c r="M7" s="85"/>
    </row>
    <row r="8" spans="1:13" ht="16.2" thickBot="1" x14ac:dyDescent="0.35">
      <c r="A8" s="368" t="s">
        <v>93</v>
      </c>
      <c r="B8" s="369"/>
      <c r="C8" s="40">
        <v>90</v>
      </c>
      <c r="D8" s="40">
        <v>90</v>
      </c>
      <c r="E8" s="40">
        <v>90</v>
      </c>
      <c r="F8" s="40">
        <v>90</v>
      </c>
      <c r="G8" s="40">
        <v>90</v>
      </c>
      <c r="K8" s="200"/>
      <c r="L8" s="204"/>
      <c r="M8" s="85"/>
    </row>
    <row r="9" spans="1:13" ht="16.95" customHeight="1" thickBot="1" x14ac:dyDescent="0.35">
      <c r="A9" s="360" t="s">
        <v>94</v>
      </c>
      <c r="B9" s="361"/>
      <c r="C9" s="42">
        <f>C7*C8*48</f>
        <v>1684800</v>
      </c>
      <c r="D9" s="42">
        <f t="shared" ref="D9:G9" si="1">D7*D8*48</f>
        <v>1758240</v>
      </c>
      <c r="E9" s="42">
        <f t="shared" si="1"/>
        <v>1836000</v>
      </c>
      <c r="F9" s="42">
        <f t="shared" si="1"/>
        <v>1918080</v>
      </c>
      <c r="G9" s="42">
        <f t="shared" si="1"/>
        <v>2004480</v>
      </c>
    </row>
    <row r="10" spans="1:13" ht="15" customHeight="1" thickBot="1" x14ac:dyDescent="0.35">
      <c r="A10" s="360" t="s">
        <v>95</v>
      </c>
      <c r="B10" s="361"/>
      <c r="C10" s="41">
        <v>2.5</v>
      </c>
      <c r="D10" s="38">
        <f>ROUND(C10*1.0375,2)</f>
        <v>2.59</v>
      </c>
      <c r="E10" s="38">
        <f t="shared" ref="E10:G10" si="2">ROUND(D10*1.0375,2)</f>
        <v>2.69</v>
      </c>
      <c r="F10" s="38">
        <f t="shared" si="2"/>
        <v>2.79</v>
      </c>
      <c r="G10" s="38">
        <f t="shared" si="2"/>
        <v>2.89</v>
      </c>
    </row>
    <row r="11" spans="1:13" ht="16.2" thickBot="1" x14ac:dyDescent="0.35">
      <c r="A11" s="368" t="s">
        <v>96</v>
      </c>
      <c r="B11" s="369"/>
      <c r="C11" s="43">
        <f>C9*C10</f>
        <v>4212000</v>
      </c>
      <c r="D11" s="43">
        <f t="shared" ref="D11:G11" si="3">D9*D10</f>
        <v>4553841.5999999996</v>
      </c>
      <c r="E11" s="43">
        <f t="shared" si="3"/>
        <v>4938840</v>
      </c>
      <c r="F11" s="43">
        <f t="shared" si="3"/>
        <v>5351443.2</v>
      </c>
      <c r="G11" s="43">
        <f t="shared" si="3"/>
        <v>5792947.2000000002</v>
      </c>
    </row>
  </sheetData>
  <mergeCells count="15">
    <mergeCell ref="L2:M2"/>
    <mergeCell ref="L3:M3"/>
    <mergeCell ref="L4:M4"/>
    <mergeCell ref="A8:B8"/>
    <mergeCell ref="E3:G3"/>
    <mergeCell ref="L5:M5"/>
    <mergeCell ref="L6:M6"/>
    <mergeCell ref="A3:C3"/>
    <mergeCell ref="A4:B4"/>
    <mergeCell ref="A9:B9"/>
    <mergeCell ref="E4:G4"/>
    <mergeCell ref="A10:B10"/>
    <mergeCell ref="A1:D1"/>
    <mergeCell ref="A11:B11"/>
    <mergeCell ref="A7:B7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3AF3-D6B9-4CD1-848D-43D3ABEB8B19}">
  <dimension ref="A1:P66"/>
  <sheetViews>
    <sheetView zoomScale="58" zoomScaleNormal="58" workbookViewId="0">
      <selection activeCell="M25" sqref="M25"/>
    </sheetView>
  </sheetViews>
  <sheetFormatPr baseColWidth="10" defaultColWidth="11.44140625" defaultRowHeight="14.4" x14ac:dyDescent="0.3"/>
  <cols>
    <col min="1" max="1" width="45.44140625" bestFit="1" customWidth="1"/>
    <col min="2" max="2" width="29.88671875" customWidth="1"/>
    <col min="3" max="3" width="20" customWidth="1"/>
    <col min="4" max="4" width="13.88671875" bestFit="1" customWidth="1"/>
    <col min="5" max="5" width="19.6640625" customWidth="1"/>
    <col min="6" max="7" width="12.6640625" bestFit="1" customWidth="1"/>
    <col min="8" max="8" width="19.44140625" customWidth="1"/>
    <col min="9" max="9" width="19.33203125" customWidth="1"/>
    <col min="12" max="12" width="16.6640625" customWidth="1"/>
    <col min="13" max="13" width="15.88671875" customWidth="1"/>
    <col min="14" max="14" width="15.5546875" customWidth="1"/>
    <col min="15" max="15" width="14.5546875" customWidth="1"/>
    <col min="16" max="16" width="14" customWidth="1"/>
  </cols>
  <sheetData>
    <row r="1" spans="1:16" ht="15.6" x14ac:dyDescent="0.3">
      <c r="A1" s="384" t="s">
        <v>97</v>
      </c>
      <c r="B1" s="384"/>
      <c r="C1" s="384"/>
      <c r="D1" s="384"/>
      <c r="E1" s="384"/>
      <c r="H1" s="391" t="s">
        <v>98</v>
      </c>
      <c r="I1" s="391"/>
      <c r="J1" s="391"/>
    </row>
    <row r="2" spans="1:16" ht="15.6" x14ac:dyDescent="0.3">
      <c r="A2" s="45" t="s">
        <v>99</v>
      </c>
      <c r="B2" s="45" t="s">
        <v>100</v>
      </c>
      <c r="C2" s="48" t="s">
        <v>101</v>
      </c>
      <c r="D2" s="45" t="s">
        <v>102</v>
      </c>
      <c r="E2" s="45" t="s">
        <v>103</v>
      </c>
      <c r="H2" s="392" t="s">
        <v>104</v>
      </c>
      <c r="I2" s="393"/>
      <c r="J2" s="396">
        <v>1.37E-2</v>
      </c>
    </row>
    <row r="3" spans="1:16" ht="15.6" x14ac:dyDescent="0.3">
      <c r="A3" s="45" t="s">
        <v>105</v>
      </c>
      <c r="B3" s="45" t="s">
        <v>106</v>
      </c>
      <c r="C3" s="45">
        <v>1</v>
      </c>
      <c r="D3" s="47">
        <v>3600</v>
      </c>
      <c r="E3" s="47">
        <f>D3*12*1.37*C3</f>
        <v>59184.000000000007</v>
      </c>
      <c r="H3" s="392" t="s">
        <v>107</v>
      </c>
      <c r="I3" s="392"/>
      <c r="J3" s="396"/>
    </row>
    <row r="4" spans="1:16" ht="15.6" x14ac:dyDescent="0.3">
      <c r="A4" s="45" t="s">
        <v>108</v>
      </c>
      <c r="B4" s="45" t="s">
        <v>106</v>
      </c>
      <c r="C4" s="45">
        <v>1</v>
      </c>
      <c r="D4" s="47">
        <v>3600</v>
      </c>
      <c r="E4" s="47">
        <f>D4*12*1.37*C4</f>
        <v>59184.000000000007</v>
      </c>
      <c r="H4" s="392" t="s">
        <v>109</v>
      </c>
      <c r="I4" s="392"/>
      <c r="J4" s="396"/>
    </row>
    <row r="5" spans="1:16" ht="15.6" x14ac:dyDescent="0.3">
      <c r="A5" s="401" t="s">
        <v>110</v>
      </c>
      <c r="B5" s="401"/>
      <c r="C5" s="401"/>
      <c r="D5" s="402"/>
      <c r="E5" s="238">
        <f>SUM(E3:E4)</f>
        <v>118368.00000000001</v>
      </c>
      <c r="H5" s="392" t="s">
        <v>111</v>
      </c>
      <c r="I5" s="392"/>
      <c r="J5" s="396"/>
    </row>
    <row r="6" spans="1:16" ht="15.6" x14ac:dyDescent="0.3">
      <c r="H6" s="392" t="s">
        <v>112</v>
      </c>
      <c r="I6" s="392"/>
      <c r="J6" s="396"/>
    </row>
    <row r="7" spans="1:16" ht="15.6" x14ac:dyDescent="0.3">
      <c r="A7" s="385" t="s">
        <v>113</v>
      </c>
      <c r="B7" s="386"/>
      <c r="C7" s="386"/>
      <c r="D7" s="386"/>
      <c r="E7" s="387"/>
      <c r="H7" s="394"/>
      <c r="I7" s="395"/>
      <c r="J7" s="118"/>
    </row>
    <row r="8" spans="1:16" ht="15.6" x14ac:dyDescent="0.3">
      <c r="A8" s="45" t="s">
        <v>99</v>
      </c>
      <c r="B8" s="45" t="s">
        <v>100</v>
      </c>
      <c r="C8" s="48" t="s">
        <v>101</v>
      </c>
      <c r="D8" s="45" t="s">
        <v>102</v>
      </c>
      <c r="E8" s="45" t="s">
        <v>103</v>
      </c>
      <c r="H8" s="397" t="s">
        <v>114</v>
      </c>
      <c r="I8" s="398"/>
      <c r="J8" s="397" t="s">
        <v>115</v>
      </c>
      <c r="K8" s="398"/>
      <c r="L8" s="254" t="s">
        <v>116</v>
      </c>
      <c r="M8" s="255" t="s">
        <v>117</v>
      </c>
      <c r="N8" s="255" t="s">
        <v>118</v>
      </c>
      <c r="O8" s="255" t="s">
        <v>119</v>
      </c>
      <c r="P8" s="256" t="s">
        <v>120</v>
      </c>
    </row>
    <row r="9" spans="1:16" ht="15.6" x14ac:dyDescent="0.3">
      <c r="A9" s="45" t="s">
        <v>121</v>
      </c>
      <c r="B9" s="45" t="s">
        <v>106</v>
      </c>
      <c r="C9" s="45">
        <v>1</v>
      </c>
      <c r="D9" s="47">
        <v>3800</v>
      </c>
      <c r="E9" s="47">
        <f>D9*12*1.37*C9</f>
        <v>62472.000000000007</v>
      </c>
      <c r="H9" s="406" t="s">
        <v>122</v>
      </c>
      <c r="I9" s="407"/>
      <c r="J9" s="408">
        <v>0.1</v>
      </c>
      <c r="K9" s="409"/>
      <c r="L9" s="192">
        <f>J9*INGRESOS!$C$9</f>
        <v>168480</v>
      </c>
      <c r="M9" s="193">
        <f>$J9*INGRESOS!$D$9</f>
        <v>175824</v>
      </c>
      <c r="N9" s="193">
        <f>$J9*INGRESOS!$E$9</f>
        <v>183600</v>
      </c>
      <c r="O9" s="193">
        <f>$J9*INGRESOS!$F$9</f>
        <v>191808</v>
      </c>
      <c r="P9" s="194">
        <f>$J9*INGRESOS!$G$9</f>
        <v>200448</v>
      </c>
    </row>
    <row r="10" spans="1:16" ht="15.6" x14ac:dyDescent="0.3">
      <c r="A10" s="45" t="s">
        <v>123</v>
      </c>
      <c r="B10" s="45" t="s">
        <v>106</v>
      </c>
      <c r="C10" s="45">
        <v>1</v>
      </c>
      <c r="D10" s="47">
        <v>3600</v>
      </c>
      <c r="E10" s="47">
        <f>D10*12*1.37*C10</f>
        <v>59184.000000000007</v>
      </c>
      <c r="H10" s="406" t="s">
        <v>124</v>
      </c>
      <c r="I10" s="407"/>
      <c r="J10" s="408">
        <v>0.15</v>
      </c>
      <c r="K10" s="407"/>
      <c r="L10" s="195">
        <f>J10*INGRESOS!$C$9</f>
        <v>252720</v>
      </c>
      <c r="M10" s="196">
        <f>$J10*INGRESOS!$D$9</f>
        <v>263736</v>
      </c>
      <c r="N10" s="196">
        <f>$J10*INGRESOS!$E$9</f>
        <v>275400</v>
      </c>
      <c r="O10" s="196">
        <f>$J10*INGRESOS!$F$9</f>
        <v>287712</v>
      </c>
      <c r="P10" s="197">
        <f>$J10*INGRESOS!$G$9</f>
        <v>300672</v>
      </c>
    </row>
    <row r="11" spans="1:16" ht="15.6" x14ac:dyDescent="0.3">
      <c r="A11" s="403" t="s">
        <v>125</v>
      </c>
      <c r="B11" s="404"/>
      <c r="C11" s="404"/>
      <c r="D11" s="405"/>
      <c r="E11" s="242">
        <f>SUM(E9:E10)</f>
        <v>121656.00000000001</v>
      </c>
      <c r="H11" s="406" t="s">
        <v>126</v>
      </c>
      <c r="I11" s="407"/>
      <c r="J11" s="408">
        <v>0.15</v>
      </c>
      <c r="K11" s="409"/>
      <c r="L11" s="195">
        <f>J11*INGRESOS!$C$9</f>
        <v>252720</v>
      </c>
      <c r="M11" s="196">
        <f>$J11*INGRESOS!$D$9</f>
        <v>263736</v>
      </c>
      <c r="N11" s="196">
        <f>$J11*INGRESOS!$E$9</f>
        <v>275400</v>
      </c>
      <c r="O11" s="196">
        <f>$J11*INGRESOS!$F$9</f>
        <v>287712</v>
      </c>
      <c r="P11" s="197">
        <f>$J11*INGRESOS!$G$9</f>
        <v>300672</v>
      </c>
    </row>
    <row r="12" spans="1:16" ht="15.6" x14ac:dyDescent="0.3">
      <c r="H12" s="406" t="s">
        <v>127</v>
      </c>
      <c r="I12" s="407"/>
      <c r="J12" s="408">
        <v>0.3</v>
      </c>
      <c r="K12" s="407"/>
      <c r="L12" s="195">
        <f>J12*INGRESOS!$C$9</f>
        <v>505440</v>
      </c>
      <c r="M12" s="196">
        <f>$J12*INGRESOS!$D$9</f>
        <v>527472</v>
      </c>
      <c r="N12" s="196">
        <f>$J12*INGRESOS!$E$9</f>
        <v>550800</v>
      </c>
      <c r="O12" s="196">
        <f>$J12*INGRESOS!$F$9</f>
        <v>575424</v>
      </c>
      <c r="P12" s="197">
        <f>$J12*INGRESOS!$G$9</f>
        <v>601344</v>
      </c>
    </row>
    <row r="13" spans="1:16" ht="15.6" x14ac:dyDescent="0.3">
      <c r="A13" s="388" t="s">
        <v>128</v>
      </c>
      <c r="B13" s="389"/>
      <c r="C13" s="389"/>
      <c r="D13" s="389"/>
      <c r="E13" s="390"/>
      <c r="H13" s="414" t="s">
        <v>129</v>
      </c>
      <c r="I13" s="400"/>
      <c r="J13" s="399">
        <v>0.3</v>
      </c>
      <c r="K13" s="400"/>
      <c r="L13" s="195">
        <f>J13*INGRESOS!$C$9</f>
        <v>505440</v>
      </c>
      <c r="M13" s="196">
        <f>$J13*INGRESOS!$D$9</f>
        <v>527472</v>
      </c>
      <c r="N13" s="196">
        <f>$J13*INGRESOS!$E$9</f>
        <v>550800</v>
      </c>
      <c r="O13" s="196">
        <f>$J13*INGRESOS!$F$9</f>
        <v>575424</v>
      </c>
      <c r="P13" s="197">
        <f>$J13*INGRESOS!$G$9</f>
        <v>601344</v>
      </c>
    </row>
    <row r="14" spans="1:16" ht="15.6" x14ac:dyDescent="0.3">
      <c r="A14" s="45" t="s">
        <v>35</v>
      </c>
      <c r="B14" s="45" t="s">
        <v>100</v>
      </c>
      <c r="C14" s="45" t="s">
        <v>130</v>
      </c>
      <c r="D14" s="46" t="s">
        <v>37</v>
      </c>
      <c r="E14" s="46" t="s">
        <v>103</v>
      </c>
      <c r="H14" s="415" t="s">
        <v>125</v>
      </c>
      <c r="I14" s="416"/>
      <c r="J14" s="421">
        <f>SUM(J9:K13)</f>
        <v>1</v>
      </c>
      <c r="K14" s="416"/>
      <c r="L14" s="257">
        <f>SUM(L9:L13)</f>
        <v>1684800</v>
      </c>
      <c r="M14" s="258">
        <f>SUM(M9:M13)</f>
        <v>1758240</v>
      </c>
      <c r="N14" s="258">
        <f>SUM(N9:N13)</f>
        <v>1836000</v>
      </c>
      <c r="O14" s="258">
        <f>SUM(O9:O13)</f>
        <v>1918080</v>
      </c>
      <c r="P14" s="259">
        <f>SUM(P9:P13)</f>
        <v>2004480</v>
      </c>
    </row>
    <row r="15" spans="1:16" ht="15.6" x14ac:dyDescent="0.3">
      <c r="A15" s="45" t="s">
        <v>131</v>
      </c>
      <c r="B15" s="45" t="s">
        <v>106</v>
      </c>
      <c r="C15" s="45">
        <v>12</v>
      </c>
      <c r="D15" s="49">
        <f>'ANALISIS ALQUILER O COMPRA'!B6</f>
        <v>800</v>
      </c>
      <c r="E15" s="49">
        <f>C15*D15</f>
        <v>9600</v>
      </c>
      <c r="H15" s="417" t="s">
        <v>132</v>
      </c>
      <c r="I15" s="418"/>
      <c r="J15" s="418"/>
      <c r="K15" s="419"/>
      <c r="L15" s="260">
        <f>SUM(L9:L11)</f>
        <v>673920</v>
      </c>
      <c r="M15" s="261">
        <f>SUM(M9:M11)</f>
        <v>703296</v>
      </c>
      <c r="N15" s="261">
        <f>SUM(N9:N11)</f>
        <v>734400</v>
      </c>
      <c r="O15" s="261">
        <f>SUM(O9:O11)</f>
        <v>767232</v>
      </c>
      <c r="P15" s="262">
        <f>SUM(P9:P11)</f>
        <v>801792</v>
      </c>
    </row>
    <row r="16" spans="1:16" ht="15.6" x14ac:dyDescent="0.3">
      <c r="A16" s="45" t="s">
        <v>133</v>
      </c>
      <c r="B16" s="45" t="s">
        <v>106</v>
      </c>
      <c r="C16" s="45">
        <v>4</v>
      </c>
      <c r="D16" s="49">
        <v>20000</v>
      </c>
      <c r="E16" s="49">
        <f>D16*C16</f>
        <v>80000</v>
      </c>
    </row>
    <row r="17" spans="1:5" ht="15.6" x14ac:dyDescent="0.3">
      <c r="A17" s="45" t="s">
        <v>134</v>
      </c>
      <c r="B17" s="45" t="s">
        <v>106</v>
      </c>
      <c r="C17" s="45">
        <v>12</v>
      </c>
      <c r="D17" s="49">
        <v>1500</v>
      </c>
      <c r="E17" s="49">
        <f>D17*C17</f>
        <v>18000</v>
      </c>
    </row>
    <row r="18" spans="1:5" ht="15.6" x14ac:dyDescent="0.3">
      <c r="A18" s="239" t="s">
        <v>125</v>
      </c>
      <c r="B18" s="240"/>
      <c r="C18" s="240"/>
      <c r="D18" s="241"/>
      <c r="E18" s="238">
        <f>SUM(E15:E17)</f>
        <v>107600</v>
      </c>
    </row>
    <row r="20" spans="1:5" ht="15.6" x14ac:dyDescent="0.3">
      <c r="A20" s="420" t="s">
        <v>135</v>
      </c>
      <c r="B20" s="420"/>
      <c r="C20" s="420"/>
      <c r="D20" s="420"/>
      <c r="E20" s="420"/>
    </row>
    <row r="21" spans="1:5" ht="15.6" x14ac:dyDescent="0.3">
      <c r="A21" s="45" t="s">
        <v>99</v>
      </c>
      <c r="B21" s="45" t="s">
        <v>100</v>
      </c>
      <c r="C21" s="45" t="s">
        <v>101</v>
      </c>
      <c r="D21" s="45" t="s">
        <v>102</v>
      </c>
      <c r="E21" s="45" t="s">
        <v>103</v>
      </c>
    </row>
    <row r="22" spans="1:5" ht="15.6" x14ac:dyDescent="0.3">
      <c r="A22" s="45" t="s">
        <v>136</v>
      </c>
      <c r="B22" s="45" t="s">
        <v>106</v>
      </c>
      <c r="C22" s="45">
        <v>1</v>
      </c>
      <c r="D22" s="47">
        <v>4000</v>
      </c>
      <c r="E22" s="47">
        <f>D22*12*1.37*C22</f>
        <v>65760</v>
      </c>
    </row>
    <row r="23" spans="1:5" ht="15.6" x14ac:dyDescent="0.3">
      <c r="A23" s="45" t="s">
        <v>137</v>
      </c>
      <c r="B23" s="45" t="s">
        <v>106</v>
      </c>
      <c r="C23" s="45">
        <v>1</v>
      </c>
      <c r="D23" s="47">
        <v>3200</v>
      </c>
      <c r="E23" s="47">
        <f t="shared" ref="E23:E24" si="0">D23*12*1.37*C23</f>
        <v>52608.000000000007</v>
      </c>
    </row>
    <row r="24" spans="1:5" ht="15.6" x14ac:dyDescent="0.3">
      <c r="A24" s="45" t="s">
        <v>138</v>
      </c>
      <c r="B24" s="45" t="s">
        <v>106</v>
      </c>
      <c r="C24" s="45">
        <v>1</v>
      </c>
      <c r="D24" s="47">
        <v>3000</v>
      </c>
      <c r="E24" s="47">
        <f t="shared" si="0"/>
        <v>49320.000000000007</v>
      </c>
    </row>
    <row r="25" spans="1:5" ht="15.6" x14ac:dyDescent="0.3">
      <c r="A25" s="243" t="s">
        <v>125</v>
      </c>
      <c r="B25" s="244"/>
      <c r="C25" s="244"/>
      <c r="D25" s="245"/>
      <c r="E25" s="246">
        <f>SUM(E22:E24)</f>
        <v>167688</v>
      </c>
    </row>
    <row r="28" spans="1:5" ht="15.6" x14ac:dyDescent="0.3">
      <c r="A28" s="410" t="s">
        <v>139</v>
      </c>
      <c r="B28" s="410"/>
      <c r="C28" s="410"/>
      <c r="D28" s="410"/>
      <c r="E28" s="410"/>
    </row>
    <row r="29" spans="1:5" ht="15.6" x14ac:dyDescent="0.3">
      <c r="A29" s="45" t="s">
        <v>35</v>
      </c>
      <c r="B29" s="45" t="s">
        <v>100</v>
      </c>
      <c r="C29" s="45" t="s">
        <v>130</v>
      </c>
      <c r="D29" s="45" t="s">
        <v>37</v>
      </c>
      <c r="E29" s="45" t="s">
        <v>103</v>
      </c>
    </row>
    <row r="30" spans="1:5" ht="15.6" x14ac:dyDescent="0.3">
      <c r="A30" s="45" t="s">
        <v>140</v>
      </c>
      <c r="B30" s="45" t="s">
        <v>106</v>
      </c>
      <c r="C30" s="46">
        <v>12</v>
      </c>
      <c r="D30" s="49">
        <v>800</v>
      </c>
      <c r="E30" s="49">
        <f t="shared" ref="E30:E39" si="1">C30*D30</f>
        <v>9600</v>
      </c>
    </row>
    <row r="31" spans="1:5" ht="15.6" x14ac:dyDescent="0.3">
      <c r="A31" s="45" t="s">
        <v>141</v>
      </c>
      <c r="B31" s="45" t="s">
        <v>106</v>
      </c>
      <c r="C31" s="46">
        <v>12</v>
      </c>
      <c r="D31" s="49">
        <v>800</v>
      </c>
      <c r="E31" s="49">
        <f t="shared" si="1"/>
        <v>9600</v>
      </c>
    </row>
    <row r="32" spans="1:5" ht="15.6" x14ac:dyDescent="0.3">
      <c r="A32" s="45" t="s">
        <v>142</v>
      </c>
      <c r="B32" s="45" t="s">
        <v>106</v>
      </c>
      <c r="C32" s="46">
        <v>12</v>
      </c>
      <c r="D32" s="49">
        <v>200</v>
      </c>
      <c r="E32" s="49">
        <f t="shared" si="1"/>
        <v>2400</v>
      </c>
    </row>
    <row r="33" spans="1:5" ht="15.6" x14ac:dyDescent="0.3">
      <c r="A33" s="45" t="s">
        <v>143</v>
      </c>
      <c r="B33" s="45" t="s">
        <v>106</v>
      </c>
      <c r="C33" s="46">
        <v>12</v>
      </c>
      <c r="D33" s="49">
        <v>700</v>
      </c>
      <c r="E33" s="49">
        <f t="shared" si="1"/>
        <v>8400</v>
      </c>
    </row>
    <row r="34" spans="1:5" ht="15.6" x14ac:dyDescent="0.3">
      <c r="A34" s="45" t="s">
        <v>144</v>
      </c>
      <c r="B34" s="45" t="s">
        <v>106</v>
      </c>
      <c r="C34" s="46">
        <v>12</v>
      </c>
      <c r="D34" s="49">
        <v>200</v>
      </c>
      <c r="E34" s="49">
        <f t="shared" si="1"/>
        <v>2400</v>
      </c>
    </row>
    <row r="35" spans="1:5" ht="15.6" x14ac:dyDescent="0.3">
      <c r="A35" s="45" t="s">
        <v>145</v>
      </c>
      <c r="B35" s="45" t="s">
        <v>106</v>
      </c>
      <c r="C35" s="46">
        <v>12</v>
      </c>
      <c r="D35" s="49">
        <v>1500</v>
      </c>
      <c r="E35" s="49">
        <f t="shared" si="1"/>
        <v>18000</v>
      </c>
    </row>
    <row r="36" spans="1:5" ht="15.6" x14ac:dyDescent="0.3">
      <c r="A36" s="45" t="s">
        <v>146</v>
      </c>
      <c r="B36" s="45" t="s">
        <v>106</v>
      </c>
      <c r="C36" s="46">
        <v>4</v>
      </c>
      <c r="D36" s="49">
        <v>100</v>
      </c>
      <c r="E36" s="49">
        <f t="shared" si="1"/>
        <v>400</v>
      </c>
    </row>
    <row r="37" spans="1:5" ht="15.6" x14ac:dyDescent="0.3">
      <c r="A37" s="45" t="s">
        <v>147</v>
      </c>
      <c r="B37" s="45" t="s">
        <v>106</v>
      </c>
      <c r="C37" s="46">
        <v>4</v>
      </c>
      <c r="D37" s="49">
        <v>10000</v>
      </c>
      <c r="E37" s="49">
        <f t="shared" si="1"/>
        <v>40000</v>
      </c>
    </row>
    <row r="38" spans="1:5" ht="15.6" x14ac:dyDescent="0.3">
      <c r="A38" s="45" t="s">
        <v>148</v>
      </c>
      <c r="B38" s="45" t="s">
        <v>106</v>
      </c>
      <c r="C38" s="46">
        <v>1</v>
      </c>
      <c r="D38" s="52">
        <f>99*3.98</f>
        <v>394.02</v>
      </c>
      <c r="E38" s="51">
        <f t="shared" si="1"/>
        <v>394.02</v>
      </c>
    </row>
    <row r="39" spans="1:5" ht="15.6" x14ac:dyDescent="0.3">
      <c r="A39" s="45" t="s">
        <v>149</v>
      </c>
      <c r="B39" s="45" t="s">
        <v>106</v>
      </c>
      <c r="C39" s="46">
        <v>12</v>
      </c>
      <c r="D39" s="49">
        <f>908*3.98</f>
        <v>3613.84</v>
      </c>
      <c r="E39" s="51">
        <f t="shared" si="1"/>
        <v>43366.080000000002</v>
      </c>
    </row>
    <row r="40" spans="1:5" ht="15.6" x14ac:dyDescent="0.3">
      <c r="A40" s="45" t="s">
        <v>150</v>
      </c>
      <c r="B40" s="45" t="s">
        <v>106</v>
      </c>
      <c r="C40" s="46">
        <v>12</v>
      </c>
      <c r="D40" s="49">
        <f>'ESTRUCTURA DE COSTOS'!D22+'ESTRUCTURA DE COSTOS'!D23+'ESTRUCTURA DE COSTOS'!D24</f>
        <v>10200</v>
      </c>
      <c r="E40" s="51">
        <f>D40*C40*1.37</f>
        <v>167688</v>
      </c>
    </row>
    <row r="41" spans="1:5" ht="15.6" x14ac:dyDescent="0.3">
      <c r="A41" s="422" t="s">
        <v>110</v>
      </c>
      <c r="B41" s="422"/>
      <c r="C41" s="422"/>
      <c r="D41" s="422"/>
      <c r="E41" s="247">
        <f>SUM(E30:E40)</f>
        <v>302248.09999999998</v>
      </c>
    </row>
    <row r="43" spans="1:5" ht="15.6" x14ac:dyDescent="0.3">
      <c r="A43" s="411" t="s">
        <v>151</v>
      </c>
      <c r="B43" s="411"/>
      <c r="C43" s="411"/>
      <c r="D43" s="411"/>
      <c r="E43" s="411"/>
    </row>
    <row r="44" spans="1:5" ht="15.6" x14ac:dyDescent="0.3">
      <c r="A44" s="45" t="s">
        <v>99</v>
      </c>
      <c r="B44" s="45" t="s">
        <v>100</v>
      </c>
      <c r="C44" s="45" t="s">
        <v>101</v>
      </c>
      <c r="D44" s="50" t="s">
        <v>102</v>
      </c>
      <c r="E44" s="50" t="s">
        <v>103</v>
      </c>
    </row>
    <row r="45" spans="1:5" ht="15.6" x14ac:dyDescent="0.3">
      <c r="A45" s="45" t="s">
        <v>152</v>
      </c>
      <c r="B45" s="45" t="s">
        <v>106</v>
      </c>
      <c r="C45" s="45">
        <v>1</v>
      </c>
      <c r="D45" s="49">
        <v>3500</v>
      </c>
      <c r="E45" s="49">
        <f>D45*12*1.37*C45</f>
        <v>57540.000000000007</v>
      </c>
    </row>
    <row r="46" spans="1:5" ht="15.6" x14ac:dyDescent="0.3">
      <c r="A46" s="45" t="s">
        <v>153</v>
      </c>
      <c r="B46" s="45" t="s">
        <v>106</v>
      </c>
      <c r="C46" s="45">
        <v>1</v>
      </c>
      <c r="D46" s="49">
        <v>3000</v>
      </c>
      <c r="E46" s="49">
        <f t="shared" ref="E46:E48" si="2">D46*12*1.37*C46</f>
        <v>49320.000000000007</v>
      </c>
    </row>
    <row r="47" spans="1:5" ht="15.6" x14ac:dyDescent="0.3">
      <c r="A47" s="45" t="s">
        <v>154</v>
      </c>
      <c r="B47" s="45" t="s">
        <v>106</v>
      </c>
      <c r="C47" s="45">
        <v>12</v>
      </c>
      <c r="D47" s="49">
        <v>950</v>
      </c>
      <c r="E47" s="49">
        <f t="shared" si="2"/>
        <v>187416.00000000003</v>
      </c>
    </row>
    <row r="48" spans="1:5" ht="15.6" x14ac:dyDescent="0.3">
      <c r="A48" s="45" t="s">
        <v>155</v>
      </c>
      <c r="B48" s="45" t="s">
        <v>106</v>
      </c>
      <c r="C48" s="45">
        <v>57</v>
      </c>
      <c r="D48" s="49">
        <v>1300</v>
      </c>
      <c r="E48" s="49">
        <f t="shared" si="2"/>
        <v>1218204</v>
      </c>
    </row>
    <row r="49" spans="1:7" ht="15.6" x14ac:dyDescent="0.3">
      <c r="A49" s="382" t="s">
        <v>110</v>
      </c>
      <c r="B49" s="423"/>
      <c r="C49" s="423"/>
      <c r="D49" s="383"/>
      <c r="E49" s="248">
        <f>SUM(E45:E48)</f>
        <v>1512480</v>
      </c>
    </row>
    <row r="51" spans="1:7" ht="15.6" x14ac:dyDescent="0.3">
      <c r="A51" s="412" t="s">
        <v>156</v>
      </c>
      <c r="B51" s="412"/>
      <c r="C51" s="412"/>
      <c r="D51" s="412"/>
      <c r="E51" s="412"/>
    </row>
    <row r="52" spans="1:7" ht="15.6" x14ac:dyDescent="0.3">
      <c r="A52" s="45" t="s">
        <v>35</v>
      </c>
      <c r="B52" s="45" t="s">
        <v>100</v>
      </c>
      <c r="C52" s="45" t="s">
        <v>130</v>
      </c>
      <c r="D52" s="208" t="s">
        <v>37</v>
      </c>
      <c r="E52" s="208" t="s">
        <v>103</v>
      </c>
    </row>
    <row r="53" spans="1:7" ht="15.6" x14ac:dyDescent="0.3">
      <c r="A53" s="45" t="s">
        <v>157</v>
      </c>
      <c r="B53" s="45" t="s">
        <v>106</v>
      </c>
      <c r="C53" s="50">
        <v>12</v>
      </c>
      <c r="D53" s="47">
        <v>100</v>
      </c>
      <c r="E53" s="47">
        <f>C53*D53</f>
        <v>1200</v>
      </c>
    </row>
    <row r="54" spans="1:7" ht="15.6" x14ac:dyDescent="0.3">
      <c r="A54" s="45" t="s">
        <v>158</v>
      </c>
      <c r="B54" s="45" t="s">
        <v>106</v>
      </c>
      <c r="C54" s="50">
        <v>12</v>
      </c>
      <c r="D54" s="47">
        <f>('ESTRUCTURA DE COSTOS'!C45*'ESTRUCTURA DE COSTOS'!D45)+('ESTRUCTURA DE COSTOS'!C46*'ESTRUCTURA DE COSTOS'!D46)+('ESTRUCTURA DE COSTOS'!C47*'ESTRUCTURA DE COSTOS'!D47)+(C48*D48)</f>
        <v>92000</v>
      </c>
      <c r="E54" s="47">
        <f>D54*C54*1.37</f>
        <v>1512480.0000000002</v>
      </c>
    </row>
    <row r="55" spans="1:7" ht="15.6" x14ac:dyDescent="0.3">
      <c r="A55" s="45" t="s">
        <v>159</v>
      </c>
      <c r="B55" s="45" t="s">
        <v>106</v>
      </c>
      <c r="C55" s="50">
        <v>12</v>
      </c>
      <c r="D55" s="47">
        <v>100</v>
      </c>
      <c r="E55" s="47">
        <f>D55*C55</f>
        <v>1200</v>
      </c>
    </row>
    <row r="56" spans="1:7" ht="15.6" x14ac:dyDescent="0.3">
      <c r="A56" s="382" t="s">
        <v>110</v>
      </c>
      <c r="B56" s="423"/>
      <c r="C56" s="423"/>
      <c r="D56" s="383"/>
      <c r="E56" s="249">
        <f>SUM(E53:E55)</f>
        <v>1514880.0000000002</v>
      </c>
    </row>
    <row r="58" spans="1:7" ht="15.6" x14ac:dyDescent="0.3">
      <c r="A58" s="413" t="s">
        <v>160</v>
      </c>
      <c r="B58" s="413"/>
      <c r="C58" s="413"/>
      <c r="D58" s="413"/>
      <c r="E58" s="413"/>
      <c r="F58" s="413"/>
      <c r="G58" s="413"/>
    </row>
    <row r="59" spans="1:7" ht="15.6" x14ac:dyDescent="0.3">
      <c r="A59" s="251" t="s">
        <v>35</v>
      </c>
      <c r="B59" s="251" t="s">
        <v>100</v>
      </c>
      <c r="C59" s="251" t="s">
        <v>87</v>
      </c>
      <c r="D59" s="252" t="s">
        <v>88</v>
      </c>
      <c r="E59" s="251" t="s">
        <v>89</v>
      </c>
      <c r="F59" s="252" t="s">
        <v>90</v>
      </c>
      <c r="G59" s="251" t="s">
        <v>91</v>
      </c>
    </row>
    <row r="60" spans="1:7" ht="15.6" x14ac:dyDescent="0.3">
      <c r="A60" s="45" t="s">
        <v>161</v>
      </c>
      <c r="B60" s="45" t="s">
        <v>162</v>
      </c>
      <c r="C60" s="54">
        <f t="shared" ref="C60:G61" si="3">C65</f>
        <v>8424</v>
      </c>
      <c r="D60" s="54">
        <f t="shared" si="3"/>
        <v>9107.6831999999995</v>
      </c>
      <c r="E60" s="54">
        <f t="shared" si="3"/>
        <v>9877.68</v>
      </c>
      <c r="F60" s="54">
        <f t="shared" si="3"/>
        <v>10702.886400000001</v>
      </c>
      <c r="G60" s="54">
        <f t="shared" si="3"/>
        <v>11585.894400000001</v>
      </c>
    </row>
    <row r="61" spans="1:7" ht="15.6" x14ac:dyDescent="0.3">
      <c r="A61" s="45" t="s">
        <v>163</v>
      </c>
      <c r="B61" s="45" t="s">
        <v>162</v>
      </c>
      <c r="C61" s="54">
        <f t="shared" si="3"/>
        <v>673920</v>
      </c>
      <c r="D61" s="54">
        <f t="shared" si="3"/>
        <v>703296</v>
      </c>
      <c r="E61" s="54">
        <f t="shared" si="3"/>
        <v>734400</v>
      </c>
      <c r="F61" s="54">
        <f t="shared" si="3"/>
        <v>767232</v>
      </c>
      <c r="G61" s="54">
        <f t="shared" si="3"/>
        <v>801792</v>
      </c>
    </row>
    <row r="62" spans="1:7" ht="15.6" x14ac:dyDescent="0.3">
      <c r="A62" s="382" t="s">
        <v>110</v>
      </c>
      <c r="B62" s="383"/>
      <c r="C62" s="250">
        <f>SUM(C60:C61)</f>
        <v>682344</v>
      </c>
      <c r="D62" s="250">
        <f>SUM(D60:D61)</f>
        <v>712403.68319999997</v>
      </c>
      <c r="E62" s="250">
        <f>SUM(E60:E61)</f>
        <v>744277.68</v>
      </c>
      <c r="F62" s="250">
        <f>SUM(F60:F61)</f>
        <v>777934.88639999996</v>
      </c>
      <c r="G62" s="250">
        <f>SUM(G60:G61)</f>
        <v>813377.89439999999</v>
      </c>
    </row>
    <row r="64" spans="1:7" ht="15.6" x14ac:dyDescent="0.3">
      <c r="A64" s="48" t="s">
        <v>164</v>
      </c>
      <c r="B64" s="53" t="s">
        <v>165</v>
      </c>
      <c r="C64" s="253" t="s">
        <v>87</v>
      </c>
      <c r="D64" s="253" t="s">
        <v>88</v>
      </c>
      <c r="E64" s="253" t="s">
        <v>89</v>
      </c>
      <c r="F64" s="253" t="s">
        <v>90</v>
      </c>
      <c r="G64" s="253" t="s">
        <v>91</v>
      </c>
    </row>
    <row r="65" spans="1:7" ht="15.6" x14ac:dyDescent="0.3">
      <c r="A65" s="48" t="s">
        <v>161</v>
      </c>
      <c r="B65" s="48" t="s">
        <v>166</v>
      </c>
      <c r="C65" s="213">
        <f>(INGRESOS!C11*0.2)/100</f>
        <v>8424</v>
      </c>
      <c r="D65" s="213">
        <f>(INGRESOS!D11*0.2)/100</f>
        <v>9107.6831999999995</v>
      </c>
      <c r="E65" s="213">
        <f>(INGRESOS!E11*0.2)/100</f>
        <v>9877.68</v>
      </c>
      <c r="F65" s="213">
        <f>(INGRESOS!F11*0.2)/100</f>
        <v>10702.886400000001</v>
      </c>
      <c r="G65" s="213">
        <f>(INGRESOS!G11*0.2)/100</f>
        <v>11585.894400000001</v>
      </c>
    </row>
    <row r="66" spans="1:7" ht="15.6" x14ac:dyDescent="0.3">
      <c r="A66" s="45" t="s">
        <v>163</v>
      </c>
      <c r="B66" s="101" t="s">
        <v>167</v>
      </c>
      <c r="C66" s="214">
        <f>1*'ESTRUCTURA DE COSTOS'!L15</f>
        <v>673920</v>
      </c>
      <c r="D66" s="214">
        <f>1*'ESTRUCTURA DE COSTOS'!M15</f>
        <v>703296</v>
      </c>
      <c r="E66" s="214">
        <f>1*'ESTRUCTURA DE COSTOS'!N15</f>
        <v>734400</v>
      </c>
      <c r="F66" s="214">
        <f>1*'ESTRUCTURA DE COSTOS'!O15</f>
        <v>767232</v>
      </c>
      <c r="G66" s="214">
        <f>1*'ESTRUCTURA DE COSTOS'!P15</f>
        <v>801792</v>
      </c>
    </row>
  </sheetData>
  <mergeCells count="37">
    <mergeCell ref="A28:E28"/>
    <mergeCell ref="A43:E43"/>
    <mergeCell ref="A51:E51"/>
    <mergeCell ref="A58:G58"/>
    <mergeCell ref="H12:I12"/>
    <mergeCell ref="H13:I13"/>
    <mergeCell ref="H14:I14"/>
    <mergeCell ref="H15:K15"/>
    <mergeCell ref="A20:E20"/>
    <mergeCell ref="J14:K14"/>
    <mergeCell ref="J12:K12"/>
    <mergeCell ref="A41:D41"/>
    <mergeCell ref="A49:D49"/>
    <mergeCell ref="A56:D56"/>
    <mergeCell ref="H9:I9"/>
    <mergeCell ref="H10:I10"/>
    <mergeCell ref="H11:I11"/>
    <mergeCell ref="J8:K8"/>
    <mergeCell ref="J9:K9"/>
    <mergeCell ref="J10:K10"/>
    <mergeCell ref="J11:K11"/>
    <mergeCell ref="A62:B62"/>
    <mergeCell ref="A1:E1"/>
    <mergeCell ref="A7:E7"/>
    <mergeCell ref="A13:E13"/>
    <mergeCell ref="H1:J1"/>
    <mergeCell ref="H2:I2"/>
    <mergeCell ref="H4:I4"/>
    <mergeCell ref="H5:I5"/>
    <mergeCell ref="H6:I6"/>
    <mergeCell ref="H7:I7"/>
    <mergeCell ref="H3:I3"/>
    <mergeCell ref="J2:J6"/>
    <mergeCell ref="H8:I8"/>
    <mergeCell ref="J13:K13"/>
    <mergeCell ref="A5:D5"/>
    <mergeCell ref="A11:D11"/>
  </mergeCells>
  <phoneticPr fontId="9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C2B0-8569-4EE4-8B52-6324E1151362}">
  <dimension ref="A3:F13"/>
  <sheetViews>
    <sheetView workbookViewId="0">
      <selection activeCell="H13" sqref="H13"/>
    </sheetView>
  </sheetViews>
  <sheetFormatPr baseColWidth="10" defaultColWidth="11.44140625" defaultRowHeight="14.4" x14ac:dyDescent="0.3"/>
  <cols>
    <col min="1" max="1" width="34.109375" bestFit="1" customWidth="1"/>
    <col min="2" max="6" width="15.6640625" bestFit="1" customWidth="1"/>
  </cols>
  <sheetData>
    <row r="3" spans="1:6" ht="17.399999999999999" x14ac:dyDescent="0.3">
      <c r="A3" s="424" t="s">
        <v>168</v>
      </c>
      <c r="B3" s="424"/>
      <c r="C3" s="424"/>
      <c r="D3" s="424"/>
      <c r="E3" s="424"/>
      <c r="F3" s="424"/>
    </row>
    <row r="4" spans="1:6" ht="15.6" x14ac:dyDescent="0.3">
      <c r="A4" s="45"/>
      <c r="B4" s="263" t="s">
        <v>87</v>
      </c>
      <c r="C4" s="263" t="s">
        <v>88</v>
      </c>
      <c r="D4" s="263" t="s">
        <v>89</v>
      </c>
      <c r="E4" s="263" t="s">
        <v>90</v>
      </c>
      <c r="F4" s="263" t="s">
        <v>91</v>
      </c>
    </row>
    <row r="5" spans="1:6" ht="15.6" x14ac:dyDescent="0.3">
      <c r="A5" s="45" t="s">
        <v>169</v>
      </c>
      <c r="B5" s="209">
        <f>'ESTRUCTURA DE COSTOS'!$E$5</f>
        <v>118368.00000000001</v>
      </c>
      <c r="C5" s="209">
        <f>'ESTRUCTURA DE COSTOS'!$E$5</f>
        <v>118368.00000000001</v>
      </c>
      <c r="D5" s="209">
        <f>'ESTRUCTURA DE COSTOS'!$E$5</f>
        <v>118368.00000000001</v>
      </c>
      <c r="E5" s="209">
        <f>'ESTRUCTURA DE COSTOS'!$E$5</f>
        <v>118368.00000000001</v>
      </c>
      <c r="F5" s="209">
        <f>'ESTRUCTURA DE COSTOS'!$E$5</f>
        <v>118368.00000000001</v>
      </c>
    </row>
    <row r="6" spans="1:6" ht="15.6" x14ac:dyDescent="0.3">
      <c r="A6" s="45" t="s">
        <v>170</v>
      </c>
      <c r="B6" s="70">
        <f>'ESTRUCTURA DE COSTOS'!$E$11</f>
        <v>121656.00000000001</v>
      </c>
      <c r="C6" s="70">
        <f>'ESTRUCTURA DE COSTOS'!$E$11</f>
        <v>121656.00000000001</v>
      </c>
      <c r="D6" s="70">
        <f>'ESTRUCTURA DE COSTOS'!$E$11</f>
        <v>121656.00000000001</v>
      </c>
      <c r="E6" s="70">
        <f>'ESTRUCTURA DE COSTOS'!$E$11</f>
        <v>121656.00000000001</v>
      </c>
      <c r="F6" s="70">
        <f>'ESTRUCTURA DE COSTOS'!$E$11</f>
        <v>121656.00000000001</v>
      </c>
    </row>
    <row r="7" spans="1:6" ht="15.6" x14ac:dyDescent="0.3">
      <c r="A7" s="1" t="s">
        <v>171</v>
      </c>
      <c r="B7" s="70">
        <f>'ESTRUCTURA DE COSTOS'!$E$18</f>
        <v>107600</v>
      </c>
      <c r="C7" s="70">
        <f>'ESTRUCTURA DE COSTOS'!$E$18</f>
        <v>107600</v>
      </c>
      <c r="D7" s="70">
        <f>'ESTRUCTURA DE COSTOS'!$E$18</f>
        <v>107600</v>
      </c>
      <c r="E7" s="70">
        <f>'ESTRUCTURA DE COSTOS'!$E$18</f>
        <v>107600</v>
      </c>
      <c r="F7" s="70">
        <f>'ESTRUCTURA DE COSTOS'!$E$18</f>
        <v>107600</v>
      </c>
    </row>
    <row r="8" spans="1:6" ht="15.6" x14ac:dyDescent="0.3">
      <c r="A8" s="264" t="s">
        <v>172</v>
      </c>
      <c r="B8" s="265">
        <f>SUM(B5:B7)</f>
        <v>347624</v>
      </c>
      <c r="C8" s="265">
        <f t="shared" ref="C8:F8" si="0">SUM(C5:C7)</f>
        <v>347624</v>
      </c>
      <c r="D8" s="265">
        <f t="shared" si="0"/>
        <v>347624</v>
      </c>
      <c r="E8" s="265">
        <f t="shared" si="0"/>
        <v>347624</v>
      </c>
      <c r="F8" s="265">
        <f t="shared" si="0"/>
        <v>347624</v>
      </c>
    </row>
    <row r="9" spans="1:6" ht="15.6" x14ac:dyDescent="0.3">
      <c r="A9" s="1" t="s">
        <v>173</v>
      </c>
      <c r="B9" s="70">
        <f>'ESTRUCTURA DE COSTOS'!$E$41</f>
        <v>302248.09999999998</v>
      </c>
      <c r="C9" s="70">
        <f>'ESTRUCTURA DE COSTOS'!$E$41</f>
        <v>302248.09999999998</v>
      </c>
      <c r="D9" s="70">
        <f>'ESTRUCTURA DE COSTOS'!$E$41</f>
        <v>302248.09999999998</v>
      </c>
      <c r="E9" s="70">
        <f>'ESTRUCTURA DE COSTOS'!$E$41</f>
        <v>302248.09999999998</v>
      </c>
      <c r="F9" s="70">
        <f>'ESTRUCTURA DE COSTOS'!$E$41</f>
        <v>302248.09999999998</v>
      </c>
    </row>
    <row r="10" spans="1:6" ht="15.6" x14ac:dyDescent="0.3">
      <c r="A10" s="1" t="s">
        <v>174</v>
      </c>
      <c r="B10" s="70">
        <f>'ESTRUCTURA DE COSTOS'!$E$49</f>
        <v>1512480</v>
      </c>
      <c r="C10" s="70">
        <f>'ESTRUCTURA DE COSTOS'!$E$49</f>
        <v>1512480</v>
      </c>
      <c r="D10" s="70">
        <f>'ESTRUCTURA DE COSTOS'!$E$49</f>
        <v>1512480</v>
      </c>
      <c r="E10" s="70">
        <f>'ESTRUCTURA DE COSTOS'!$E$49</f>
        <v>1512480</v>
      </c>
      <c r="F10" s="70">
        <f>'ESTRUCTURA DE COSTOS'!$E$49</f>
        <v>1512480</v>
      </c>
    </row>
    <row r="11" spans="1:6" ht="15.6" x14ac:dyDescent="0.3">
      <c r="A11" s="1" t="s">
        <v>175</v>
      </c>
      <c r="B11" s="70">
        <f>'ESTRUCTURA DE COSTOS'!C62</f>
        <v>682344</v>
      </c>
      <c r="C11" s="70">
        <f>'ESTRUCTURA DE COSTOS'!D62</f>
        <v>712403.68319999997</v>
      </c>
      <c r="D11" s="70">
        <f>'ESTRUCTURA DE COSTOS'!E62</f>
        <v>744277.68</v>
      </c>
      <c r="E11" s="70">
        <f>'ESTRUCTURA DE COSTOS'!F62</f>
        <v>777934.88639999996</v>
      </c>
      <c r="F11" s="70">
        <f>'ESTRUCTURA DE COSTOS'!G62</f>
        <v>813377.89439999999</v>
      </c>
    </row>
    <row r="12" spans="1:6" ht="15.6" x14ac:dyDescent="0.3">
      <c r="A12" s="266" t="s">
        <v>176</v>
      </c>
      <c r="B12" s="267">
        <f>SUM(B9:B11)</f>
        <v>2497072.1</v>
      </c>
      <c r="C12" s="267">
        <f t="shared" ref="C12:F12" si="1">SUM(C9:C11)</f>
        <v>2527131.7831999999</v>
      </c>
      <c r="D12" s="267">
        <f t="shared" si="1"/>
        <v>2559005.7800000003</v>
      </c>
      <c r="E12" s="267">
        <f t="shared" si="1"/>
        <v>2592662.9863999998</v>
      </c>
      <c r="F12" s="267">
        <f t="shared" si="1"/>
        <v>2628105.9944000002</v>
      </c>
    </row>
    <row r="13" spans="1:6" ht="15.6" x14ac:dyDescent="0.3">
      <c r="A13" s="266" t="s">
        <v>177</v>
      </c>
      <c r="B13" s="267">
        <f>SUM(B8,B12)</f>
        <v>2844696.1</v>
      </c>
      <c r="C13" s="267">
        <f t="shared" ref="C13:F13" si="2">SUM(C8,C12)</f>
        <v>2874755.7831999999</v>
      </c>
      <c r="D13" s="267">
        <f t="shared" si="2"/>
        <v>2906629.7800000003</v>
      </c>
      <c r="E13" s="267">
        <f t="shared" si="2"/>
        <v>2940286.9863999998</v>
      </c>
      <c r="F13" s="267">
        <f t="shared" si="2"/>
        <v>2975729.9944000002</v>
      </c>
    </row>
  </sheetData>
  <mergeCells count="1">
    <mergeCell ref="A3:F3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FC19-281C-418C-8257-CF0DAA1F97CA}">
  <dimension ref="A1:Q23"/>
  <sheetViews>
    <sheetView topLeftCell="C1" workbookViewId="0">
      <selection activeCell="K7" sqref="K7"/>
    </sheetView>
  </sheetViews>
  <sheetFormatPr baseColWidth="10" defaultColWidth="11.44140625" defaultRowHeight="14.4" x14ac:dyDescent="0.3"/>
  <cols>
    <col min="2" max="2" width="23.33203125" bestFit="1" customWidth="1"/>
    <col min="3" max="3" width="14.5546875" bestFit="1" customWidth="1"/>
    <col min="7" max="7" width="30.44140625" bestFit="1" customWidth="1"/>
    <col min="8" max="8" width="14.109375" customWidth="1"/>
    <col min="11" max="11" width="19.88671875" bestFit="1" customWidth="1"/>
  </cols>
  <sheetData>
    <row r="1" spans="1:17" ht="15.6" x14ac:dyDescent="0.3">
      <c r="A1" s="411" t="s">
        <v>178</v>
      </c>
      <c r="B1" s="411"/>
      <c r="J1" s="427" t="s">
        <v>179</v>
      </c>
      <c r="K1" s="427"/>
      <c r="L1" s="427"/>
      <c r="M1" s="427"/>
      <c r="N1" s="427"/>
      <c r="O1" s="427"/>
      <c r="P1" s="427"/>
      <c r="Q1" s="427"/>
    </row>
    <row r="2" spans="1:17" ht="15.6" x14ac:dyDescent="0.3">
      <c r="A2" s="72"/>
      <c r="B2" s="72"/>
      <c r="C2" s="72"/>
      <c r="D2" s="72"/>
      <c r="E2" s="72"/>
      <c r="F2" s="72"/>
      <c r="G2" s="72"/>
      <c r="H2" s="72"/>
      <c r="I2" s="81"/>
      <c r="J2" s="60"/>
      <c r="K2" s="60"/>
      <c r="L2" s="69" t="s">
        <v>180</v>
      </c>
      <c r="M2" s="69" t="s">
        <v>116</v>
      </c>
      <c r="N2" s="69" t="s">
        <v>117</v>
      </c>
      <c r="O2" s="69" t="s">
        <v>118</v>
      </c>
      <c r="P2" s="69" t="s">
        <v>119</v>
      </c>
      <c r="Q2" s="69" t="s">
        <v>120</v>
      </c>
    </row>
    <row r="3" spans="1:17" ht="15.6" x14ac:dyDescent="0.3">
      <c r="A3" s="72"/>
      <c r="B3" s="72"/>
      <c r="C3" s="72"/>
      <c r="D3" s="72"/>
      <c r="E3" s="72"/>
      <c r="F3" s="72"/>
      <c r="G3" s="73" t="s">
        <v>181</v>
      </c>
      <c r="H3" s="73" t="s">
        <v>182</v>
      </c>
      <c r="J3" s="411" t="s">
        <v>183</v>
      </c>
      <c r="K3" s="411"/>
      <c r="L3" s="227">
        <v>0</v>
      </c>
      <c r="M3" s="47">
        <f>(30/360)*'COSTOS OPERATIVOS'!B13</f>
        <v>237058.00833333333</v>
      </c>
      <c r="N3" s="47">
        <f>(30/360)*'COSTOS OPERATIVOS'!C13</f>
        <v>239562.98193333333</v>
      </c>
      <c r="O3" s="47">
        <f>(30/360)*'COSTOS OPERATIVOS'!D13</f>
        <v>242219.14833333335</v>
      </c>
      <c r="P3" s="47">
        <f>(30/360)*'COSTOS OPERATIVOS'!E13</f>
        <v>245023.91553333332</v>
      </c>
      <c r="Q3" s="47">
        <f>(30/360)*'COSTOS OPERATIVOS'!F13</f>
        <v>247977.49953333335</v>
      </c>
    </row>
    <row r="4" spans="1:17" ht="15.6" x14ac:dyDescent="0.3">
      <c r="A4" s="72"/>
      <c r="B4" s="72"/>
      <c r="C4" s="72"/>
      <c r="D4" s="72"/>
      <c r="E4" s="72"/>
      <c r="F4" s="72"/>
      <c r="G4" s="73" t="s">
        <v>184</v>
      </c>
      <c r="H4" s="74">
        <v>0</v>
      </c>
      <c r="J4" s="411" t="s">
        <v>185</v>
      </c>
      <c r="K4" s="411"/>
      <c r="L4" s="47">
        <f>M3-L3</f>
        <v>237058.00833333333</v>
      </c>
      <c r="M4" s="47">
        <f>N3-M3</f>
        <v>2504.9735999999975</v>
      </c>
      <c r="N4" s="47">
        <f t="shared" ref="N4:P4" si="0">O3-N3</f>
        <v>2656.1664000000164</v>
      </c>
      <c r="O4" s="47">
        <f t="shared" si="0"/>
        <v>2804.7671999999729</v>
      </c>
      <c r="P4" s="47">
        <f t="shared" si="0"/>
        <v>2953.5840000000317</v>
      </c>
      <c r="Q4" s="47">
        <v>0</v>
      </c>
    </row>
    <row r="5" spans="1:17" ht="15.6" x14ac:dyDescent="0.3">
      <c r="A5" s="72"/>
      <c r="B5" s="72"/>
      <c r="C5" s="72"/>
      <c r="D5" s="72"/>
      <c r="E5" s="72"/>
      <c r="F5" s="72"/>
      <c r="G5" s="72"/>
      <c r="H5" s="72"/>
      <c r="I5" s="81"/>
    </row>
    <row r="6" spans="1:17" ht="15.6" x14ac:dyDescent="0.3">
      <c r="A6" s="72"/>
      <c r="B6" s="72"/>
      <c r="C6" s="72"/>
      <c r="D6" s="72"/>
      <c r="E6" s="72"/>
      <c r="F6" s="72"/>
      <c r="G6" s="72"/>
      <c r="H6" s="72"/>
      <c r="I6" s="81"/>
      <c r="J6" s="428" t="s">
        <v>186</v>
      </c>
      <c r="K6" s="428"/>
      <c r="L6" s="249">
        <f>SUM(L4:P4)</f>
        <v>247977.49953333335</v>
      </c>
      <c r="M6" s="81"/>
    </row>
    <row r="7" spans="1:17" ht="15.6" x14ac:dyDescent="0.3">
      <c r="A7" s="72"/>
      <c r="B7" s="71"/>
      <c r="C7" s="71"/>
      <c r="D7" s="71"/>
      <c r="E7" s="71"/>
      <c r="F7" s="72"/>
      <c r="G7" s="72"/>
      <c r="H7" s="72"/>
      <c r="I7" s="81"/>
      <c r="J7" s="81"/>
      <c r="K7" s="81"/>
      <c r="L7" s="81"/>
      <c r="M7" s="81"/>
    </row>
    <row r="8" spans="1:17" ht="15.6" x14ac:dyDescent="0.3">
      <c r="A8" s="72"/>
      <c r="B8" s="72"/>
      <c r="C8" s="72"/>
      <c r="D8" s="72"/>
      <c r="E8" s="72"/>
      <c r="F8" s="72"/>
      <c r="G8" s="72"/>
      <c r="H8" s="72"/>
      <c r="I8" s="81"/>
      <c r="J8" s="81"/>
      <c r="K8" s="81"/>
      <c r="L8" s="81"/>
      <c r="M8" s="81"/>
    </row>
    <row r="9" spans="1:17" ht="15.6" x14ac:dyDescent="0.3">
      <c r="A9" s="72"/>
      <c r="B9" s="71"/>
      <c r="C9" s="425"/>
      <c r="D9" s="426"/>
      <c r="E9" s="426"/>
      <c r="F9" s="72"/>
      <c r="G9" s="72"/>
      <c r="H9" s="72"/>
      <c r="I9" s="81"/>
      <c r="J9" s="81"/>
      <c r="K9" s="81"/>
      <c r="L9" s="81"/>
      <c r="M9" s="81"/>
    </row>
    <row r="10" spans="1:17" ht="15.6" x14ac:dyDescent="0.3">
      <c r="A10" s="72"/>
      <c r="B10" s="72"/>
      <c r="C10" s="72"/>
      <c r="D10" s="72"/>
      <c r="E10" s="72"/>
      <c r="F10" s="72"/>
      <c r="G10" s="75"/>
      <c r="H10" s="75"/>
      <c r="I10" s="81"/>
      <c r="J10" s="81"/>
      <c r="K10" s="81"/>
      <c r="L10" s="81"/>
      <c r="M10" s="81"/>
      <c r="N10" s="228">
        <f>SUM(M4:P4)</f>
        <v>10919.491200000019</v>
      </c>
    </row>
    <row r="11" spans="1:17" ht="15.6" x14ac:dyDescent="0.3">
      <c r="A11" s="72"/>
      <c r="B11" s="72"/>
      <c r="C11" s="72"/>
      <c r="D11" s="72"/>
      <c r="E11" s="75"/>
      <c r="F11" s="75"/>
      <c r="G11" s="75"/>
      <c r="H11" s="75"/>
      <c r="I11" s="81"/>
      <c r="J11" s="81"/>
      <c r="K11" s="81"/>
      <c r="L11" s="81"/>
      <c r="M11" s="81"/>
    </row>
    <row r="12" spans="1:17" ht="15.6" x14ac:dyDescent="0.3">
      <c r="A12" s="72"/>
      <c r="B12" s="72"/>
      <c r="C12" s="72"/>
      <c r="D12" s="72"/>
      <c r="E12" s="75"/>
      <c r="F12" s="75"/>
      <c r="G12" s="73"/>
      <c r="H12" s="73"/>
      <c r="I12" s="81"/>
      <c r="J12" s="81"/>
      <c r="K12" s="210"/>
      <c r="L12" s="81"/>
      <c r="M12" s="81"/>
    </row>
    <row r="13" spans="1:17" ht="15.6" x14ac:dyDescent="0.3">
      <c r="A13" s="72"/>
      <c r="B13" s="72"/>
      <c r="C13" s="72"/>
      <c r="D13" s="72"/>
      <c r="E13" s="75"/>
      <c r="F13" s="75"/>
      <c r="G13" s="73"/>
      <c r="H13" s="73"/>
      <c r="I13" s="81"/>
      <c r="J13" s="81"/>
      <c r="K13" s="219"/>
      <c r="L13" s="81"/>
      <c r="M13" s="81"/>
    </row>
    <row r="14" spans="1:17" ht="15.6" x14ac:dyDescent="0.3">
      <c r="A14" s="72"/>
      <c r="B14" s="72"/>
      <c r="C14" s="72"/>
      <c r="D14" s="72"/>
      <c r="E14" s="75"/>
      <c r="F14" s="75"/>
      <c r="G14" s="75"/>
      <c r="H14" s="72"/>
      <c r="I14" s="81"/>
      <c r="J14" s="81"/>
      <c r="K14" s="219"/>
      <c r="L14" s="81"/>
      <c r="M14" s="81"/>
    </row>
    <row r="15" spans="1:17" ht="15.6" x14ac:dyDescent="0.3">
      <c r="A15" s="72"/>
      <c r="B15" s="72"/>
      <c r="C15" s="72"/>
      <c r="D15" s="72"/>
      <c r="E15" s="75"/>
      <c r="F15" s="75"/>
      <c r="G15" s="75"/>
      <c r="H15" s="72"/>
      <c r="I15" s="81"/>
      <c r="J15" s="81"/>
      <c r="K15" s="219"/>
      <c r="L15" s="81"/>
      <c r="M15" s="81"/>
    </row>
    <row r="16" spans="1:17" ht="15.6" x14ac:dyDescent="0.3">
      <c r="A16" s="81"/>
      <c r="B16" s="81"/>
      <c r="C16" s="81"/>
      <c r="D16" s="81"/>
      <c r="H16" s="81"/>
      <c r="I16" s="81"/>
      <c r="J16" s="81"/>
      <c r="K16" s="219"/>
      <c r="L16" s="81"/>
      <c r="M16" s="81"/>
    </row>
    <row r="20" spans="2:7" ht="15.6" customHeight="1" x14ac:dyDescent="0.3">
      <c r="B20" s="76" t="s">
        <v>187</v>
      </c>
      <c r="C20" s="96">
        <f>'ACTIVOS TANGIBLES'!E56</f>
        <v>677590</v>
      </c>
      <c r="E20" s="82"/>
      <c r="F20" s="82"/>
      <c r="G20" s="81"/>
    </row>
    <row r="21" spans="2:7" ht="15.6" x14ac:dyDescent="0.3">
      <c r="B21" s="77" t="s">
        <v>188</v>
      </c>
      <c r="C21" s="96" cm="1">
        <f t="array" ref="C21">'ACTIVOS INTANGIBLES'!B11:B11</f>
        <v>82567.600000000006</v>
      </c>
      <c r="D21" s="100"/>
    </row>
    <row r="22" spans="2:7" ht="13.2" customHeight="1" x14ac:dyDescent="0.3">
      <c r="B22" s="78" t="s">
        <v>189</v>
      </c>
      <c r="C22" s="49">
        <f>M3</f>
        <v>237058.00833333333</v>
      </c>
    </row>
    <row r="23" spans="2:7" ht="17.399999999999999" customHeight="1" x14ac:dyDescent="0.3">
      <c r="B23" s="268" t="s">
        <v>190</v>
      </c>
      <c r="C23" s="269">
        <f>SUM(C20:C22)</f>
        <v>997215.60833333328</v>
      </c>
    </row>
  </sheetData>
  <mergeCells count="6">
    <mergeCell ref="A1:B1"/>
    <mergeCell ref="C9:E9"/>
    <mergeCell ref="J4:K4"/>
    <mergeCell ref="J3:K3"/>
    <mergeCell ref="J1:Q1"/>
    <mergeCell ref="J6:K6"/>
  </mergeCells>
  <phoneticPr fontId="9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F1B1-6B7C-43A6-9101-C6D0A3D527FE}">
  <dimension ref="A1:M57"/>
  <sheetViews>
    <sheetView topLeftCell="A22" workbookViewId="0">
      <selection activeCell="I33" sqref="I33"/>
    </sheetView>
  </sheetViews>
  <sheetFormatPr baseColWidth="10" defaultColWidth="11.44140625" defaultRowHeight="14.4" x14ac:dyDescent="0.3"/>
  <cols>
    <col min="1" max="1" width="23.5546875" customWidth="1"/>
    <col min="2" max="2" width="12.88671875" bestFit="1" customWidth="1"/>
    <col min="3" max="3" width="14.5546875" customWidth="1"/>
    <col min="4" max="4" width="13.6640625" customWidth="1"/>
    <col min="5" max="5" width="16.33203125" customWidth="1"/>
    <col min="6" max="6" width="11.6640625" bestFit="1" customWidth="1"/>
    <col min="7" max="7" width="30.6640625" customWidth="1"/>
    <col min="9" max="9" width="19.33203125" bestFit="1" customWidth="1"/>
    <col min="10" max="10" width="13.109375" customWidth="1"/>
    <col min="11" max="11" width="15.6640625" bestFit="1" customWidth="1"/>
    <col min="13" max="13" width="20" customWidth="1"/>
  </cols>
  <sheetData>
    <row r="1" spans="1:13" ht="16.95" customHeight="1" x14ac:dyDescent="0.3">
      <c r="A1" s="270" t="s">
        <v>187</v>
      </c>
      <c r="B1" s="270" t="s">
        <v>36</v>
      </c>
      <c r="C1" s="270" t="s">
        <v>191</v>
      </c>
      <c r="D1" s="270" t="s">
        <v>192</v>
      </c>
      <c r="E1" s="270" t="s">
        <v>193</v>
      </c>
      <c r="F1" s="270" t="s">
        <v>194</v>
      </c>
      <c r="G1" s="270" t="s">
        <v>195</v>
      </c>
      <c r="I1" s="85"/>
      <c r="J1" s="85"/>
      <c r="K1" s="85"/>
      <c r="L1" s="85"/>
      <c r="M1" s="85"/>
    </row>
    <row r="2" spans="1:13" ht="15.6" x14ac:dyDescent="0.3">
      <c r="A2" s="45" t="s">
        <v>196</v>
      </c>
      <c r="B2" s="45">
        <v>12</v>
      </c>
      <c r="C2" s="89">
        <v>1000</v>
      </c>
      <c r="D2" s="89">
        <f t="shared" ref="D2:D27" si="0">C2*B2</f>
        <v>12000</v>
      </c>
      <c r="E2" s="90">
        <f t="shared" ref="E2:E27" si="1">1/F2</f>
        <v>0.2</v>
      </c>
      <c r="F2" s="91">
        <v>5</v>
      </c>
      <c r="G2" s="89">
        <f t="shared" ref="G2:G27" si="2">D2*E2</f>
        <v>2400</v>
      </c>
      <c r="I2" s="60"/>
      <c r="J2" s="210"/>
      <c r="K2" s="211"/>
      <c r="L2" s="210"/>
      <c r="M2" s="210"/>
    </row>
    <row r="3" spans="1:13" ht="15.6" x14ac:dyDescent="0.3">
      <c r="A3" s="45" t="s">
        <v>69</v>
      </c>
      <c r="B3" s="45">
        <v>5</v>
      </c>
      <c r="C3" s="89">
        <v>50000</v>
      </c>
      <c r="D3" s="89">
        <f t="shared" si="0"/>
        <v>250000</v>
      </c>
      <c r="E3" s="90">
        <f t="shared" si="1"/>
        <v>0.33333333333333331</v>
      </c>
      <c r="F3" s="91">
        <v>3</v>
      </c>
      <c r="G3" s="89">
        <f t="shared" si="2"/>
        <v>83333.333333333328</v>
      </c>
      <c r="I3" s="85"/>
      <c r="J3" s="85"/>
      <c r="K3" s="85"/>
      <c r="L3" s="85"/>
      <c r="M3" s="85"/>
    </row>
    <row r="4" spans="1:13" ht="15.6" x14ac:dyDescent="0.3">
      <c r="A4" s="45" t="s">
        <v>71</v>
      </c>
      <c r="B4" s="45">
        <v>20</v>
      </c>
      <c r="C4" s="89">
        <v>1100</v>
      </c>
      <c r="D4" s="89">
        <f t="shared" si="0"/>
        <v>22000</v>
      </c>
      <c r="E4" s="90">
        <f t="shared" si="1"/>
        <v>0.33333333333333331</v>
      </c>
      <c r="F4" s="91">
        <v>3</v>
      </c>
      <c r="G4" s="89">
        <f t="shared" si="2"/>
        <v>7333.333333333333</v>
      </c>
      <c r="I4" s="85"/>
      <c r="J4" s="85"/>
      <c r="K4" s="85"/>
      <c r="L4" s="85"/>
      <c r="M4" s="85"/>
    </row>
    <row r="5" spans="1:13" ht="15.6" x14ac:dyDescent="0.3">
      <c r="A5" s="45" t="s">
        <v>43</v>
      </c>
      <c r="B5" s="45">
        <v>2</v>
      </c>
      <c r="C5" s="89">
        <v>250</v>
      </c>
      <c r="D5" s="89">
        <f t="shared" si="0"/>
        <v>500</v>
      </c>
      <c r="E5" s="90">
        <f t="shared" si="1"/>
        <v>0.2</v>
      </c>
      <c r="F5" s="91">
        <v>5</v>
      </c>
      <c r="G5" s="89">
        <f t="shared" si="2"/>
        <v>100</v>
      </c>
      <c r="I5" s="60"/>
      <c r="J5" s="210"/>
      <c r="K5" s="211"/>
      <c r="L5" s="212"/>
      <c r="M5" s="210"/>
    </row>
    <row r="6" spans="1:13" ht="15.6" x14ac:dyDescent="0.3">
      <c r="A6" s="45" t="s">
        <v>68</v>
      </c>
      <c r="B6" s="45">
        <v>2</v>
      </c>
      <c r="C6" s="89">
        <v>80000</v>
      </c>
      <c r="D6" s="89">
        <f t="shared" si="0"/>
        <v>160000</v>
      </c>
      <c r="E6" s="90">
        <f t="shared" si="1"/>
        <v>0.33333333333333331</v>
      </c>
      <c r="F6" s="91">
        <v>3</v>
      </c>
      <c r="G6" s="89">
        <f t="shared" si="2"/>
        <v>53333.333333333328</v>
      </c>
      <c r="I6" s="81"/>
      <c r="J6" s="86"/>
      <c r="K6" s="87"/>
      <c r="L6" s="60"/>
      <c r="M6" s="86"/>
    </row>
    <row r="7" spans="1:13" ht="15.6" x14ac:dyDescent="0.3">
      <c r="A7" s="45" t="s">
        <v>40</v>
      </c>
      <c r="B7" s="45">
        <v>1</v>
      </c>
      <c r="C7" s="89">
        <v>700</v>
      </c>
      <c r="D7" s="89">
        <f t="shared" si="0"/>
        <v>700</v>
      </c>
      <c r="E7" s="90">
        <f t="shared" si="1"/>
        <v>0.2</v>
      </c>
      <c r="F7" s="91">
        <v>5</v>
      </c>
      <c r="G7" s="89">
        <f t="shared" si="2"/>
        <v>140</v>
      </c>
      <c r="I7" s="81"/>
      <c r="J7" s="86"/>
      <c r="K7" s="87"/>
      <c r="L7" s="60"/>
      <c r="M7" s="86"/>
    </row>
    <row r="8" spans="1:13" ht="15.6" x14ac:dyDescent="0.3">
      <c r="A8" s="45" t="s">
        <v>50</v>
      </c>
      <c r="B8" s="45">
        <v>25</v>
      </c>
      <c r="C8" s="89">
        <v>4000</v>
      </c>
      <c r="D8" s="89">
        <f t="shared" si="0"/>
        <v>100000</v>
      </c>
      <c r="E8" s="90">
        <f t="shared" si="1"/>
        <v>0.5</v>
      </c>
      <c r="F8" s="91">
        <v>2</v>
      </c>
      <c r="G8" s="89">
        <f t="shared" si="2"/>
        <v>50000</v>
      </c>
      <c r="I8" s="81"/>
      <c r="J8" s="86"/>
      <c r="K8" s="87"/>
      <c r="L8" s="60"/>
      <c r="M8" s="86"/>
    </row>
    <row r="9" spans="1:13" ht="15.6" x14ac:dyDescent="0.3">
      <c r="A9" s="45" t="s">
        <v>62</v>
      </c>
      <c r="B9" s="45">
        <v>1</v>
      </c>
      <c r="C9" s="89">
        <v>250</v>
      </c>
      <c r="D9" s="89">
        <f t="shared" si="0"/>
        <v>250</v>
      </c>
      <c r="E9" s="90">
        <f t="shared" si="1"/>
        <v>0.2</v>
      </c>
      <c r="F9" s="91">
        <v>5</v>
      </c>
      <c r="G9" s="89">
        <f t="shared" si="2"/>
        <v>50</v>
      </c>
      <c r="I9" s="81"/>
      <c r="J9" s="86"/>
      <c r="K9" s="87"/>
      <c r="L9" s="60"/>
      <c r="M9" s="86"/>
    </row>
    <row r="10" spans="1:13" ht="15.6" x14ac:dyDescent="0.3">
      <c r="A10" s="45" t="s">
        <v>49</v>
      </c>
      <c r="B10" s="45">
        <v>25</v>
      </c>
      <c r="C10" s="89">
        <v>1000</v>
      </c>
      <c r="D10" s="89">
        <f t="shared" si="0"/>
        <v>25000</v>
      </c>
      <c r="E10" s="90">
        <f t="shared" si="1"/>
        <v>0.2</v>
      </c>
      <c r="F10" s="91">
        <v>5</v>
      </c>
      <c r="G10" s="89">
        <f t="shared" si="2"/>
        <v>5000</v>
      </c>
      <c r="I10" s="81"/>
      <c r="J10" s="86"/>
      <c r="K10" s="87"/>
      <c r="L10" s="60"/>
      <c r="M10" s="86"/>
    </row>
    <row r="11" spans="1:13" ht="15.6" x14ac:dyDescent="0.3">
      <c r="A11" s="45" t="s">
        <v>54</v>
      </c>
      <c r="B11" s="45">
        <v>3</v>
      </c>
      <c r="C11" s="89">
        <v>1500</v>
      </c>
      <c r="D11" s="89">
        <f t="shared" si="0"/>
        <v>4500</v>
      </c>
      <c r="E11" s="90">
        <f t="shared" si="1"/>
        <v>0.2</v>
      </c>
      <c r="F11" s="91">
        <v>5</v>
      </c>
      <c r="G11" s="89">
        <f t="shared" si="2"/>
        <v>900</v>
      </c>
      <c r="I11" s="81"/>
      <c r="J11" s="86"/>
      <c r="K11" s="87"/>
      <c r="L11" s="60"/>
      <c r="M11" s="86"/>
    </row>
    <row r="12" spans="1:13" ht="15.6" x14ac:dyDescent="0.3">
      <c r="A12" s="45" t="s">
        <v>197</v>
      </c>
      <c r="B12" s="45">
        <v>2</v>
      </c>
      <c r="C12" s="89">
        <v>120</v>
      </c>
      <c r="D12" s="89">
        <f t="shared" si="0"/>
        <v>240</v>
      </c>
      <c r="E12" s="90">
        <f t="shared" si="1"/>
        <v>0.2</v>
      </c>
      <c r="F12" s="91">
        <v>5</v>
      </c>
      <c r="G12" s="89">
        <f t="shared" si="2"/>
        <v>48</v>
      </c>
      <c r="I12" s="81"/>
      <c r="J12" s="86"/>
      <c r="K12" s="87"/>
      <c r="L12" s="60"/>
      <c r="M12" s="86"/>
    </row>
    <row r="13" spans="1:13" ht="15.6" x14ac:dyDescent="0.3">
      <c r="A13" s="45" t="s">
        <v>198</v>
      </c>
      <c r="B13" s="45">
        <v>10</v>
      </c>
      <c r="C13" s="89">
        <v>500</v>
      </c>
      <c r="D13" s="89">
        <f t="shared" si="0"/>
        <v>5000</v>
      </c>
      <c r="E13" s="90">
        <f t="shared" si="1"/>
        <v>0.2</v>
      </c>
      <c r="F13" s="91">
        <v>5</v>
      </c>
      <c r="G13" s="89">
        <f t="shared" si="2"/>
        <v>1000</v>
      </c>
      <c r="I13" s="81"/>
      <c r="J13" s="86"/>
      <c r="K13" s="87"/>
      <c r="L13" s="60"/>
      <c r="M13" s="86"/>
    </row>
    <row r="14" spans="1:13" ht="15.6" x14ac:dyDescent="0.3">
      <c r="A14" s="45" t="s">
        <v>56</v>
      </c>
      <c r="B14" s="45">
        <v>2</v>
      </c>
      <c r="C14" s="89">
        <v>500</v>
      </c>
      <c r="D14" s="89">
        <f t="shared" si="0"/>
        <v>1000</v>
      </c>
      <c r="E14" s="90">
        <f t="shared" si="1"/>
        <v>0.2</v>
      </c>
      <c r="F14" s="91">
        <v>5</v>
      </c>
      <c r="G14" s="89">
        <f t="shared" si="2"/>
        <v>200</v>
      </c>
      <c r="I14" s="81"/>
      <c r="J14" s="86"/>
      <c r="K14" s="87"/>
      <c r="L14" s="60"/>
      <c r="M14" s="86"/>
    </row>
    <row r="15" spans="1:13" ht="15.6" x14ac:dyDescent="0.3">
      <c r="A15" s="45" t="s">
        <v>45</v>
      </c>
      <c r="B15" s="45">
        <v>2</v>
      </c>
      <c r="C15" s="89">
        <v>1400</v>
      </c>
      <c r="D15" s="89">
        <f t="shared" si="0"/>
        <v>2800</v>
      </c>
      <c r="E15" s="90">
        <f t="shared" si="1"/>
        <v>0.2</v>
      </c>
      <c r="F15" s="91">
        <v>5</v>
      </c>
      <c r="G15" s="89">
        <f t="shared" si="2"/>
        <v>560</v>
      </c>
      <c r="I15" s="81"/>
      <c r="J15" s="86"/>
      <c r="K15" s="87"/>
      <c r="L15" s="60"/>
      <c r="M15" s="86"/>
    </row>
    <row r="16" spans="1:13" ht="15.6" x14ac:dyDescent="0.3">
      <c r="A16" s="45" t="s">
        <v>64</v>
      </c>
      <c r="B16" s="45">
        <v>2</v>
      </c>
      <c r="C16" s="89">
        <v>1600</v>
      </c>
      <c r="D16" s="89">
        <f t="shared" si="0"/>
        <v>3200</v>
      </c>
      <c r="E16" s="90">
        <f t="shared" si="1"/>
        <v>0.2</v>
      </c>
      <c r="F16" s="91">
        <v>5</v>
      </c>
      <c r="G16" s="89">
        <f t="shared" si="2"/>
        <v>640</v>
      </c>
      <c r="I16" s="81"/>
      <c r="J16" s="86"/>
      <c r="K16" s="87"/>
      <c r="L16" s="60"/>
      <c r="M16" s="86"/>
    </row>
    <row r="17" spans="1:13" ht="15.6" x14ac:dyDescent="0.3">
      <c r="A17" s="45" t="s">
        <v>42</v>
      </c>
      <c r="B17" s="45">
        <v>1</v>
      </c>
      <c r="C17" s="89">
        <v>300</v>
      </c>
      <c r="D17" s="89">
        <f t="shared" si="0"/>
        <v>300</v>
      </c>
      <c r="E17" s="90">
        <f t="shared" si="1"/>
        <v>0.2</v>
      </c>
      <c r="F17" s="91">
        <v>5</v>
      </c>
      <c r="G17" s="89">
        <f t="shared" si="2"/>
        <v>60</v>
      </c>
      <c r="I17" s="81"/>
      <c r="J17" s="86"/>
      <c r="K17" s="87"/>
      <c r="L17" s="60"/>
      <c r="M17" s="86"/>
    </row>
    <row r="18" spans="1:13" ht="15.6" x14ac:dyDescent="0.3">
      <c r="A18" s="45" t="s">
        <v>70</v>
      </c>
      <c r="B18" s="45">
        <v>10</v>
      </c>
      <c r="C18" s="89">
        <v>4000</v>
      </c>
      <c r="D18" s="89">
        <f t="shared" si="0"/>
        <v>40000</v>
      </c>
      <c r="E18" s="90">
        <f t="shared" si="1"/>
        <v>0.33333333333333331</v>
      </c>
      <c r="F18" s="91">
        <v>3</v>
      </c>
      <c r="G18" s="89">
        <f t="shared" si="2"/>
        <v>13333.333333333332</v>
      </c>
      <c r="I18" s="81"/>
      <c r="J18" s="86"/>
      <c r="K18" s="87"/>
      <c r="L18" s="60"/>
      <c r="M18" s="86"/>
    </row>
    <row r="19" spans="1:13" ht="15.6" x14ac:dyDescent="0.3">
      <c r="A19" s="45" t="s">
        <v>60</v>
      </c>
      <c r="B19" s="45">
        <v>1</v>
      </c>
      <c r="C19" s="89">
        <v>1500</v>
      </c>
      <c r="D19" s="89">
        <f t="shared" si="0"/>
        <v>1500</v>
      </c>
      <c r="E19" s="90">
        <f t="shared" si="1"/>
        <v>0.2</v>
      </c>
      <c r="F19" s="91">
        <v>5</v>
      </c>
      <c r="G19" s="89">
        <f t="shared" si="2"/>
        <v>300</v>
      </c>
      <c r="I19" s="81"/>
      <c r="J19" s="86"/>
      <c r="K19" s="87"/>
      <c r="L19" s="60"/>
      <c r="M19" s="86"/>
    </row>
    <row r="20" spans="1:13" ht="15.6" x14ac:dyDescent="0.3">
      <c r="A20" s="45" t="s">
        <v>41</v>
      </c>
      <c r="B20" s="45">
        <v>1</v>
      </c>
      <c r="C20" s="89">
        <v>1200</v>
      </c>
      <c r="D20" s="89">
        <f t="shared" si="0"/>
        <v>1200</v>
      </c>
      <c r="E20" s="90">
        <f t="shared" si="1"/>
        <v>0.2</v>
      </c>
      <c r="F20" s="91">
        <v>5</v>
      </c>
      <c r="G20" s="89">
        <f t="shared" si="2"/>
        <v>240</v>
      </c>
      <c r="I20" s="81"/>
      <c r="J20" s="86"/>
      <c r="K20" s="87"/>
      <c r="L20" s="60"/>
      <c r="M20" s="86"/>
    </row>
    <row r="21" spans="1:13" ht="15.6" x14ac:dyDescent="0.3">
      <c r="A21" s="45" t="s">
        <v>61</v>
      </c>
      <c r="B21" s="45">
        <v>3</v>
      </c>
      <c r="C21" s="89">
        <v>100</v>
      </c>
      <c r="D21" s="89">
        <f t="shared" si="0"/>
        <v>300</v>
      </c>
      <c r="E21" s="90">
        <f t="shared" si="1"/>
        <v>0.5</v>
      </c>
      <c r="F21" s="91">
        <v>2</v>
      </c>
      <c r="G21" s="89">
        <f t="shared" si="2"/>
        <v>150</v>
      </c>
      <c r="I21" s="81"/>
      <c r="J21" s="86"/>
      <c r="K21" s="87"/>
      <c r="L21" s="60"/>
      <c r="M21" s="86"/>
    </row>
    <row r="22" spans="1:13" ht="15.6" x14ac:dyDescent="0.3">
      <c r="A22" s="45" t="s">
        <v>72</v>
      </c>
      <c r="B22" s="45">
        <v>20</v>
      </c>
      <c r="C22" s="89">
        <v>900</v>
      </c>
      <c r="D22" s="89">
        <f t="shared" si="0"/>
        <v>18000</v>
      </c>
      <c r="E22" s="90">
        <f t="shared" si="1"/>
        <v>0.33333333333333331</v>
      </c>
      <c r="F22" s="91">
        <v>3</v>
      </c>
      <c r="G22" s="89">
        <f t="shared" si="2"/>
        <v>6000</v>
      </c>
      <c r="I22" s="81"/>
      <c r="J22" s="86"/>
      <c r="K22" s="87"/>
      <c r="L22" s="60"/>
      <c r="M22" s="86"/>
    </row>
    <row r="23" spans="1:13" ht="15.6" x14ac:dyDescent="0.3">
      <c r="A23" s="45" t="s">
        <v>51</v>
      </c>
      <c r="B23" s="45">
        <v>27</v>
      </c>
      <c r="C23" s="89">
        <v>400</v>
      </c>
      <c r="D23" s="89">
        <f t="shared" si="0"/>
        <v>10800</v>
      </c>
      <c r="E23" s="90">
        <f t="shared" si="1"/>
        <v>0.2</v>
      </c>
      <c r="F23" s="91">
        <v>5</v>
      </c>
      <c r="G23" s="89">
        <f t="shared" si="2"/>
        <v>2160</v>
      </c>
      <c r="I23" s="81"/>
      <c r="J23" s="86"/>
      <c r="K23" s="87"/>
      <c r="L23" s="60"/>
      <c r="M23" s="86"/>
    </row>
    <row r="24" spans="1:13" ht="15.6" x14ac:dyDescent="0.3">
      <c r="A24" s="45" t="s">
        <v>46</v>
      </c>
      <c r="B24" s="45">
        <v>10</v>
      </c>
      <c r="C24" s="89">
        <v>250</v>
      </c>
      <c r="D24" s="89">
        <f t="shared" si="0"/>
        <v>2500</v>
      </c>
      <c r="E24" s="90">
        <f t="shared" si="1"/>
        <v>0.2</v>
      </c>
      <c r="F24" s="91">
        <v>5</v>
      </c>
      <c r="G24" s="89">
        <f t="shared" si="2"/>
        <v>500</v>
      </c>
      <c r="I24" s="81"/>
      <c r="J24" s="86"/>
      <c r="K24" s="87"/>
      <c r="L24" s="60"/>
      <c r="M24" s="86"/>
    </row>
    <row r="25" spans="1:13" ht="15.6" x14ac:dyDescent="0.3">
      <c r="A25" s="45" t="s">
        <v>63</v>
      </c>
      <c r="B25" s="45">
        <v>20</v>
      </c>
      <c r="C25" s="89">
        <v>200</v>
      </c>
      <c r="D25" s="89">
        <f t="shared" si="0"/>
        <v>4000</v>
      </c>
      <c r="E25" s="90">
        <f t="shared" si="1"/>
        <v>0.2</v>
      </c>
      <c r="F25" s="91">
        <v>5</v>
      </c>
      <c r="G25" s="89">
        <f t="shared" si="2"/>
        <v>800</v>
      </c>
    </row>
    <row r="26" spans="1:13" ht="15.6" x14ac:dyDescent="0.3">
      <c r="A26" s="45" t="s">
        <v>199</v>
      </c>
      <c r="B26" s="45">
        <v>9</v>
      </c>
      <c r="C26" s="89">
        <v>1300</v>
      </c>
      <c r="D26" s="89">
        <f t="shared" si="0"/>
        <v>11700</v>
      </c>
      <c r="E26" s="90">
        <f t="shared" si="1"/>
        <v>0.2</v>
      </c>
      <c r="F26" s="91">
        <v>5</v>
      </c>
      <c r="G26" s="89">
        <f t="shared" si="2"/>
        <v>2340</v>
      </c>
    </row>
    <row r="27" spans="1:13" ht="15.6" x14ac:dyDescent="0.3">
      <c r="A27" s="45" t="s">
        <v>47</v>
      </c>
      <c r="B27" s="45">
        <v>2</v>
      </c>
      <c r="C27" s="89">
        <v>100</v>
      </c>
      <c r="D27" s="89">
        <f t="shared" si="0"/>
        <v>200</v>
      </c>
      <c r="E27" s="90">
        <f t="shared" si="1"/>
        <v>0.2</v>
      </c>
      <c r="F27" s="91">
        <v>5</v>
      </c>
      <c r="G27" s="89">
        <f t="shared" si="2"/>
        <v>40</v>
      </c>
    </row>
    <row r="28" spans="1:13" ht="15.6" x14ac:dyDescent="0.3">
      <c r="A28" s="83"/>
      <c r="B28" s="10"/>
      <c r="C28" s="17"/>
      <c r="D28" s="80"/>
      <c r="E28" s="84"/>
      <c r="F28" s="10"/>
      <c r="G28" s="44"/>
    </row>
    <row r="29" spans="1:13" ht="15.6" x14ac:dyDescent="0.3">
      <c r="A29" s="83"/>
      <c r="B29" s="10"/>
      <c r="C29" s="17"/>
      <c r="D29" s="80"/>
      <c r="E29" s="84"/>
      <c r="F29" s="10"/>
      <c r="G29" s="44"/>
    </row>
    <row r="30" spans="1:13" ht="31.2" x14ac:dyDescent="0.3">
      <c r="A30" s="271" t="s">
        <v>200</v>
      </c>
      <c r="B30" s="271" t="s">
        <v>87</v>
      </c>
      <c r="C30" s="271" t="s">
        <v>88</v>
      </c>
      <c r="D30" s="271" t="s">
        <v>89</v>
      </c>
      <c r="E30" s="271" t="s">
        <v>90</v>
      </c>
      <c r="F30" s="271" t="s">
        <v>91</v>
      </c>
    </row>
    <row r="31" spans="1:13" ht="15.6" x14ac:dyDescent="0.3">
      <c r="A31" s="92" t="s">
        <v>196</v>
      </c>
      <c r="B31" s="93">
        <f>$G$2</f>
        <v>2400</v>
      </c>
      <c r="C31" s="93">
        <f t="shared" ref="C31:F31" si="3">$G$2</f>
        <v>2400</v>
      </c>
      <c r="D31" s="93">
        <f t="shared" si="3"/>
        <v>2400</v>
      </c>
      <c r="E31" s="93">
        <f t="shared" si="3"/>
        <v>2400</v>
      </c>
      <c r="F31" s="93">
        <f t="shared" si="3"/>
        <v>2400</v>
      </c>
    </row>
    <row r="32" spans="1:13" ht="15.6" x14ac:dyDescent="0.3">
      <c r="A32" s="45" t="s">
        <v>69</v>
      </c>
      <c r="B32" s="93">
        <f>$G$3</f>
        <v>83333.333333333328</v>
      </c>
      <c r="C32" s="93">
        <f t="shared" ref="C32:D32" si="4">$G$3</f>
        <v>83333.333333333328</v>
      </c>
      <c r="D32" s="93">
        <f t="shared" si="4"/>
        <v>83333.333333333328</v>
      </c>
      <c r="E32" s="94">
        <v>0</v>
      </c>
      <c r="F32" s="93">
        <v>0</v>
      </c>
    </row>
    <row r="33" spans="1:6" ht="15.6" x14ac:dyDescent="0.3">
      <c r="A33" s="45" t="s">
        <v>71</v>
      </c>
      <c r="B33" s="93">
        <f>$G$4</f>
        <v>7333.333333333333</v>
      </c>
      <c r="C33" s="93">
        <f t="shared" ref="C33:D33" si="5">$G$4</f>
        <v>7333.333333333333</v>
      </c>
      <c r="D33" s="93">
        <f t="shared" si="5"/>
        <v>7333.333333333333</v>
      </c>
      <c r="E33" s="94">
        <v>0</v>
      </c>
      <c r="F33" s="93">
        <v>0</v>
      </c>
    </row>
    <row r="34" spans="1:6" ht="15.6" x14ac:dyDescent="0.3">
      <c r="A34" s="45" t="s">
        <v>43</v>
      </c>
      <c r="B34" s="93">
        <f>G5</f>
        <v>100</v>
      </c>
      <c r="C34" s="93">
        <f t="shared" ref="C34:F34" si="6">$G$5</f>
        <v>100</v>
      </c>
      <c r="D34" s="93">
        <f t="shared" si="6"/>
        <v>100</v>
      </c>
      <c r="E34" s="93">
        <f t="shared" si="6"/>
        <v>100</v>
      </c>
      <c r="F34" s="93">
        <f t="shared" si="6"/>
        <v>100</v>
      </c>
    </row>
    <row r="35" spans="1:6" ht="15.6" x14ac:dyDescent="0.3">
      <c r="A35" s="45" t="s">
        <v>68</v>
      </c>
      <c r="B35" s="93">
        <f>$G$6</f>
        <v>53333.333333333328</v>
      </c>
      <c r="C35" s="93">
        <f t="shared" ref="C35:D35" si="7">$G$6</f>
        <v>53333.333333333328</v>
      </c>
      <c r="D35" s="93">
        <f t="shared" si="7"/>
        <v>53333.333333333328</v>
      </c>
      <c r="E35" s="94">
        <v>0</v>
      </c>
      <c r="F35" s="93">
        <v>0</v>
      </c>
    </row>
    <row r="36" spans="1:6" ht="15.6" x14ac:dyDescent="0.3">
      <c r="A36" s="45" t="s">
        <v>40</v>
      </c>
      <c r="B36" s="93">
        <f>$G$7</f>
        <v>140</v>
      </c>
      <c r="C36" s="93">
        <f t="shared" ref="C36:F36" si="8">$G$7</f>
        <v>140</v>
      </c>
      <c r="D36" s="93">
        <f t="shared" si="8"/>
        <v>140</v>
      </c>
      <c r="E36" s="93">
        <f t="shared" si="8"/>
        <v>140</v>
      </c>
      <c r="F36" s="93">
        <f t="shared" si="8"/>
        <v>140</v>
      </c>
    </row>
    <row r="37" spans="1:6" ht="15.6" x14ac:dyDescent="0.3">
      <c r="A37" s="45" t="s">
        <v>50</v>
      </c>
      <c r="B37" s="93">
        <f>$G$8</f>
        <v>50000</v>
      </c>
      <c r="C37" s="93">
        <f>$G$8</f>
        <v>50000</v>
      </c>
      <c r="D37" s="95">
        <v>0</v>
      </c>
      <c r="E37" s="94">
        <v>0</v>
      </c>
      <c r="F37" s="93">
        <v>0</v>
      </c>
    </row>
    <row r="38" spans="1:6" ht="15.6" x14ac:dyDescent="0.3">
      <c r="A38" s="45" t="s">
        <v>62</v>
      </c>
      <c r="B38" s="93">
        <f>$G$9</f>
        <v>50</v>
      </c>
      <c r="C38" s="93">
        <f t="shared" ref="C38:F38" si="9">$G$9</f>
        <v>50</v>
      </c>
      <c r="D38" s="93">
        <f t="shared" si="9"/>
        <v>50</v>
      </c>
      <c r="E38" s="93">
        <f t="shared" si="9"/>
        <v>50</v>
      </c>
      <c r="F38" s="93">
        <f t="shared" si="9"/>
        <v>50</v>
      </c>
    </row>
    <row r="39" spans="1:6" ht="15.6" x14ac:dyDescent="0.3">
      <c r="A39" s="45" t="s">
        <v>49</v>
      </c>
      <c r="B39" s="93">
        <f>$G$10</f>
        <v>5000</v>
      </c>
      <c r="C39" s="93">
        <f t="shared" ref="C39:F39" si="10">$G$10</f>
        <v>5000</v>
      </c>
      <c r="D39" s="93">
        <f t="shared" si="10"/>
        <v>5000</v>
      </c>
      <c r="E39" s="93">
        <f t="shared" si="10"/>
        <v>5000</v>
      </c>
      <c r="F39" s="93">
        <f t="shared" si="10"/>
        <v>5000</v>
      </c>
    </row>
    <row r="40" spans="1:6" ht="15.6" x14ac:dyDescent="0.3">
      <c r="A40" s="45" t="s">
        <v>54</v>
      </c>
      <c r="B40" s="93">
        <f>$G$11</f>
        <v>900</v>
      </c>
      <c r="C40" s="93">
        <f t="shared" ref="C40:F40" si="11">$G$11</f>
        <v>900</v>
      </c>
      <c r="D40" s="93">
        <f t="shared" si="11"/>
        <v>900</v>
      </c>
      <c r="E40" s="93">
        <f t="shared" si="11"/>
        <v>900</v>
      </c>
      <c r="F40" s="93">
        <f t="shared" si="11"/>
        <v>900</v>
      </c>
    </row>
    <row r="41" spans="1:6" ht="15.6" x14ac:dyDescent="0.3">
      <c r="A41" s="45" t="s">
        <v>197</v>
      </c>
      <c r="B41" s="93">
        <f>$G$12</f>
        <v>48</v>
      </c>
      <c r="C41" s="93">
        <f t="shared" ref="C41:F41" si="12">$G$12</f>
        <v>48</v>
      </c>
      <c r="D41" s="93">
        <f t="shared" si="12"/>
        <v>48</v>
      </c>
      <c r="E41" s="93">
        <f t="shared" si="12"/>
        <v>48</v>
      </c>
      <c r="F41" s="93">
        <f t="shared" si="12"/>
        <v>48</v>
      </c>
    </row>
    <row r="42" spans="1:6" ht="15.6" x14ac:dyDescent="0.3">
      <c r="A42" s="45" t="s">
        <v>198</v>
      </c>
      <c r="B42" s="93">
        <f>$G$13</f>
        <v>1000</v>
      </c>
      <c r="C42" s="93">
        <f t="shared" ref="C42:F42" si="13">$G$13</f>
        <v>1000</v>
      </c>
      <c r="D42" s="93">
        <f t="shared" si="13"/>
        <v>1000</v>
      </c>
      <c r="E42" s="93">
        <f t="shared" si="13"/>
        <v>1000</v>
      </c>
      <c r="F42" s="93">
        <f t="shared" si="13"/>
        <v>1000</v>
      </c>
    </row>
    <row r="43" spans="1:6" ht="15.6" x14ac:dyDescent="0.3">
      <c r="A43" s="45" t="s">
        <v>56</v>
      </c>
      <c r="B43" s="93">
        <f>$G$14</f>
        <v>200</v>
      </c>
      <c r="C43" s="93">
        <f t="shared" ref="C43:F43" si="14">$G$14</f>
        <v>200</v>
      </c>
      <c r="D43" s="93">
        <f t="shared" si="14"/>
        <v>200</v>
      </c>
      <c r="E43" s="93">
        <f t="shared" si="14"/>
        <v>200</v>
      </c>
      <c r="F43" s="93">
        <f t="shared" si="14"/>
        <v>200</v>
      </c>
    </row>
    <row r="44" spans="1:6" ht="15.6" x14ac:dyDescent="0.3">
      <c r="A44" s="45" t="s">
        <v>45</v>
      </c>
      <c r="B44" s="93">
        <f>$G$15</f>
        <v>560</v>
      </c>
      <c r="C44" s="93">
        <f t="shared" ref="C44:F44" si="15">$G$15</f>
        <v>560</v>
      </c>
      <c r="D44" s="93">
        <f t="shared" si="15"/>
        <v>560</v>
      </c>
      <c r="E44" s="93">
        <f t="shared" si="15"/>
        <v>560</v>
      </c>
      <c r="F44" s="93">
        <f t="shared" si="15"/>
        <v>560</v>
      </c>
    </row>
    <row r="45" spans="1:6" ht="15.6" x14ac:dyDescent="0.3">
      <c r="A45" s="45" t="s">
        <v>64</v>
      </c>
      <c r="B45" s="93">
        <f>$G$16</f>
        <v>640</v>
      </c>
      <c r="C45" s="93">
        <f t="shared" ref="C45:F45" si="16">$G$16</f>
        <v>640</v>
      </c>
      <c r="D45" s="93">
        <f t="shared" si="16"/>
        <v>640</v>
      </c>
      <c r="E45" s="93">
        <f t="shared" si="16"/>
        <v>640</v>
      </c>
      <c r="F45" s="93">
        <f t="shared" si="16"/>
        <v>640</v>
      </c>
    </row>
    <row r="46" spans="1:6" ht="15.6" x14ac:dyDescent="0.3">
      <c r="A46" s="45" t="s">
        <v>42</v>
      </c>
      <c r="B46" s="93">
        <f>$G$17</f>
        <v>60</v>
      </c>
      <c r="C46" s="93">
        <f t="shared" ref="C46:F46" si="17">$G$17</f>
        <v>60</v>
      </c>
      <c r="D46" s="93">
        <f t="shared" si="17"/>
        <v>60</v>
      </c>
      <c r="E46" s="93">
        <f t="shared" si="17"/>
        <v>60</v>
      </c>
      <c r="F46" s="93">
        <f t="shared" si="17"/>
        <v>60</v>
      </c>
    </row>
    <row r="47" spans="1:6" ht="15.6" x14ac:dyDescent="0.3">
      <c r="A47" s="45" t="s">
        <v>70</v>
      </c>
      <c r="B47" s="93">
        <f>$G$18</f>
        <v>13333.333333333332</v>
      </c>
      <c r="C47" s="93">
        <f t="shared" ref="C47:D47" si="18">$G$18</f>
        <v>13333.333333333332</v>
      </c>
      <c r="D47" s="93">
        <f t="shared" si="18"/>
        <v>13333.333333333332</v>
      </c>
      <c r="E47" s="94">
        <v>0</v>
      </c>
      <c r="F47" s="93">
        <v>0</v>
      </c>
    </row>
    <row r="48" spans="1:6" ht="15.6" x14ac:dyDescent="0.3">
      <c r="A48" s="45" t="s">
        <v>60</v>
      </c>
      <c r="B48" s="93">
        <f>$G$19</f>
        <v>300</v>
      </c>
      <c r="C48" s="93">
        <f t="shared" ref="C48:F48" si="19">$G$19</f>
        <v>300</v>
      </c>
      <c r="D48" s="93">
        <f t="shared" si="19"/>
        <v>300</v>
      </c>
      <c r="E48" s="93">
        <f t="shared" si="19"/>
        <v>300</v>
      </c>
      <c r="F48" s="93">
        <f t="shared" si="19"/>
        <v>300</v>
      </c>
    </row>
    <row r="49" spans="1:6" ht="15.6" x14ac:dyDescent="0.3">
      <c r="A49" s="45" t="s">
        <v>41</v>
      </c>
      <c r="B49" s="93">
        <f>$G$20</f>
        <v>240</v>
      </c>
      <c r="C49" s="93">
        <f t="shared" ref="C49:F49" si="20">$G$20</f>
        <v>240</v>
      </c>
      <c r="D49" s="93">
        <f t="shared" si="20"/>
        <v>240</v>
      </c>
      <c r="E49" s="93">
        <f t="shared" si="20"/>
        <v>240</v>
      </c>
      <c r="F49" s="93">
        <f t="shared" si="20"/>
        <v>240</v>
      </c>
    </row>
    <row r="50" spans="1:6" ht="15.6" x14ac:dyDescent="0.3">
      <c r="A50" s="45" t="s">
        <v>61</v>
      </c>
      <c r="B50" s="93">
        <f>$G$21</f>
        <v>150</v>
      </c>
      <c r="C50" s="93">
        <f t="shared" ref="C50:F50" si="21">$G$21</f>
        <v>150</v>
      </c>
      <c r="D50" s="93">
        <f t="shared" si="21"/>
        <v>150</v>
      </c>
      <c r="E50" s="93">
        <f t="shared" si="21"/>
        <v>150</v>
      </c>
      <c r="F50" s="93">
        <f t="shared" si="21"/>
        <v>150</v>
      </c>
    </row>
    <row r="51" spans="1:6" ht="15.6" x14ac:dyDescent="0.3">
      <c r="A51" s="45" t="s">
        <v>72</v>
      </c>
      <c r="B51" s="93">
        <f>$G$22</f>
        <v>6000</v>
      </c>
      <c r="C51" s="93">
        <f t="shared" ref="C51:D51" si="22">$G$22</f>
        <v>6000</v>
      </c>
      <c r="D51" s="93">
        <f t="shared" si="22"/>
        <v>6000</v>
      </c>
      <c r="E51" s="94">
        <v>0</v>
      </c>
      <c r="F51" s="93">
        <v>0</v>
      </c>
    </row>
    <row r="52" spans="1:6" ht="15.6" x14ac:dyDescent="0.3">
      <c r="A52" s="45" t="s">
        <v>51</v>
      </c>
      <c r="B52" s="93">
        <f>$G$23</f>
        <v>2160</v>
      </c>
      <c r="C52" s="93">
        <f t="shared" ref="C52:F52" si="23">$G$23</f>
        <v>2160</v>
      </c>
      <c r="D52" s="93">
        <f t="shared" si="23"/>
        <v>2160</v>
      </c>
      <c r="E52" s="93">
        <f t="shared" si="23"/>
        <v>2160</v>
      </c>
      <c r="F52" s="93">
        <f t="shared" si="23"/>
        <v>2160</v>
      </c>
    </row>
    <row r="53" spans="1:6" ht="15.6" x14ac:dyDescent="0.3">
      <c r="A53" s="45" t="s">
        <v>46</v>
      </c>
      <c r="B53" s="93">
        <f>$G$24</f>
        <v>500</v>
      </c>
      <c r="C53" s="93">
        <f t="shared" ref="C53:F53" si="24">$G$24</f>
        <v>500</v>
      </c>
      <c r="D53" s="93">
        <f t="shared" si="24"/>
        <v>500</v>
      </c>
      <c r="E53" s="93">
        <f t="shared" si="24"/>
        <v>500</v>
      </c>
      <c r="F53" s="93">
        <f t="shared" si="24"/>
        <v>500</v>
      </c>
    </row>
    <row r="54" spans="1:6" ht="15.6" x14ac:dyDescent="0.3">
      <c r="A54" s="45" t="s">
        <v>63</v>
      </c>
      <c r="B54" s="93">
        <f>$G$25</f>
        <v>800</v>
      </c>
      <c r="C54" s="93">
        <f t="shared" ref="C54:F54" si="25">$G$25</f>
        <v>800</v>
      </c>
      <c r="D54" s="93">
        <f t="shared" si="25"/>
        <v>800</v>
      </c>
      <c r="E54" s="93">
        <f t="shared" si="25"/>
        <v>800</v>
      </c>
      <c r="F54" s="93">
        <f t="shared" si="25"/>
        <v>800</v>
      </c>
    </row>
    <row r="55" spans="1:6" ht="15.6" x14ac:dyDescent="0.3">
      <c r="A55" s="45" t="s">
        <v>199</v>
      </c>
      <c r="B55" s="93">
        <f>$G$26</f>
        <v>2340</v>
      </c>
      <c r="C55" s="93">
        <f t="shared" ref="C55:F55" si="26">$G$26</f>
        <v>2340</v>
      </c>
      <c r="D55" s="93">
        <f t="shared" si="26"/>
        <v>2340</v>
      </c>
      <c r="E55" s="93">
        <f t="shared" si="26"/>
        <v>2340</v>
      </c>
      <c r="F55" s="93">
        <f t="shared" si="26"/>
        <v>2340</v>
      </c>
    </row>
    <row r="56" spans="1:6" ht="15.6" x14ac:dyDescent="0.3">
      <c r="A56" s="45" t="s">
        <v>47</v>
      </c>
      <c r="B56" s="93">
        <f>$G$27</f>
        <v>40</v>
      </c>
      <c r="C56" s="93">
        <f t="shared" ref="C56:F56" si="27">$G$27</f>
        <v>40</v>
      </c>
      <c r="D56" s="93">
        <f t="shared" si="27"/>
        <v>40</v>
      </c>
      <c r="E56" s="93">
        <f t="shared" si="27"/>
        <v>40</v>
      </c>
      <c r="F56" s="93">
        <f t="shared" si="27"/>
        <v>40</v>
      </c>
    </row>
    <row r="57" spans="1:6" ht="15.6" x14ac:dyDescent="0.3">
      <c r="A57" s="45" t="s">
        <v>201</v>
      </c>
      <c r="B57" s="88">
        <f>SUM(B31:B56)</f>
        <v>230961.33333333334</v>
      </c>
      <c r="C57" s="88">
        <f>SUM(C31:C56)</f>
        <v>230961.33333333334</v>
      </c>
      <c r="D57" s="88">
        <f>SUM(D31:D56)</f>
        <v>180961.33333333334</v>
      </c>
      <c r="E57" s="88">
        <f>SUM(E31:E56)</f>
        <v>17628</v>
      </c>
      <c r="F57" s="88">
        <f>SUM(F31:F56)</f>
        <v>17628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ED6D4-2EE9-4CB3-A140-24E3740D4E46}">
  <dimension ref="A1:F16"/>
  <sheetViews>
    <sheetView workbookViewId="0">
      <selection activeCell="J12" sqref="J12"/>
    </sheetView>
  </sheetViews>
  <sheetFormatPr baseColWidth="10" defaultColWidth="11.44140625" defaultRowHeight="14.4" x14ac:dyDescent="0.3"/>
  <cols>
    <col min="1" max="1" width="41.6640625" bestFit="1" customWidth="1"/>
    <col min="2" max="3" width="14.6640625" customWidth="1"/>
    <col min="5" max="5" width="21.109375" customWidth="1"/>
  </cols>
  <sheetData>
    <row r="1" spans="1:6" ht="15.6" x14ac:dyDescent="0.3">
      <c r="A1" s="272" t="s">
        <v>188</v>
      </c>
      <c r="B1" s="272" t="s">
        <v>202</v>
      </c>
      <c r="C1" s="272" t="s">
        <v>203</v>
      </c>
      <c r="D1" s="272" t="s">
        <v>204</v>
      </c>
      <c r="E1" s="272" t="s">
        <v>205</v>
      </c>
    </row>
    <row r="2" spans="1:6" ht="15.6" x14ac:dyDescent="0.3">
      <c r="A2" s="46" t="s">
        <v>76</v>
      </c>
      <c r="B2" s="88">
        <f>'ACTIVOS INTANGIBLES'!B5</f>
        <v>275</v>
      </c>
      <c r="C2" s="99">
        <v>1</v>
      </c>
      <c r="D2" s="46">
        <v>1</v>
      </c>
      <c r="E2" s="88">
        <f>B2*C2</f>
        <v>275</v>
      </c>
    </row>
    <row r="3" spans="1:6" ht="15.6" x14ac:dyDescent="0.3">
      <c r="A3" s="46" t="s">
        <v>77</v>
      </c>
      <c r="B3" s="88">
        <f>'ACTIVOS INTANGIBLES'!B6</f>
        <v>165.1</v>
      </c>
      <c r="C3" s="99">
        <v>1</v>
      </c>
      <c r="D3" s="46">
        <v>1</v>
      </c>
      <c r="E3" s="88">
        <f t="shared" ref="E3:E7" si="0">B3*C3</f>
        <v>165.1</v>
      </c>
    </row>
    <row r="4" spans="1:6" ht="15.6" x14ac:dyDescent="0.3">
      <c r="A4" s="46" t="s">
        <v>78</v>
      </c>
      <c r="B4" s="88">
        <f>'ACTIVOS INTANGIBLES'!B7</f>
        <v>28</v>
      </c>
      <c r="C4" s="99">
        <v>1</v>
      </c>
      <c r="D4" s="46">
        <v>1</v>
      </c>
      <c r="E4" s="88">
        <f t="shared" si="0"/>
        <v>28</v>
      </c>
    </row>
    <row r="5" spans="1:6" ht="15.6" x14ac:dyDescent="0.3">
      <c r="A5" s="46" t="s">
        <v>79</v>
      </c>
      <c r="B5" s="88">
        <f>'ACTIVOS INTANGIBLES'!B8</f>
        <v>99.5</v>
      </c>
      <c r="C5" s="99">
        <v>1</v>
      </c>
      <c r="D5" s="46">
        <v>1</v>
      </c>
      <c r="E5" s="88">
        <f t="shared" si="0"/>
        <v>99.5</v>
      </c>
    </row>
    <row r="6" spans="1:6" ht="15.6" x14ac:dyDescent="0.3">
      <c r="A6" s="46" t="s">
        <v>80</v>
      </c>
      <c r="B6" s="88">
        <f>'ACTIVOS INTANGIBLES'!B9</f>
        <v>40000</v>
      </c>
      <c r="C6" s="99">
        <v>1</v>
      </c>
      <c r="D6" s="46">
        <v>1</v>
      </c>
      <c r="E6" s="88">
        <f t="shared" si="0"/>
        <v>40000</v>
      </c>
    </row>
    <row r="7" spans="1:6" ht="15.6" x14ac:dyDescent="0.3">
      <c r="A7" s="46" t="s">
        <v>81</v>
      </c>
      <c r="B7" s="88">
        <f>'ACTIVOS INTANGIBLES'!B10</f>
        <v>42000</v>
      </c>
      <c r="C7" s="99">
        <v>1</v>
      </c>
      <c r="D7" s="46">
        <v>1</v>
      </c>
      <c r="E7" s="88">
        <f t="shared" si="0"/>
        <v>42000</v>
      </c>
    </row>
    <row r="9" spans="1:6" ht="15.6" x14ac:dyDescent="0.3">
      <c r="A9" s="275" t="s">
        <v>206</v>
      </c>
      <c r="B9" s="276" t="s">
        <v>87</v>
      </c>
      <c r="C9" s="276" t="s">
        <v>88</v>
      </c>
      <c r="D9" s="276" t="s">
        <v>89</v>
      </c>
      <c r="E9" s="276" t="s">
        <v>90</v>
      </c>
      <c r="F9" s="276" t="s">
        <v>91</v>
      </c>
    </row>
    <row r="10" spans="1:6" ht="15.6" x14ac:dyDescent="0.3">
      <c r="A10" s="97" t="s">
        <v>76</v>
      </c>
      <c r="B10" s="89">
        <f>E2</f>
        <v>275</v>
      </c>
      <c r="C10" s="89">
        <v>0</v>
      </c>
      <c r="D10" s="89">
        <v>0</v>
      </c>
      <c r="E10" s="89">
        <v>0</v>
      </c>
      <c r="F10" s="89">
        <v>0</v>
      </c>
    </row>
    <row r="11" spans="1:6" ht="15.6" x14ac:dyDescent="0.3">
      <c r="A11" s="97" t="s">
        <v>77</v>
      </c>
      <c r="B11" s="89">
        <f t="shared" ref="B11:B15" si="1">E3</f>
        <v>165.1</v>
      </c>
      <c r="C11" s="89">
        <v>0</v>
      </c>
      <c r="D11" s="89">
        <v>0</v>
      </c>
      <c r="E11" s="89">
        <v>0</v>
      </c>
      <c r="F11" s="89">
        <v>0</v>
      </c>
    </row>
    <row r="12" spans="1:6" ht="15.6" x14ac:dyDescent="0.3">
      <c r="A12" s="98" t="s">
        <v>78</v>
      </c>
      <c r="B12" s="89">
        <f t="shared" si="1"/>
        <v>28</v>
      </c>
      <c r="C12" s="89">
        <v>0</v>
      </c>
      <c r="D12" s="89">
        <v>0</v>
      </c>
      <c r="E12" s="89">
        <v>0</v>
      </c>
      <c r="F12" s="89">
        <v>0</v>
      </c>
    </row>
    <row r="13" spans="1:6" ht="15.6" x14ac:dyDescent="0.3">
      <c r="A13" s="97" t="s">
        <v>79</v>
      </c>
      <c r="B13" s="89">
        <f t="shared" si="1"/>
        <v>99.5</v>
      </c>
      <c r="C13" s="89">
        <v>0</v>
      </c>
      <c r="D13" s="89">
        <v>0</v>
      </c>
      <c r="E13" s="89">
        <v>0</v>
      </c>
      <c r="F13" s="89">
        <v>0</v>
      </c>
    </row>
    <row r="14" spans="1:6" ht="15.6" x14ac:dyDescent="0.3">
      <c r="A14" s="97" t="s">
        <v>81</v>
      </c>
      <c r="B14" s="89">
        <f t="shared" si="1"/>
        <v>40000</v>
      </c>
      <c r="C14" s="89">
        <v>0</v>
      </c>
      <c r="D14" s="89">
        <v>0</v>
      </c>
      <c r="E14" s="89">
        <v>0</v>
      </c>
      <c r="F14" s="89">
        <v>0</v>
      </c>
    </row>
    <row r="15" spans="1:6" ht="15.6" x14ac:dyDescent="0.3">
      <c r="A15" s="97" t="s">
        <v>80</v>
      </c>
      <c r="B15" s="89">
        <f t="shared" si="1"/>
        <v>42000</v>
      </c>
      <c r="C15" s="89">
        <v>0</v>
      </c>
      <c r="D15" s="89">
        <v>0</v>
      </c>
      <c r="E15" s="89">
        <v>0</v>
      </c>
      <c r="F15" s="89">
        <v>0</v>
      </c>
    </row>
    <row r="16" spans="1:6" ht="15.6" x14ac:dyDescent="0.3">
      <c r="A16" s="273" t="s">
        <v>207</v>
      </c>
      <c r="B16" s="274">
        <f>+SUM(B10:B15)</f>
        <v>82567.600000000006</v>
      </c>
      <c r="C16" s="274">
        <f t="shared" ref="C16:F16" si="2">+SUM(C10:C15)</f>
        <v>0</v>
      </c>
      <c r="D16" s="274">
        <f t="shared" si="2"/>
        <v>0</v>
      </c>
      <c r="E16" s="274">
        <f t="shared" si="2"/>
        <v>0</v>
      </c>
      <c r="F16" s="274">
        <f t="shared" si="2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D17D-91FD-4F64-954E-5A4092B73A48}">
  <dimension ref="A2:K67"/>
  <sheetViews>
    <sheetView topLeftCell="A49" workbookViewId="0">
      <selection activeCell="G76" sqref="G76"/>
    </sheetView>
  </sheetViews>
  <sheetFormatPr baseColWidth="10" defaultColWidth="11.44140625" defaultRowHeight="14.4" x14ac:dyDescent="0.3"/>
  <cols>
    <col min="1" max="1" width="33.109375" customWidth="1"/>
    <col min="2" max="2" width="11.6640625" bestFit="1" customWidth="1"/>
    <col min="3" max="3" width="14" bestFit="1" customWidth="1"/>
    <col min="4" max="4" width="18.6640625" bestFit="1" customWidth="1"/>
    <col min="5" max="5" width="11.6640625" bestFit="1" customWidth="1"/>
    <col min="6" max="6" width="14.6640625" bestFit="1" customWidth="1"/>
    <col min="8" max="8" width="19.33203125" bestFit="1" customWidth="1"/>
    <col min="9" max="9" width="18.6640625" bestFit="1" customWidth="1"/>
    <col min="10" max="10" width="10.44140625" customWidth="1"/>
    <col min="11" max="11" width="17.6640625" customWidth="1"/>
  </cols>
  <sheetData>
    <row r="2" spans="1:11" ht="15.6" x14ac:dyDescent="0.3">
      <c r="A2" s="278" t="s">
        <v>114</v>
      </c>
      <c r="B2" s="279" t="s">
        <v>36</v>
      </c>
      <c r="C2" s="279" t="s">
        <v>208</v>
      </c>
      <c r="D2" s="279" t="s">
        <v>209</v>
      </c>
      <c r="E2" s="279" t="s">
        <v>204</v>
      </c>
      <c r="F2" s="279" t="s">
        <v>210</v>
      </c>
      <c r="H2" s="85"/>
      <c r="I2" s="216"/>
      <c r="J2" s="85"/>
      <c r="K2" s="85"/>
    </row>
    <row r="3" spans="1:11" ht="15.6" x14ac:dyDescent="0.3">
      <c r="A3" s="45" t="s">
        <v>196</v>
      </c>
      <c r="B3" s="45">
        <v>12</v>
      </c>
      <c r="C3" s="89">
        <f>DEPRECIACION!C2</f>
        <v>1000</v>
      </c>
      <c r="D3" s="88">
        <f t="shared" ref="D3:D26" si="0">C3*B3</f>
        <v>12000</v>
      </c>
      <c r="E3" s="91">
        <v>5</v>
      </c>
      <c r="F3" s="88">
        <f>D3-((D3/E3)*E3)</f>
        <v>0</v>
      </c>
      <c r="H3" s="60"/>
      <c r="I3" s="210"/>
      <c r="J3" s="210"/>
      <c r="K3" s="210"/>
    </row>
    <row r="4" spans="1:11" ht="15.6" x14ac:dyDescent="0.3">
      <c r="A4" s="45" t="s">
        <v>69</v>
      </c>
      <c r="B4" s="45">
        <v>5</v>
      </c>
      <c r="C4" s="89">
        <f>DEPRECIACION!C3</f>
        <v>50000</v>
      </c>
      <c r="D4" s="88">
        <f t="shared" si="0"/>
        <v>250000</v>
      </c>
      <c r="E4" s="91">
        <v>3</v>
      </c>
      <c r="F4" s="88">
        <f t="shared" ref="F4:F26" si="1">D4-((D4/E4)*E4)</f>
        <v>0</v>
      </c>
      <c r="H4" s="85"/>
      <c r="I4" s="85"/>
      <c r="J4" s="85"/>
      <c r="K4" s="85"/>
    </row>
    <row r="5" spans="1:11" ht="15.6" x14ac:dyDescent="0.3">
      <c r="A5" s="45" t="s">
        <v>71</v>
      </c>
      <c r="B5" s="45">
        <v>20</v>
      </c>
      <c r="C5" s="89">
        <f>DEPRECIACION!C4</f>
        <v>1100</v>
      </c>
      <c r="D5" s="88">
        <f t="shared" si="0"/>
        <v>22000</v>
      </c>
      <c r="E5" s="91">
        <v>3</v>
      </c>
      <c r="F5" s="88">
        <f t="shared" si="1"/>
        <v>0</v>
      </c>
      <c r="H5" s="85"/>
      <c r="I5" s="216"/>
      <c r="J5" s="85"/>
      <c r="K5" s="85"/>
    </row>
    <row r="6" spans="1:11" ht="15.6" x14ac:dyDescent="0.3">
      <c r="A6" s="45" t="s">
        <v>43</v>
      </c>
      <c r="B6" s="45">
        <v>2</v>
      </c>
      <c r="C6" s="89">
        <f>DEPRECIACION!C5</f>
        <v>250</v>
      </c>
      <c r="D6" s="88">
        <f t="shared" si="0"/>
        <v>500</v>
      </c>
      <c r="E6" s="91">
        <v>5</v>
      </c>
      <c r="F6" s="88">
        <f t="shared" si="1"/>
        <v>0</v>
      </c>
      <c r="H6" s="60"/>
      <c r="I6" s="210"/>
      <c r="J6" s="217"/>
      <c r="K6" s="210"/>
    </row>
    <row r="7" spans="1:11" ht="15.6" x14ac:dyDescent="0.3">
      <c r="A7" s="45" t="s">
        <v>68</v>
      </c>
      <c r="B7" s="45">
        <v>2</v>
      </c>
      <c r="C7" s="89">
        <f>DEPRECIACION!C6</f>
        <v>80000</v>
      </c>
      <c r="D7" s="88">
        <f t="shared" si="0"/>
        <v>160000</v>
      </c>
      <c r="E7" s="91">
        <v>3</v>
      </c>
      <c r="F7" s="88">
        <f t="shared" si="1"/>
        <v>0</v>
      </c>
    </row>
    <row r="8" spans="1:11" ht="15.6" x14ac:dyDescent="0.3">
      <c r="A8" s="45" t="s">
        <v>40</v>
      </c>
      <c r="B8" s="45">
        <v>1</v>
      </c>
      <c r="C8" s="89">
        <f>DEPRECIACION!C7</f>
        <v>700</v>
      </c>
      <c r="D8" s="88">
        <f t="shared" si="0"/>
        <v>700</v>
      </c>
      <c r="E8" s="91">
        <v>5</v>
      </c>
      <c r="F8" s="88">
        <f t="shared" si="1"/>
        <v>0</v>
      </c>
    </row>
    <row r="9" spans="1:11" ht="15.6" x14ac:dyDescent="0.3">
      <c r="A9" s="45" t="s">
        <v>62</v>
      </c>
      <c r="B9" s="45">
        <v>1</v>
      </c>
      <c r="C9" s="89">
        <f>DEPRECIACION!C9</f>
        <v>250</v>
      </c>
      <c r="D9" s="88">
        <f t="shared" si="0"/>
        <v>250</v>
      </c>
      <c r="E9" s="91">
        <v>5</v>
      </c>
      <c r="F9" s="88">
        <f t="shared" si="1"/>
        <v>0</v>
      </c>
    </row>
    <row r="10" spans="1:11" ht="15.6" x14ac:dyDescent="0.3">
      <c r="A10" s="45" t="s">
        <v>49</v>
      </c>
      <c r="B10" s="45">
        <v>25</v>
      </c>
      <c r="C10" s="89">
        <f>DEPRECIACION!C10</f>
        <v>1000</v>
      </c>
      <c r="D10" s="88">
        <f t="shared" si="0"/>
        <v>25000</v>
      </c>
      <c r="E10" s="91">
        <v>5</v>
      </c>
      <c r="F10" s="88">
        <f t="shared" si="1"/>
        <v>0</v>
      </c>
    </row>
    <row r="11" spans="1:11" ht="15.6" x14ac:dyDescent="0.3">
      <c r="A11" s="45" t="s">
        <v>54</v>
      </c>
      <c r="B11" s="45">
        <v>3</v>
      </c>
      <c r="C11" s="89">
        <f>DEPRECIACION!C11</f>
        <v>1500</v>
      </c>
      <c r="D11" s="88">
        <f t="shared" si="0"/>
        <v>4500</v>
      </c>
      <c r="E11" s="91">
        <v>5</v>
      </c>
      <c r="F11" s="88">
        <f t="shared" si="1"/>
        <v>0</v>
      </c>
    </row>
    <row r="12" spans="1:11" ht="15.6" x14ac:dyDescent="0.3">
      <c r="A12" s="45" t="s">
        <v>197</v>
      </c>
      <c r="B12" s="45">
        <v>2</v>
      </c>
      <c r="C12" s="89">
        <f>DEPRECIACION!C12</f>
        <v>120</v>
      </c>
      <c r="D12" s="88">
        <f t="shared" si="0"/>
        <v>240</v>
      </c>
      <c r="E12" s="91">
        <v>5</v>
      </c>
      <c r="F12" s="88">
        <f t="shared" si="1"/>
        <v>0</v>
      </c>
    </row>
    <row r="13" spans="1:11" ht="15.6" x14ac:dyDescent="0.3">
      <c r="A13" s="45" t="s">
        <v>198</v>
      </c>
      <c r="B13" s="45">
        <v>10</v>
      </c>
      <c r="C13" s="89">
        <f>DEPRECIACION!C13</f>
        <v>500</v>
      </c>
      <c r="D13" s="88">
        <f t="shared" si="0"/>
        <v>5000</v>
      </c>
      <c r="E13" s="91">
        <v>5</v>
      </c>
      <c r="F13" s="88">
        <f t="shared" si="1"/>
        <v>0</v>
      </c>
    </row>
    <row r="14" spans="1:11" ht="15.6" x14ac:dyDescent="0.3">
      <c r="A14" s="45" t="s">
        <v>56</v>
      </c>
      <c r="B14" s="45">
        <v>2</v>
      </c>
      <c r="C14" s="89">
        <f>DEPRECIACION!C14</f>
        <v>500</v>
      </c>
      <c r="D14" s="88">
        <f t="shared" si="0"/>
        <v>1000</v>
      </c>
      <c r="E14" s="91">
        <v>5</v>
      </c>
      <c r="F14" s="88">
        <f t="shared" si="1"/>
        <v>0</v>
      </c>
    </row>
    <row r="15" spans="1:11" ht="15.6" x14ac:dyDescent="0.3">
      <c r="A15" s="45" t="s">
        <v>45</v>
      </c>
      <c r="B15" s="45">
        <v>2</v>
      </c>
      <c r="C15" s="89">
        <f>DEPRECIACION!C15</f>
        <v>1400</v>
      </c>
      <c r="D15" s="88">
        <f t="shared" si="0"/>
        <v>2800</v>
      </c>
      <c r="E15" s="91">
        <v>5</v>
      </c>
      <c r="F15" s="88">
        <f t="shared" si="1"/>
        <v>0</v>
      </c>
    </row>
    <row r="16" spans="1:11" ht="15.6" x14ac:dyDescent="0.3">
      <c r="A16" s="45" t="s">
        <v>64</v>
      </c>
      <c r="B16" s="45">
        <v>2</v>
      </c>
      <c r="C16" s="89">
        <f>DEPRECIACION!C16</f>
        <v>1600</v>
      </c>
      <c r="D16" s="88">
        <f t="shared" si="0"/>
        <v>3200</v>
      </c>
      <c r="E16" s="91">
        <v>5</v>
      </c>
      <c r="F16" s="88">
        <f t="shared" si="1"/>
        <v>0</v>
      </c>
    </row>
    <row r="17" spans="1:9" ht="15.6" x14ac:dyDescent="0.3">
      <c r="A17" s="45" t="s">
        <v>42</v>
      </c>
      <c r="B17" s="45">
        <v>1</v>
      </c>
      <c r="C17" s="89">
        <f>DEPRECIACION!C17</f>
        <v>300</v>
      </c>
      <c r="D17" s="88">
        <f t="shared" si="0"/>
        <v>300</v>
      </c>
      <c r="E17" s="91">
        <v>5</v>
      </c>
      <c r="F17" s="88">
        <f t="shared" si="1"/>
        <v>0</v>
      </c>
    </row>
    <row r="18" spans="1:9" ht="15.6" x14ac:dyDescent="0.3">
      <c r="A18" s="45" t="s">
        <v>70</v>
      </c>
      <c r="B18" s="45">
        <v>10</v>
      </c>
      <c r="C18" s="89">
        <f>DEPRECIACION!C18</f>
        <v>4000</v>
      </c>
      <c r="D18" s="88">
        <f t="shared" si="0"/>
        <v>40000</v>
      </c>
      <c r="E18" s="91">
        <v>3</v>
      </c>
      <c r="F18" s="88">
        <f t="shared" si="1"/>
        <v>0</v>
      </c>
    </row>
    <row r="19" spans="1:9" ht="15.6" x14ac:dyDescent="0.3">
      <c r="A19" s="45" t="s">
        <v>60</v>
      </c>
      <c r="B19" s="45">
        <v>1</v>
      </c>
      <c r="C19" s="89">
        <f>DEPRECIACION!C19</f>
        <v>1500</v>
      </c>
      <c r="D19" s="88">
        <f t="shared" si="0"/>
        <v>1500</v>
      </c>
      <c r="E19" s="91">
        <v>5</v>
      </c>
      <c r="F19" s="88">
        <f t="shared" si="1"/>
        <v>0</v>
      </c>
    </row>
    <row r="20" spans="1:9" ht="15.6" x14ac:dyDescent="0.3">
      <c r="A20" s="45" t="s">
        <v>41</v>
      </c>
      <c r="B20" s="45">
        <v>1</v>
      </c>
      <c r="C20" s="89">
        <f>DEPRECIACION!C20</f>
        <v>1200</v>
      </c>
      <c r="D20" s="88">
        <f t="shared" si="0"/>
        <v>1200</v>
      </c>
      <c r="E20" s="91">
        <v>5</v>
      </c>
      <c r="F20" s="88">
        <f t="shared" si="1"/>
        <v>0</v>
      </c>
    </row>
    <row r="21" spans="1:9" ht="15.6" x14ac:dyDescent="0.3">
      <c r="A21" s="45" t="s">
        <v>72</v>
      </c>
      <c r="B21" s="45">
        <v>20</v>
      </c>
      <c r="C21" s="89">
        <f>DEPRECIACION!C22</f>
        <v>900</v>
      </c>
      <c r="D21" s="88">
        <f t="shared" si="0"/>
        <v>18000</v>
      </c>
      <c r="E21" s="91">
        <v>3</v>
      </c>
      <c r="F21" s="88">
        <f t="shared" si="1"/>
        <v>0</v>
      </c>
    </row>
    <row r="22" spans="1:9" ht="15.6" x14ac:dyDescent="0.3">
      <c r="A22" s="45" t="s">
        <v>51</v>
      </c>
      <c r="B22" s="45">
        <v>27</v>
      </c>
      <c r="C22" s="89">
        <f>DEPRECIACION!C23</f>
        <v>400</v>
      </c>
      <c r="D22" s="88">
        <f t="shared" si="0"/>
        <v>10800</v>
      </c>
      <c r="E22" s="91">
        <v>5</v>
      </c>
      <c r="F22" s="88">
        <f t="shared" si="1"/>
        <v>0</v>
      </c>
    </row>
    <row r="23" spans="1:9" ht="15.6" x14ac:dyDescent="0.3">
      <c r="A23" s="45" t="s">
        <v>46</v>
      </c>
      <c r="B23" s="45">
        <v>10</v>
      </c>
      <c r="C23" s="89">
        <f>DEPRECIACION!C24</f>
        <v>250</v>
      </c>
      <c r="D23" s="88">
        <f t="shared" si="0"/>
        <v>2500</v>
      </c>
      <c r="E23" s="91">
        <v>5</v>
      </c>
      <c r="F23" s="88">
        <f t="shared" si="1"/>
        <v>0</v>
      </c>
      <c r="I23" s="117"/>
    </row>
    <row r="24" spans="1:9" ht="15.6" x14ac:dyDescent="0.3">
      <c r="A24" s="45" t="s">
        <v>63</v>
      </c>
      <c r="B24" s="45">
        <v>20</v>
      </c>
      <c r="C24" s="89">
        <f>DEPRECIACION!C25</f>
        <v>200</v>
      </c>
      <c r="D24" s="88">
        <f t="shared" si="0"/>
        <v>4000</v>
      </c>
      <c r="E24" s="91">
        <v>5</v>
      </c>
      <c r="F24" s="88">
        <f t="shared" si="1"/>
        <v>0</v>
      </c>
      <c r="I24" s="117"/>
    </row>
    <row r="25" spans="1:9" ht="15.6" x14ac:dyDescent="0.3">
      <c r="A25" s="45" t="s">
        <v>199</v>
      </c>
      <c r="B25" s="45">
        <v>9</v>
      </c>
      <c r="C25" s="89">
        <f>DEPRECIACION!C26</f>
        <v>1300</v>
      </c>
      <c r="D25" s="88">
        <f t="shared" si="0"/>
        <v>11700</v>
      </c>
      <c r="E25" s="91">
        <v>5</v>
      </c>
      <c r="F25" s="88">
        <f t="shared" si="1"/>
        <v>0</v>
      </c>
      <c r="I25" s="117"/>
    </row>
    <row r="26" spans="1:9" ht="15.6" x14ac:dyDescent="0.3">
      <c r="A26" s="45" t="s">
        <v>47</v>
      </c>
      <c r="B26" s="45">
        <v>2</v>
      </c>
      <c r="C26" s="89">
        <f>DEPRECIACION!C27</f>
        <v>100</v>
      </c>
      <c r="D26" s="88">
        <f t="shared" si="0"/>
        <v>200</v>
      </c>
      <c r="E26" s="91">
        <v>5</v>
      </c>
      <c r="F26" s="88">
        <f t="shared" si="1"/>
        <v>0</v>
      </c>
    </row>
    <row r="27" spans="1:9" ht="15.6" x14ac:dyDescent="0.3">
      <c r="A27" s="45" t="s">
        <v>50</v>
      </c>
      <c r="B27" s="45">
        <v>25</v>
      </c>
      <c r="C27" s="89">
        <f>DEPRECIACION!C8</f>
        <v>4000</v>
      </c>
      <c r="D27" s="88">
        <f>C27*B27</f>
        <v>100000</v>
      </c>
      <c r="E27" s="91">
        <v>2</v>
      </c>
      <c r="F27" s="88">
        <f>D27-((D27/E27)*E27)</f>
        <v>0</v>
      </c>
    </row>
    <row r="28" spans="1:9" ht="15.6" x14ac:dyDescent="0.3">
      <c r="A28" s="45" t="s">
        <v>61</v>
      </c>
      <c r="B28" s="45">
        <v>3</v>
      </c>
      <c r="C28" s="89">
        <f>DEPRECIACION!C21</f>
        <v>100</v>
      </c>
      <c r="D28" s="88">
        <f>C28*B28</f>
        <v>300</v>
      </c>
      <c r="E28" s="91">
        <v>2</v>
      </c>
      <c r="F28" s="88">
        <f>D28-((D28/E28)*E28)</f>
        <v>0</v>
      </c>
    </row>
    <row r="29" spans="1:9" ht="15.6" x14ac:dyDescent="0.3">
      <c r="A29" s="430" t="s">
        <v>211</v>
      </c>
      <c r="B29" s="430"/>
      <c r="C29" s="430"/>
      <c r="D29" s="430"/>
      <c r="E29" s="430"/>
      <c r="F29" s="277">
        <f>SUM(F3:F28)</f>
        <v>0</v>
      </c>
    </row>
    <row r="31" spans="1:9" ht="15.6" x14ac:dyDescent="0.3">
      <c r="A31" s="280" t="s">
        <v>212</v>
      </c>
      <c r="B31" s="281" t="s">
        <v>36</v>
      </c>
      <c r="C31" s="281" t="s">
        <v>213</v>
      </c>
      <c r="D31" s="281" t="s">
        <v>214</v>
      </c>
      <c r="H31" s="85"/>
      <c r="I31" s="216"/>
    </row>
    <row r="32" spans="1:9" ht="15.6" x14ac:dyDescent="0.3">
      <c r="A32" s="45" t="s">
        <v>196</v>
      </c>
      <c r="B32" s="45">
        <v>12</v>
      </c>
      <c r="C32" s="89">
        <v>650</v>
      </c>
      <c r="D32" s="88">
        <f>B32*C32</f>
        <v>7800</v>
      </c>
      <c r="H32" s="60"/>
      <c r="I32" s="210"/>
    </row>
    <row r="33" spans="1:11" ht="15.6" x14ac:dyDescent="0.3">
      <c r="A33" s="45" t="s">
        <v>69</v>
      </c>
      <c r="B33" s="45">
        <v>5</v>
      </c>
      <c r="C33" s="89">
        <v>32000</v>
      </c>
      <c r="D33" s="88">
        <f t="shared" ref="D33:D55" si="2">B33*C33</f>
        <v>160000</v>
      </c>
      <c r="H33" s="85"/>
      <c r="I33" s="85"/>
      <c r="J33" s="85"/>
      <c r="K33" s="85"/>
    </row>
    <row r="34" spans="1:11" ht="15.6" x14ac:dyDescent="0.3">
      <c r="A34" s="45" t="s">
        <v>71</v>
      </c>
      <c r="B34" s="45">
        <v>20</v>
      </c>
      <c r="C34" s="89">
        <v>750</v>
      </c>
      <c r="D34" s="88">
        <f t="shared" si="2"/>
        <v>15000</v>
      </c>
      <c r="H34" s="85"/>
      <c r="I34" s="216"/>
    </row>
    <row r="35" spans="1:11" ht="15.6" x14ac:dyDescent="0.3">
      <c r="A35" s="45" t="s">
        <v>43</v>
      </c>
      <c r="B35" s="45">
        <v>2</v>
      </c>
      <c r="C35" s="89">
        <v>100</v>
      </c>
      <c r="D35" s="88">
        <f t="shared" si="2"/>
        <v>200</v>
      </c>
      <c r="H35" s="60"/>
      <c r="I35" s="210"/>
    </row>
    <row r="36" spans="1:11" ht="15.6" x14ac:dyDescent="0.3">
      <c r="A36" s="45" t="s">
        <v>68</v>
      </c>
      <c r="B36" s="45">
        <v>2</v>
      </c>
      <c r="C36" s="89">
        <v>60000</v>
      </c>
      <c r="D36" s="88">
        <f t="shared" si="2"/>
        <v>120000</v>
      </c>
    </row>
    <row r="37" spans="1:11" ht="15.6" x14ac:dyDescent="0.3">
      <c r="A37" s="45" t="s">
        <v>40</v>
      </c>
      <c r="B37" s="45">
        <v>1</v>
      </c>
      <c r="C37" s="89">
        <v>500</v>
      </c>
      <c r="D37" s="88">
        <f t="shared" si="2"/>
        <v>500</v>
      </c>
    </row>
    <row r="38" spans="1:11" ht="15.6" x14ac:dyDescent="0.3">
      <c r="A38" s="45" t="s">
        <v>62</v>
      </c>
      <c r="B38" s="45">
        <v>1</v>
      </c>
      <c r="C38" s="89">
        <v>100</v>
      </c>
      <c r="D38" s="88">
        <f t="shared" si="2"/>
        <v>100</v>
      </c>
    </row>
    <row r="39" spans="1:11" ht="15.6" x14ac:dyDescent="0.3">
      <c r="A39" s="45" t="s">
        <v>49</v>
      </c>
      <c r="B39" s="45">
        <v>25</v>
      </c>
      <c r="C39" s="89">
        <v>650</v>
      </c>
      <c r="D39" s="88">
        <f t="shared" si="2"/>
        <v>16250</v>
      </c>
    </row>
    <row r="40" spans="1:11" ht="15.6" x14ac:dyDescent="0.3">
      <c r="A40" s="45" t="s">
        <v>54</v>
      </c>
      <c r="B40" s="45">
        <v>3</v>
      </c>
      <c r="C40" s="89">
        <v>950</v>
      </c>
      <c r="D40" s="88">
        <f t="shared" si="2"/>
        <v>2850</v>
      </c>
    </row>
    <row r="41" spans="1:11" ht="15.6" x14ac:dyDescent="0.3">
      <c r="A41" s="45" t="s">
        <v>197</v>
      </c>
      <c r="B41" s="45">
        <v>2</v>
      </c>
      <c r="C41" s="89">
        <v>80</v>
      </c>
      <c r="D41" s="88">
        <f t="shared" si="2"/>
        <v>160</v>
      </c>
    </row>
    <row r="42" spans="1:11" ht="15.6" x14ac:dyDescent="0.3">
      <c r="A42" s="45" t="s">
        <v>198</v>
      </c>
      <c r="B42" s="45">
        <v>10</v>
      </c>
      <c r="C42" s="89">
        <v>350</v>
      </c>
      <c r="D42" s="88">
        <f t="shared" si="2"/>
        <v>3500</v>
      </c>
    </row>
    <row r="43" spans="1:11" ht="15.6" x14ac:dyDescent="0.3">
      <c r="A43" s="45" t="s">
        <v>56</v>
      </c>
      <c r="B43" s="45">
        <v>2</v>
      </c>
      <c r="C43" s="89">
        <v>200</v>
      </c>
      <c r="D43" s="88">
        <f t="shared" si="2"/>
        <v>400</v>
      </c>
    </row>
    <row r="44" spans="1:11" ht="15.6" x14ac:dyDescent="0.3">
      <c r="A44" s="45" t="s">
        <v>45</v>
      </c>
      <c r="B44" s="45">
        <v>2</v>
      </c>
      <c r="C44" s="89">
        <v>800</v>
      </c>
      <c r="D44" s="88">
        <f t="shared" si="2"/>
        <v>1600</v>
      </c>
    </row>
    <row r="45" spans="1:11" ht="15.6" x14ac:dyDescent="0.3">
      <c r="A45" s="45" t="s">
        <v>64</v>
      </c>
      <c r="B45" s="45">
        <v>2</v>
      </c>
      <c r="C45" s="89">
        <v>1000</v>
      </c>
      <c r="D45" s="88">
        <f t="shared" si="2"/>
        <v>2000</v>
      </c>
    </row>
    <row r="46" spans="1:11" ht="15.6" x14ac:dyDescent="0.3">
      <c r="A46" s="45" t="s">
        <v>42</v>
      </c>
      <c r="B46" s="45">
        <v>1</v>
      </c>
      <c r="C46" s="89">
        <v>250</v>
      </c>
      <c r="D46" s="88">
        <f t="shared" si="2"/>
        <v>250</v>
      </c>
    </row>
    <row r="47" spans="1:11" ht="15.6" x14ac:dyDescent="0.3">
      <c r="A47" s="45" t="s">
        <v>70</v>
      </c>
      <c r="B47" s="45">
        <v>10</v>
      </c>
      <c r="C47" s="89">
        <v>2850</v>
      </c>
      <c r="D47" s="88">
        <f t="shared" si="2"/>
        <v>28500</v>
      </c>
    </row>
    <row r="48" spans="1:11" ht="15.6" x14ac:dyDescent="0.3">
      <c r="A48" s="45" t="s">
        <v>60</v>
      </c>
      <c r="B48" s="45">
        <v>1</v>
      </c>
      <c r="C48" s="89">
        <v>800</v>
      </c>
      <c r="D48" s="88">
        <f t="shared" si="2"/>
        <v>800</v>
      </c>
    </row>
    <row r="49" spans="1:4" ht="15.6" x14ac:dyDescent="0.3">
      <c r="A49" s="45" t="s">
        <v>41</v>
      </c>
      <c r="B49" s="45">
        <v>1</v>
      </c>
      <c r="C49" s="89">
        <v>650</v>
      </c>
      <c r="D49" s="88">
        <f t="shared" si="2"/>
        <v>650</v>
      </c>
    </row>
    <row r="50" spans="1:4" ht="15.6" x14ac:dyDescent="0.3">
      <c r="A50" s="45" t="s">
        <v>72</v>
      </c>
      <c r="B50" s="45">
        <v>20</v>
      </c>
      <c r="C50" s="89">
        <v>600</v>
      </c>
      <c r="D50" s="88">
        <f t="shared" si="2"/>
        <v>12000</v>
      </c>
    </row>
    <row r="51" spans="1:4" ht="15.6" x14ac:dyDescent="0.3">
      <c r="A51" s="45" t="s">
        <v>51</v>
      </c>
      <c r="B51" s="45">
        <v>27</v>
      </c>
      <c r="C51" s="89">
        <v>240</v>
      </c>
      <c r="D51" s="88">
        <f t="shared" si="2"/>
        <v>6480</v>
      </c>
    </row>
    <row r="52" spans="1:4" ht="15.6" x14ac:dyDescent="0.3">
      <c r="A52" s="45" t="s">
        <v>46</v>
      </c>
      <c r="B52" s="45">
        <v>10</v>
      </c>
      <c r="C52" s="89">
        <v>120</v>
      </c>
      <c r="D52" s="88">
        <f t="shared" si="2"/>
        <v>1200</v>
      </c>
    </row>
    <row r="53" spans="1:4" ht="15.6" x14ac:dyDescent="0.3">
      <c r="A53" s="45" t="s">
        <v>63</v>
      </c>
      <c r="B53" s="45">
        <v>20</v>
      </c>
      <c r="C53" s="89">
        <v>100</v>
      </c>
      <c r="D53" s="88">
        <f t="shared" si="2"/>
        <v>2000</v>
      </c>
    </row>
    <row r="54" spans="1:4" ht="15.6" x14ac:dyDescent="0.3">
      <c r="A54" s="45" t="s">
        <v>199</v>
      </c>
      <c r="B54" s="45">
        <v>9</v>
      </c>
      <c r="C54" s="89">
        <v>800</v>
      </c>
      <c r="D54" s="88">
        <f t="shared" si="2"/>
        <v>7200</v>
      </c>
    </row>
    <row r="55" spans="1:4" ht="15.6" x14ac:dyDescent="0.3">
      <c r="A55" s="45" t="s">
        <v>47</v>
      </c>
      <c r="B55" s="45">
        <v>2</v>
      </c>
      <c r="C55" s="89">
        <v>50</v>
      </c>
      <c r="D55" s="88">
        <f t="shared" si="2"/>
        <v>100</v>
      </c>
    </row>
    <row r="56" spans="1:4" ht="15.6" x14ac:dyDescent="0.3">
      <c r="A56" s="45" t="s">
        <v>50</v>
      </c>
      <c r="B56" s="45">
        <v>25</v>
      </c>
      <c r="C56" s="89">
        <v>3000</v>
      </c>
      <c r="D56" s="89">
        <f>B56*C56</f>
        <v>75000</v>
      </c>
    </row>
    <row r="57" spans="1:4" ht="15.6" x14ac:dyDescent="0.3">
      <c r="A57" s="45" t="s">
        <v>61</v>
      </c>
      <c r="B57" s="45">
        <v>3</v>
      </c>
      <c r="C57" s="89">
        <v>50</v>
      </c>
      <c r="D57" s="89">
        <f>B57*C57</f>
        <v>150</v>
      </c>
    </row>
    <row r="58" spans="1:4" ht="15.6" x14ac:dyDescent="0.3">
      <c r="A58" s="415" t="s">
        <v>215</v>
      </c>
      <c r="B58" s="429"/>
      <c r="C58" s="429"/>
      <c r="D58" s="282">
        <f>SUM(D32:D57)</f>
        <v>464690</v>
      </c>
    </row>
    <row r="60" spans="1:4" ht="15.6" x14ac:dyDescent="0.3">
      <c r="A60" s="433" t="s">
        <v>216</v>
      </c>
      <c r="B60" s="433"/>
      <c r="C60" s="433"/>
    </row>
    <row r="61" spans="1:4" ht="15.6" x14ac:dyDescent="0.3">
      <c r="A61" s="434" t="s">
        <v>217</v>
      </c>
      <c r="B61" s="434"/>
      <c r="C61" s="119">
        <f>D58</f>
        <v>464690</v>
      </c>
    </row>
    <row r="62" spans="1:4" ht="15.6" x14ac:dyDescent="0.3">
      <c r="A62" s="435" t="s">
        <v>218</v>
      </c>
      <c r="B62" s="435"/>
      <c r="C62" s="120">
        <f>F29</f>
        <v>0</v>
      </c>
    </row>
    <row r="63" spans="1:4" ht="15.6" x14ac:dyDescent="0.3">
      <c r="A63" s="436" t="s">
        <v>219</v>
      </c>
      <c r="B63" s="436"/>
      <c r="C63" s="121">
        <f>C61-C62</f>
        <v>464690</v>
      </c>
    </row>
    <row r="64" spans="1:4" ht="15.6" x14ac:dyDescent="0.3">
      <c r="A64" s="435" t="s">
        <v>220</v>
      </c>
      <c r="B64" s="435"/>
      <c r="C64" s="123">
        <f>-(C63*0.295)</f>
        <v>-137083.54999999999</v>
      </c>
    </row>
    <row r="65" spans="1:3" ht="15.6" x14ac:dyDescent="0.3">
      <c r="A65" s="436" t="s">
        <v>221</v>
      </c>
      <c r="B65" s="436"/>
      <c r="C65" s="121">
        <f>C63+C64</f>
        <v>327606.45</v>
      </c>
    </row>
    <row r="66" spans="1:3" ht="15.6" x14ac:dyDescent="0.3">
      <c r="A66" s="431" t="s">
        <v>222</v>
      </c>
      <c r="B66" s="431"/>
      <c r="C66" s="119">
        <f>C62</f>
        <v>0</v>
      </c>
    </row>
    <row r="67" spans="1:3" ht="15.6" x14ac:dyDescent="0.3">
      <c r="A67" s="432" t="s">
        <v>216</v>
      </c>
      <c r="B67" s="432"/>
      <c r="C67" s="122">
        <f>C65+C66</f>
        <v>327606.45</v>
      </c>
    </row>
  </sheetData>
  <mergeCells count="10">
    <mergeCell ref="A58:C58"/>
    <mergeCell ref="A29:E29"/>
    <mergeCell ref="A66:B66"/>
    <mergeCell ref="A67:B67"/>
    <mergeCell ref="A60:C60"/>
    <mergeCell ref="A61:B61"/>
    <mergeCell ref="A62:B62"/>
    <mergeCell ref="A63:B63"/>
    <mergeCell ref="A64:B64"/>
    <mergeCell ref="A65:B65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0123-EA18-4073-B1DA-03EECCAF9857}">
  <dimension ref="A3:O49"/>
  <sheetViews>
    <sheetView topLeftCell="A28" workbookViewId="0">
      <selection activeCell="I46" sqref="I46"/>
    </sheetView>
  </sheetViews>
  <sheetFormatPr baseColWidth="10" defaultColWidth="11.44140625" defaultRowHeight="14.4" x14ac:dyDescent="0.3"/>
  <cols>
    <col min="1" max="1" width="22.109375" bestFit="1" customWidth="1"/>
    <col min="2" max="2" width="7.5546875" customWidth="1"/>
    <col min="3" max="3" width="17.33203125" customWidth="1"/>
    <col min="4" max="4" width="22" bestFit="1" customWidth="1"/>
    <col min="5" max="5" width="14.88671875" bestFit="1" customWidth="1"/>
    <col min="6" max="6" width="14.5546875" bestFit="1" customWidth="1"/>
    <col min="7" max="7" width="12.44140625" bestFit="1" customWidth="1"/>
    <col min="9" max="9" width="12.88671875" bestFit="1" customWidth="1"/>
  </cols>
  <sheetData>
    <row r="3" spans="1:6" ht="15.6" x14ac:dyDescent="0.3">
      <c r="A3" s="447" t="s">
        <v>223</v>
      </c>
      <c r="B3" s="446" t="s">
        <v>224</v>
      </c>
      <c r="C3" s="162" t="s">
        <v>225</v>
      </c>
      <c r="E3" s="81"/>
      <c r="F3" s="81"/>
    </row>
    <row r="4" spans="1:6" ht="15.6" x14ac:dyDescent="0.3">
      <c r="A4" s="447"/>
      <c r="B4" s="446"/>
      <c r="C4" s="163" t="s">
        <v>226</v>
      </c>
      <c r="E4" s="81"/>
      <c r="F4" s="81"/>
    </row>
    <row r="5" spans="1:6" ht="15.6" x14ac:dyDescent="0.3">
      <c r="A5" s="72"/>
      <c r="B5" s="72"/>
      <c r="C5" s="72"/>
      <c r="D5" s="81"/>
      <c r="E5" s="81"/>
      <c r="F5" s="81"/>
    </row>
    <row r="6" spans="1:6" ht="15.6" x14ac:dyDescent="0.3">
      <c r="A6" s="73" t="s">
        <v>225</v>
      </c>
      <c r="B6" s="164" t="s">
        <v>224</v>
      </c>
      <c r="C6" s="73" t="s">
        <v>227</v>
      </c>
      <c r="D6" s="73"/>
      <c r="E6" s="73"/>
      <c r="F6" s="81"/>
    </row>
    <row r="7" spans="1:6" ht="15.6" x14ac:dyDescent="0.3">
      <c r="A7" s="72"/>
      <c r="B7" s="72"/>
      <c r="C7" s="72"/>
      <c r="D7" s="72"/>
      <c r="E7" s="72"/>
      <c r="F7" s="81"/>
    </row>
    <row r="8" spans="1:6" ht="15.6" x14ac:dyDescent="0.3">
      <c r="A8" s="73" t="s">
        <v>226</v>
      </c>
      <c r="B8" s="164" t="s">
        <v>224</v>
      </c>
      <c r="C8" s="73" t="s">
        <v>228</v>
      </c>
      <c r="D8" s="73"/>
      <c r="E8" s="73"/>
    </row>
    <row r="9" spans="1:6" ht="15.6" x14ac:dyDescent="0.3">
      <c r="A9" s="72"/>
      <c r="B9" s="72"/>
      <c r="C9" s="72"/>
      <c r="D9" s="72"/>
      <c r="E9" s="72"/>
    </row>
    <row r="10" spans="1:6" ht="15.6" x14ac:dyDescent="0.3">
      <c r="A10" s="73" t="s">
        <v>223</v>
      </c>
      <c r="B10" s="164" t="s">
        <v>229</v>
      </c>
      <c r="C10" s="163">
        <v>4</v>
      </c>
      <c r="D10" s="73" t="s">
        <v>230</v>
      </c>
      <c r="E10" s="73"/>
    </row>
    <row r="12" spans="1:6" ht="15.6" x14ac:dyDescent="0.3">
      <c r="A12" s="450" t="s">
        <v>231</v>
      </c>
      <c r="B12" s="451"/>
      <c r="C12" s="452"/>
    </row>
    <row r="13" spans="1:6" ht="15.6" x14ac:dyDescent="0.3">
      <c r="A13" s="448" t="s">
        <v>96</v>
      </c>
      <c r="B13" s="449"/>
      <c r="C13" s="152">
        <f>INGRESOS!C11</f>
        <v>4212000</v>
      </c>
    </row>
    <row r="14" spans="1:6" ht="15.6" x14ac:dyDescent="0.3">
      <c r="A14" s="442" t="s">
        <v>232</v>
      </c>
      <c r="B14" s="443"/>
      <c r="C14" s="153">
        <f>-'COSTOS OPERATIVOS'!B8</f>
        <v>-347624</v>
      </c>
    </row>
    <row r="15" spans="1:6" ht="15.6" x14ac:dyDescent="0.3">
      <c r="A15" s="453" t="s">
        <v>233</v>
      </c>
      <c r="B15" s="454"/>
      <c r="C15" s="154">
        <f>SUM(C13:C14)</f>
        <v>3864376</v>
      </c>
    </row>
    <row r="16" spans="1:6" ht="15.6" x14ac:dyDescent="0.3">
      <c r="A16" s="440" t="s">
        <v>234</v>
      </c>
      <c r="B16" s="441"/>
      <c r="C16" s="152">
        <f>-'COSTOS OPERATIVOS'!B9</f>
        <v>-302248.09999999998</v>
      </c>
    </row>
    <row r="17" spans="1:15" ht="15.6" x14ac:dyDescent="0.3">
      <c r="A17" s="440" t="s">
        <v>235</v>
      </c>
      <c r="B17" s="441"/>
      <c r="C17" s="152">
        <f>-('COSTOS OPERATIVOS'!B10+'COSTOS OPERATIVOS'!B11)</f>
        <v>-2194824</v>
      </c>
    </row>
    <row r="18" spans="1:15" ht="15.6" x14ac:dyDescent="0.3">
      <c r="A18" s="440" t="s">
        <v>236</v>
      </c>
      <c r="B18" s="441"/>
      <c r="C18" s="152">
        <f>-DEPRECIACION!B57</f>
        <v>-230961.33333333334</v>
      </c>
    </row>
    <row r="19" spans="1:15" ht="15.6" x14ac:dyDescent="0.3">
      <c r="A19" s="442" t="s">
        <v>237</v>
      </c>
      <c r="B19" s="443"/>
      <c r="C19" s="153">
        <f>-AMORTIZACION!B16</f>
        <v>-82567.600000000006</v>
      </c>
    </row>
    <row r="20" spans="1:15" ht="15.6" x14ac:dyDescent="0.3">
      <c r="A20" s="444" t="s">
        <v>231</v>
      </c>
      <c r="B20" s="445"/>
      <c r="C20" s="155">
        <f>SUM(C15:C19)</f>
        <v>1053774.9666666666</v>
      </c>
    </row>
    <row r="22" spans="1:15" ht="15.6" x14ac:dyDescent="0.3">
      <c r="A22" s="283" t="s">
        <v>114</v>
      </c>
      <c r="B22" s="283"/>
      <c r="C22" s="283" t="s">
        <v>238</v>
      </c>
    </row>
    <row r="23" spans="1:15" ht="15.6" x14ac:dyDescent="0.3">
      <c r="A23" s="156" t="s">
        <v>231</v>
      </c>
      <c r="B23" s="159" t="s">
        <v>224</v>
      </c>
      <c r="C23" s="165">
        <f>C20</f>
        <v>1053774.9666666666</v>
      </c>
    </row>
    <row r="24" spans="1:15" ht="15.6" x14ac:dyDescent="0.3">
      <c r="A24" s="157" t="s">
        <v>239</v>
      </c>
      <c r="B24" s="160" t="s">
        <v>224</v>
      </c>
      <c r="C24" s="166">
        <f>(C18*-1)</f>
        <v>230961.33333333334</v>
      </c>
    </row>
    <row r="25" spans="1:15" ht="15.6" x14ac:dyDescent="0.3">
      <c r="A25" s="157" t="s">
        <v>240</v>
      </c>
      <c r="B25" s="160" t="s">
        <v>224</v>
      </c>
      <c r="C25" s="166">
        <f>(C19*-1)</f>
        <v>82567.600000000006</v>
      </c>
    </row>
    <row r="26" spans="1:15" ht="15.6" x14ac:dyDescent="0.3">
      <c r="A26" s="157" t="s">
        <v>241</v>
      </c>
      <c r="B26" s="160" t="s">
        <v>224</v>
      </c>
      <c r="C26" s="167">
        <v>7.9500000000000001E-2</v>
      </c>
    </row>
    <row r="27" spans="1:15" ht="15.6" x14ac:dyDescent="0.3">
      <c r="A27" s="158" t="s">
        <v>242</v>
      </c>
      <c r="B27" s="161" t="s">
        <v>224</v>
      </c>
      <c r="C27" s="168">
        <f>(C23+C24+C25)/(C26*C10)</f>
        <v>4299697.7987421378</v>
      </c>
    </row>
    <row r="29" spans="1:15" ht="15.6" x14ac:dyDescent="0.3">
      <c r="A29" s="437" t="s">
        <v>243</v>
      </c>
      <c r="B29" s="438"/>
      <c r="C29" s="439"/>
    </row>
    <row r="31" spans="1:15" ht="15.6" x14ac:dyDescent="0.3">
      <c r="A31" s="81"/>
      <c r="B31" s="81"/>
      <c r="C31" s="81"/>
      <c r="D31" s="81"/>
      <c r="E31" s="81"/>
      <c r="F31" s="81"/>
      <c r="G31" s="81"/>
      <c r="J31" s="81"/>
      <c r="K31" s="81"/>
      <c r="L31" s="81"/>
      <c r="M31" s="81"/>
      <c r="N31" s="81"/>
      <c r="O31" s="81"/>
    </row>
    <row r="32" spans="1:15" ht="15.6" x14ac:dyDescent="0.3">
      <c r="A32" s="83"/>
      <c r="B32" s="83"/>
      <c r="C32" s="83"/>
      <c r="D32" s="83"/>
      <c r="E32" s="170" t="s">
        <v>244</v>
      </c>
      <c r="F32" s="171">
        <f>+D33*G32</f>
        <v>299164.6825</v>
      </c>
      <c r="G32" s="172">
        <v>0.3</v>
      </c>
      <c r="J32" s="81"/>
      <c r="K32" s="81"/>
      <c r="L32" s="81"/>
      <c r="M32" s="81"/>
      <c r="N32" s="81"/>
      <c r="O32" s="81"/>
    </row>
    <row r="33" spans="1:15" ht="15.6" x14ac:dyDescent="0.3">
      <c r="A33" s="455" t="s">
        <v>245</v>
      </c>
      <c r="B33" s="456"/>
      <c r="C33" s="457"/>
      <c r="D33" s="284">
        <f>'INVERSION INICIAL'!C23</f>
        <v>997215.60833333328</v>
      </c>
      <c r="E33" s="169"/>
      <c r="F33" s="169"/>
      <c r="G33" s="169"/>
      <c r="J33" s="81"/>
      <c r="K33" s="81"/>
      <c r="L33" s="81"/>
      <c r="M33" s="81"/>
      <c r="N33" s="81"/>
      <c r="O33" s="81"/>
    </row>
    <row r="34" spans="1:15" ht="15.6" x14ac:dyDescent="0.3">
      <c r="A34" s="169"/>
      <c r="B34" s="169"/>
      <c r="C34" s="169"/>
      <c r="D34" s="169"/>
      <c r="E34" s="170" t="s">
        <v>246</v>
      </c>
      <c r="F34" s="171">
        <f>D33-F32</f>
        <v>698050.92583333328</v>
      </c>
      <c r="G34" s="172">
        <v>0.7</v>
      </c>
      <c r="J34" s="81"/>
      <c r="K34" s="81"/>
      <c r="L34" s="81"/>
      <c r="M34" s="81"/>
      <c r="N34" s="81"/>
      <c r="O34" s="81"/>
    </row>
    <row r="35" spans="1:15" ht="15.6" x14ac:dyDescent="0.3">
      <c r="A35" s="169"/>
      <c r="B35" s="169"/>
      <c r="C35" s="173"/>
      <c r="D35" s="169"/>
      <c r="E35" s="169"/>
      <c r="F35" s="169"/>
      <c r="G35" s="169"/>
      <c r="J35" s="81"/>
      <c r="K35" s="81"/>
      <c r="L35" s="81"/>
      <c r="M35" s="81"/>
      <c r="N35" s="81"/>
      <c r="O35" s="81"/>
    </row>
    <row r="36" spans="1:15" ht="15.6" x14ac:dyDescent="0.3">
      <c r="A36" s="169" t="s">
        <v>247</v>
      </c>
      <c r="B36" s="174" t="s">
        <v>224</v>
      </c>
      <c r="C36" s="175">
        <v>7.95</v>
      </c>
      <c r="D36" s="169" t="s">
        <v>248</v>
      </c>
      <c r="E36" s="173"/>
      <c r="F36" s="169"/>
      <c r="G36" s="169"/>
      <c r="H36" s="83"/>
      <c r="I36" s="83"/>
      <c r="J36" s="81"/>
      <c r="K36" s="81"/>
      <c r="L36" s="81"/>
      <c r="M36" s="81"/>
      <c r="N36" s="81"/>
      <c r="O36" s="81"/>
    </row>
    <row r="37" spans="1:15" ht="15.6" x14ac:dyDescent="0.3">
      <c r="A37" s="169" t="s">
        <v>249</v>
      </c>
      <c r="B37" s="174" t="s">
        <v>224</v>
      </c>
      <c r="C37" s="102">
        <v>3</v>
      </c>
      <c r="D37" s="169" t="s">
        <v>250</v>
      </c>
      <c r="E37" s="75"/>
      <c r="F37" s="75"/>
      <c r="G37" s="72"/>
      <c r="H37" s="81"/>
      <c r="I37" s="223"/>
      <c r="J37" s="81"/>
      <c r="K37" s="81"/>
      <c r="L37" s="81"/>
      <c r="M37" s="81"/>
      <c r="N37" s="81"/>
      <c r="O37" s="81"/>
    </row>
    <row r="38" spans="1:15" ht="15.6" x14ac:dyDescent="0.3">
      <c r="A38" s="72" t="s">
        <v>251</v>
      </c>
      <c r="B38" s="174" t="s">
        <v>224</v>
      </c>
      <c r="C38" s="177">
        <f>F32*(((C36/100)*((1+(C36/100))^C37))/(((1+(C36/100))^C37)-1))</f>
        <v>115981.20551637205</v>
      </c>
      <c r="D38" s="72"/>
      <c r="E38" s="75"/>
      <c r="F38" s="75"/>
      <c r="G38" s="176"/>
      <c r="H38" s="135"/>
      <c r="I38" s="84"/>
      <c r="J38" s="81"/>
      <c r="K38" s="81"/>
      <c r="L38" s="81"/>
      <c r="M38" s="81"/>
      <c r="N38" s="81"/>
      <c r="O38" s="81"/>
    </row>
    <row r="39" spans="1:15" ht="15.6" x14ac:dyDescent="0.3">
      <c r="A39" s="72"/>
      <c r="B39" s="72"/>
      <c r="E39" s="75"/>
      <c r="F39" s="75"/>
      <c r="G39" s="169"/>
      <c r="H39" s="83"/>
      <c r="I39" s="83"/>
      <c r="J39" s="81"/>
      <c r="K39" s="81"/>
      <c r="L39" s="81"/>
      <c r="M39" s="81"/>
      <c r="N39" s="81"/>
      <c r="O39" s="81"/>
    </row>
    <row r="40" spans="1:15" ht="15.6" x14ac:dyDescent="0.3">
      <c r="A40" s="458" t="s">
        <v>252</v>
      </c>
      <c r="B40" s="458"/>
      <c r="C40" s="458"/>
      <c r="D40" s="458"/>
      <c r="E40" s="458"/>
      <c r="F40" s="458"/>
      <c r="G40" s="458"/>
      <c r="H40" s="83"/>
      <c r="I40" s="83"/>
      <c r="J40" s="81"/>
      <c r="K40" s="81"/>
      <c r="L40" s="81"/>
      <c r="M40" s="81"/>
      <c r="N40" s="81"/>
      <c r="O40" s="81"/>
    </row>
    <row r="41" spans="1:15" ht="15.6" x14ac:dyDescent="0.3">
      <c r="A41" s="459" t="s">
        <v>253</v>
      </c>
      <c r="B41" s="460"/>
      <c r="C41" s="291" t="s">
        <v>254</v>
      </c>
      <c r="D41" s="292" t="s">
        <v>255</v>
      </c>
      <c r="E41" s="292" t="s">
        <v>256</v>
      </c>
      <c r="F41" s="293" t="s">
        <v>251</v>
      </c>
      <c r="G41" s="294" t="s">
        <v>257</v>
      </c>
      <c r="H41" s="83"/>
      <c r="I41" s="83"/>
      <c r="J41" s="81"/>
      <c r="K41" s="81"/>
      <c r="L41" s="81"/>
      <c r="M41" s="81"/>
      <c r="N41" s="81"/>
      <c r="O41" s="81"/>
    </row>
    <row r="42" spans="1:15" ht="15.6" x14ac:dyDescent="0.3">
      <c r="A42" s="461">
        <v>0</v>
      </c>
      <c r="B42" s="462"/>
      <c r="C42" s="180">
        <f>F32</f>
        <v>299164.6825</v>
      </c>
      <c r="D42" s="180">
        <v>0</v>
      </c>
      <c r="E42" s="180">
        <v>0</v>
      </c>
      <c r="F42" s="181">
        <v>0</v>
      </c>
      <c r="G42" s="206">
        <f>C42-D42</f>
        <v>299164.6825</v>
      </c>
      <c r="I42" s="83"/>
      <c r="J42" s="81"/>
      <c r="K42" s="81"/>
      <c r="L42" s="81"/>
      <c r="M42" s="81"/>
      <c r="N42" s="81"/>
      <c r="O42" s="81"/>
    </row>
    <row r="43" spans="1:15" ht="15.6" x14ac:dyDescent="0.3">
      <c r="A43" s="463">
        <v>1</v>
      </c>
      <c r="B43" s="464"/>
      <c r="C43" s="178">
        <f>G42</f>
        <v>299164.6825</v>
      </c>
      <c r="D43" s="178">
        <f>F43-E43</f>
        <v>92197.613257622055</v>
      </c>
      <c r="E43" s="178">
        <f>C43*$C$36/100</f>
        <v>23783.592258749999</v>
      </c>
      <c r="F43" s="179">
        <f>$C$38</f>
        <v>115981.20551637205</v>
      </c>
      <c r="G43" s="207">
        <f>C43-D43</f>
        <v>206967.06924237794</v>
      </c>
      <c r="I43" s="83"/>
      <c r="J43" s="81"/>
      <c r="K43" s="81"/>
      <c r="L43" s="81"/>
      <c r="M43" s="81"/>
      <c r="N43" s="81"/>
      <c r="O43" s="81"/>
    </row>
    <row r="44" spans="1:15" ht="15.6" x14ac:dyDescent="0.3">
      <c r="A44" s="463">
        <v>2</v>
      </c>
      <c r="B44" s="464"/>
      <c r="C44" s="178">
        <f t="shared" ref="C44:C45" si="0">G43</f>
        <v>206967.06924237794</v>
      </c>
      <c r="D44" s="178">
        <f t="shared" ref="D44:D45" si="1">F44-E44</f>
        <v>99527.323511602997</v>
      </c>
      <c r="E44" s="178">
        <f t="shared" ref="E44:E45" si="2">C44*$C$36/100</f>
        <v>16453.882004769046</v>
      </c>
      <c r="F44" s="179">
        <f t="shared" ref="F44:F45" si="3">$C$38</f>
        <v>115981.20551637205</v>
      </c>
      <c r="G44" s="205">
        <f>C44-D44</f>
        <v>107439.74573077494</v>
      </c>
      <c r="I44" s="83"/>
      <c r="J44" s="81"/>
      <c r="K44" s="81"/>
      <c r="L44" s="81"/>
      <c r="M44" s="81"/>
      <c r="N44" s="81"/>
      <c r="O44" s="81"/>
    </row>
    <row r="45" spans="1:15" ht="15.6" x14ac:dyDescent="0.3">
      <c r="A45" s="471">
        <v>3</v>
      </c>
      <c r="B45" s="472"/>
      <c r="C45" s="288">
        <f t="shared" si="0"/>
        <v>107439.74573077494</v>
      </c>
      <c r="D45" s="288">
        <f t="shared" si="1"/>
        <v>107439.74573077544</v>
      </c>
      <c r="E45" s="288">
        <f t="shared" si="2"/>
        <v>8541.4597855966076</v>
      </c>
      <c r="F45" s="289">
        <f t="shared" si="3"/>
        <v>115981.20551637205</v>
      </c>
      <c r="G45" s="290">
        <f>C45-D45</f>
        <v>-4.9476511776447296E-10</v>
      </c>
      <c r="H45" s="81"/>
      <c r="I45" s="81"/>
      <c r="J45" s="81"/>
      <c r="K45" s="81"/>
      <c r="L45" s="81"/>
      <c r="M45" s="81"/>
      <c r="N45" s="81"/>
      <c r="O45" s="81"/>
    </row>
    <row r="47" spans="1:15" ht="15.6" x14ac:dyDescent="0.3">
      <c r="A47" s="285" t="s">
        <v>255</v>
      </c>
      <c r="B47" s="468" t="s">
        <v>258</v>
      </c>
      <c r="C47" s="469"/>
      <c r="D47" s="470"/>
    </row>
    <row r="48" spans="1:15" ht="15.6" x14ac:dyDescent="0.3">
      <c r="A48" s="286" t="s">
        <v>259</v>
      </c>
      <c r="B48" s="465" t="s">
        <v>260</v>
      </c>
      <c r="C48" s="466"/>
      <c r="D48" s="467"/>
    </row>
    <row r="49" spans="1:4" ht="15.6" x14ac:dyDescent="0.3">
      <c r="A49" s="287" t="s">
        <v>257</v>
      </c>
      <c r="B49" s="465" t="s">
        <v>261</v>
      </c>
      <c r="C49" s="466"/>
      <c r="D49" s="467"/>
    </row>
  </sheetData>
  <mergeCells count="22">
    <mergeCell ref="A44:B44"/>
    <mergeCell ref="B49:D49"/>
    <mergeCell ref="B47:D47"/>
    <mergeCell ref="B48:D48"/>
    <mergeCell ref="A45:B45"/>
    <mergeCell ref="A33:C33"/>
    <mergeCell ref="A40:G40"/>
    <mergeCell ref="A41:B41"/>
    <mergeCell ref="A42:B42"/>
    <mergeCell ref="A43:B43"/>
    <mergeCell ref="A29:C29"/>
    <mergeCell ref="A18:B18"/>
    <mergeCell ref="A19:B19"/>
    <mergeCell ref="A20:B20"/>
    <mergeCell ref="B3:B4"/>
    <mergeCell ref="A3:A4"/>
    <mergeCell ref="A16:B16"/>
    <mergeCell ref="A14:B14"/>
    <mergeCell ref="A13:B13"/>
    <mergeCell ref="A12:C12"/>
    <mergeCell ref="A15:B15"/>
    <mergeCell ref="A17:B1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91BD-EE35-4E10-97F2-8218FFFE4827}">
  <dimension ref="A1:G29"/>
  <sheetViews>
    <sheetView tabSelected="1" workbookViewId="0">
      <selection activeCell="I10" sqref="I10"/>
    </sheetView>
  </sheetViews>
  <sheetFormatPr baseColWidth="10" defaultColWidth="11.44140625" defaultRowHeight="14.4" x14ac:dyDescent="0.3"/>
  <cols>
    <col min="1" max="1" width="25.109375" bestFit="1" customWidth="1"/>
    <col min="2" max="7" width="14.5546875" bestFit="1" customWidth="1"/>
  </cols>
  <sheetData>
    <row r="1" spans="1:7" ht="15.6" x14ac:dyDescent="0.3">
      <c r="A1" s="473" t="s">
        <v>262</v>
      </c>
      <c r="B1" s="473"/>
      <c r="C1" s="473"/>
      <c r="D1" s="473"/>
      <c r="E1" s="473"/>
      <c r="F1" s="473"/>
      <c r="G1" s="473"/>
    </row>
    <row r="2" spans="1:7" ht="15.6" x14ac:dyDescent="0.3">
      <c r="A2" s="215"/>
      <c r="B2" s="302" t="s">
        <v>263</v>
      </c>
      <c r="C2" s="302" t="s">
        <v>87</v>
      </c>
      <c r="D2" s="302" t="s">
        <v>88</v>
      </c>
      <c r="E2" s="302" t="s">
        <v>89</v>
      </c>
      <c r="F2" s="302" t="s">
        <v>90</v>
      </c>
      <c r="G2" s="302" t="s">
        <v>91</v>
      </c>
    </row>
    <row r="3" spans="1:7" ht="15.6" x14ac:dyDescent="0.3">
      <c r="A3" s="183" t="s">
        <v>264</v>
      </c>
      <c r="B3" s="103">
        <v>0</v>
      </c>
      <c r="C3" s="104">
        <f>INGRESOS!C11</f>
        <v>4212000</v>
      </c>
      <c r="D3" s="104">
        <f>INGRESOS!D11</f>
        <v>4553841.5999999996</v>
      </c>
      <c r="E3" s="104">
        <f>INGRESOS!E11</f>
        <v>4938840</v>
      </c>
      <c r="F3" s="104">
        <f>INGRESOS!F11</f>
        <v>5351443.2</v>
      </c>
      <c r="G3" s="104">
        <f>INGRESOS!G11</f>
        <v>5792947.2000000002</v>
      </c>
    </row>
    <row r="4" spans="1:7" ht="15.6" x14ac:dyDescent="0.3">
      <c r="A4" s="184" t="s">
        <v>232</v>
      </c>
      <c r="B4" s="105">
        <v>0</v>
      </c>
      <c r="C4" s="106">
        <f>-'COSTOS OPERATIVOS'!B8</f>
        <v>-347624</v>
      </c>
      <c r="D4" s="106">
        <f>-'COSTOS OPERATIVOS'!C8</f>
        <v>-347624</v>
      </c>
      <c r="E4" s="106">
        <f>-'COSTOS OPERATIVOS'!D8</f>
        <v>-347624</v>
      </c>
      <c r="F4" s="106">
        <f>-'COSTOS OPERATIVOS'!E8</f>
        <v>-347624</v>
      </c>
      <c r="G4" s="106">
        <f>-'COSTOS OPERATIVOS'!F8</f>
        <v>-347624</v>
      </c>
    </row>
    <row r="5" spans="1:7" ht="15.6" x14ac:dyDescent="0.3">
      <c r="A5" s="295" t="s">
        <v>233</v>
      </c>
      <c r="B5" s="296">
        <f>SUM(B3:B4)</f>
        <v>0</v>
      </c>
      <c r="C5" s="296">
        <f t="shared" ref="C5:G5" si="0">SUM(C3:C4)</f>
        <v>3864376</v>
      </c>
      <c r="D5" s="296">
        <f t="shared" si="0"/>
        <v>4206217.5999999996</v>
      </c>
      <c r="E5" s="296">
        <f t="shared" si="0"/>
        <v>4591216</v>
      </c>
      <c r="F5" s="296">
        <f t="shared" si="0"/>
        <v>5003819.2</v>
      </c>
      <c r="G5" s="296">
        <f t="shared" si="0"/>
        <v>5445323.2000000002</v>
      </c>
    </row>
    <row r="6" spans="1:7" ht="15.6" x14ac:dyDescent="0.3">
      <c r="A6" s="183" t="s">
        <v>234</v>
      </c>
      <c r="B6" s="103">
        <v>0</v>
      </c>
      <c r="C6" s="107">
        <f>-'COSTOS OPERATIVOS'!B9</f>
        <v>-302248.09999999998</v>
      </c>
      <c r="D6" s="107">
        <f>-'COSTOS OPERATIVOS'!C9</f>
        <v>-302248.09999999998</v>
      </c>
      <c r="E6" s="107">
        <f>-'COSTOS OPERATIVOS'!D9</f>
        <v>-302248.09999999998</v>
      </c>
      <c r="F6" s="107">
        <f>-'COSTOS OPERATIVOS'!E9</f>
        <v>-302248.09999999998</v>
      </c>
      <c r="G6" s="107">
        <f>-'COSTOS OPERATIVOS'!F9</f>
        <v>-302248.09999999998</v>
      </c>
    </row>
    <row r="7" spans="1:7" ht="15.6" x14ac:dyDescent="0.3">
      <c r="A7" s="183" t="s">
        <v>235</v>
      </c>
      <c r="B7" s="103">
        <v>0</v>
      </c>
      <c r="C7" s="107">
        <f>-(SUM('COSTOS OPERATIVOS'!B10:B11))</f>
        <v>-2194824</v>
      </c>
      <c r="D7" s="107">
        <f>-(SUM('COSTOS OPERATIVOS'!C10:C11))</f>
        <v>-2224883.6831999999</v>
      </c>
      <c r="E7" s="107">
        <f>-(SUM('COSTOS OPERATIVOS'!D10:D11))</f>
        <v>-2256757.6800000002</v>
      </c>
      <c r="F7" s="107">
        <f>-(SUM('COSTOS OPERATIVOS'!E10:E11))</f>
        <v>-2290414.8864000002</v>
      </c>
      <c r="G7" s="107">
        <f>-(SUM('COSTOS OPERATIVOS'!F10:F11))</f>
        <v>-2325857.8944000001</v>
      </c>
    </row>
    <row r="8" spans="1:7" ht="15.6" x14ac:dyDescent="0.3">
      <c r="A8" s="185" t="s">
        <v>236</v>
      </c>
      <c r="B8" s="103">
        <v>0</v>
      </c>
      <c r="C8" s="107">
        <f>-DEPRECIACION!B57</f>
        <v>-230961.33333333334</v>
      </c>
      <c r="D8" s="107">
        <f>-DEPRECIACION!C57</f>
        <v>-230961.33333333334</v>
      </c>
      <c r="E8" s="107">
        <f>-DEPRECIACION!D57</f>
        <v>-180961.33333333334</v>
      </c>
      <c r="F8" s="107">
        <f>-DEPRECIACION!E57</f>
        <v>-17628</v>
      </c>
      <c r="G8" s="107">
        <f>-DEPRECIACION!F57</f>
        <v>-17628</v>
      </c>
    </row>
    <row r="9" spans="1:7" ht="15.6" x14ac:dyDescent="0.3">
      <c r="A9" s="186" t="s">
        <v>265</v>
      </c>
      <c r="B9" s="103">
        <v>0</v>
      </c>
      <c r="C9" s="106">
        <f>-AMORTIZACION!B16</f>
        <v>-82567.600000000006</v>
      </c>
      <c r="D9" s="106">
        <f>-AMORTIZACION!C16</f>
        <v>0</v>
      </c>
      <c r="E9" s="106">
        <f>-AMORTIZACION!D16</f>
        <v>0</v>
      </c>
      <c r="F9" s="106">
        <f>-AMORTIZACION!E16</f>
        <v>0</v>
      </c>
      <c r="G9" s="106">
        <f>-AMORTIZACION!F16</f>
        <v>0</v>
      </c>
    </row>
    <row r="10" spans="1:7" ht="15.6" x14ac:dyDescent="0.3">
      <c r="A10" s="295" t="s">
        <v>231</v>
      </c>
      <c r="B10" s="297">
        <v>0</v>
      </c>
      <c r="C10" s="298">
        <f>SUM(C5:C9)</f>
        <v>1053774.9666666666</v>
      </c>
      <c r="D10" s="298">
        <f t="shared" ref="D10:G10" si="1">SUM(D5:D9)</f>
        <v>1448124.4834666664</v>
      </c>
      <c r="E10" s="298">
        <f t="shared" si="1"/>
        <v>1851248.8866666669</v>
      </c>
      <c r="F10" s="298">
        <f t="shared" si="1"/>
        <v>2393528.2136000004</v>
      </c>
      <c r="G10" s="298">
        <f t="shared" si="1"/>
        <v>2799589.2056000005</v>
      </c>
    </row>
    <row r="11" spans="1:7" ht="15.6" x14ac:dyDescent="0.3">
      <c r="A11" s="187" t="s">
        <v>266</v>
      </c>
      <c r="B11" s="103">
        <v>0</v>
      </c>
      <c r="C11" s="106">
        <f>-(ROUND(C10*0.295,2))</f>
        <v>-310863.62</v>
      </c>
      <c r="D11" s="106">
        <f t="shared" ref="D11:F11" si="2">-(ROUND(D10*0.295,2))</f>
        <v>-427196.72</v>
      </c>
      <c r="E11" s="106">
        <f t="shared" si="2"/>
        <v>-546118.42000000004</v>
      </c>
      <c r="F11" s="106">
        <f t="shared" si="2"/>
        <v>-706090.82</v>
      </c>
      <c r="G11" s="106">
        <f>-(ROUND(G10*0.295,2))</f>
        <v>-825878.82</v>
      </c>
    </row>
    <row r="12" spans="1:7" ht="15.6" x14ac:dyDescent="0.3">
      <c r="A12" s="295" t="s">
        <v>221</v>
      </c>
      <c r="B12" s="297">
        <v>0</v>
      </c>
      <c r="C12" s="298">
        <f>SUM(C10:C11)</f>
        <v>742911.34666666656</v>
      </c>
      <c r="D12" s="298">
        <f t="shared" ref="D12:G12" si="3">SUM(D10:D11)</f>
        <v>1020927.7634666665</v>
      </c>
      <c r="E12" s="298">
        <f t="shared" si="3"/>
        <v>1305130.4666666668</v>
      </c>
      <c r="F12" s="298">
        <f t="shared" si="3"/>
        <v>1687437.3936000005</v>
      </c>
      <c r="G12" s="298">
        <f t="shared" si="3"/>
        <v>1973710.3856000006</v>
      </c>
    </row>
    <row r="13" spans="1:7" ht="15.6" x14ac:dyDescent="0.3">
      <c r="A13" s="185" t="s">
        <v>239</v>
      </c>
      <c r="B13" s="103">
        <v>0</v>
      </c>
      <c r="C13" s="104">
        <f>-C8</f>
        <v>230961.33333333334</v>
      </c>
      <c r="D13" s="104">
        <f t="shared" ref="D13:G13" si="4">-D8</f>
        <v>230961.33333333334</v>
      </c>
      <c r="E13" s="104">
        <f t="shared" si="4"/>
        <v>180961.33333333334</v>
      </c>
      <c r="F13" s="104">
        <f t="shared" si="4"/>
        <v>17628</v>
      </c>
      <c r="G13" s="104">
        <f t="shared" si="4"/>
        <v>17628</v>
      </c>
    </row>
    <row r="14" spans="1:7" ht="15.6" x14ac:dyDescent="0.3">
      <c r="A14" s="186" t="s">
        <v>240</v>
      </c>
      <c r="B14" s="103">
        <v>0</v>
      </c>
      <c r="C14" s="108">
        <f>-C9</f>
        <v>82567.600000000006</v>
      </c>
      <c r="D14" s="108">
        <f t="shared" ref="D14:G14" si="5">-D9</f>
        <v>0</v>
      </c>
      <c r="E14" s="108">
        <f t="shared" si="5"/>
        <v>0</v>
      </c>
      <c r="F14" s="108">
        <f t="shared" si="5"/>
        <v>0</v>
      </c>
      <c r="G14" s="108">
        <f t="shared" si="5"/>
        <v>0</v>
      </c>
    </row>
    <row r="15" spans="1:7" ht="15.6" x14ac:dyDescent="0.3">
      <c r="A15" s="295" t="s">
        <v>267</v>
      </c>
      <c r="B15" s="299">
        <v>0</v>
      </c>
      <c r="C15" s="298">
        <f>SUM(C12:C14)</f>
        <v>1056440.28</v>
      </c>
      <c r="D15" s="298">
        <f t="shared" ref="D15:G15" si="6">SUM(D12:D14)</f>
        <v>1251889.0967999997</v>
      </c>
      <c r="E15" s="298">
        <f t="shared" si="6"/>
        <v>1486091.8</v>
      </c>
      <c r="F15" s="298">
        <f t="shared" si="6"/>
        <v>1705065.3936000005</v>
      </c>
      <c r="G15" s="298">
        <f t="shared" si="6"/>
        <v>1991338.3856000006</v>
      </c>
    </row>
    <row r="16" spans="1:7" ht="15.6" x14ac:dyDescent="0.3">
      <c r="A16" s="183" t="s">
        <v>268</v>
      </c>
      <c r="B16" s="107">
        <f>-'ACTIVOS TANGIBLES'!E56</f>
        <v>-677590</v>
      </c>
      <c r="C16" s="109">
        <v>0</v>
      </c>
      <c r="D16" s="109">
        <v>0</v>
      </c>
      <c r="E16" s="109">
        <v>0</v>
      </c>
      <c r="F16" s="109">
        <v>0</v>
      </c>
      <c r="G16" s="109">
        <v>0</v>
      </c>
    </row>
    <row r="17" spans="1:7" ht="15.6" x14ac:dyDescent="0.3">
      <c r="A17" s="183" t="s">
        <v>269</v>
      </c>
      <c r="B17" s="107" cm="1">
        <f t="array" ref="B17">-'ACTIVOS INTANGIBLES'!B11:B11</f>
        <v>-82567.600000000006</v>
      </c>
      <c r="C17" s="109">
        <v>0</v>
      </c>
      <c r="D17" s="109">
        <v>0</v>
      </c>
      <c r="E17" s="109">
        <v>0</v>
      </c>
      <c r="F17" s="109">
        <v>0</v>
      </c>
      <c r="G17" s="109">
        <v>0</v>
      </c>
    </row>
    <row r="18" spans="1:7" ht="15.6" x14ac:dyDescent="0.3">
      <c r="A18" s="183" t="s">
        <v>270</v>
      </c>
      <c r="B18" s="107">
        <f>-'INVERSION INICIAL'!L4</f>
        <v>-237058.00833333333</v>
      </c>
      <c r="C18" s="107">
        <f>-'INVERSION INICIAL'!M4</f>
        <v>-2504.9735999999975</v>
      </c>
      <c r="D18" s="107">
        <f>-'INVERSION INICIAL'!N4</f>
        <v>-2656.1664000000164</v>
      </c>
      <c r="E18" s="107">
        <f>-'INVERSION INICIAL'!O4</f>
        <v>-2804.7671999999729</v>
      </c>
      <c r="F18" s="107">
        <f>-'INVERSION INICIAL'!P4</f>
        <v>-2953.5840000000317</v>
      </c>
      <c r="G18" s="109">
        <v>0</v>
      </c>
    </row>
    <row r="19" spans="1:7" ht="15.6" x14ac:dyDescent="0.3">
      <c r="A19" s="183" t="s">
        <v>271</v>
      </c>
      <c r="B19" s="107">
        <v>0</v>
      </c>
      <c r="C19" s="109">
        <v>0</v>
      </c>
      <c r="D19" s="109">
        <v>0</v>
      </c>
      <c r="E19" s="109">
        <v>0</v>
      </c>
      <c r="F19" s="109">
        <v>0</v>
      </c>
      <c r="G19" s="109">
        <f>'INVERSION INICIAL'!L6</f>
        <v>247977.49953333335</v>
      </c>
    </row>
    <row r="20" spans="1:7" ht="15.6" x14ac:dyDescent="0.3">
      <c r="A20" s="186" t="s">
        <v>216</v>
      </c>
      <c r="B20" s="105">
        <v>0</v>
      </c>
      <c r="C20" s="105">
        <v>0</v>
      </c>
      <c r="D20" s="105">
        <v>0</v>
      </c>
      <c r="E20" s="105">
        <v>0</v>
      </c>
      <c r="F20" s="105">
        <v>0</v>
      </c>
      <c r="G20" s="108">
        <f>'VALOR RESIDUAL'!C67</f>
        <v>327606.45</v>
      </c>
    </row>
    <row r="21" spans="1:7" ht="15.6" x14ac:dyDescent="0.3">
      <c r="A21" s="295" t="s">
        <v>272</v>
      </c>
      <c r="B21" s="300">
        <f>SUM(B15:B20)</f>
        <v>-997215.60833333328</v>
      </c>
      <c r="C21" s="301">
        <f>SUM(C16:C20)</f>
        <v>-2504.9735999999975</v>
      </c>
      <c r="D21" s="301">
        <f t="shared" ref="D21:G21" si="7">SUM(D16:D20)</f>
        <v>-2656.1664000000164</v>
      </c>
      <c r="E21" s="301">
        <f t="shared" si="7"/>
        <v>-2804.7671999999729</v>
      </c>
      <c r="F21" s="301">
        <f t="shared" si="7"/>
        <v>-2953.5840000000317</v>
      </c>
      <c r="G21" s="301">
        <f t="shared" si="7"/>
        <v>575583.9495333333</v>
      </c>
    </row>
    <row r="22" spans="1:7" ht="15.6" x14ac:dyDescent="0.3">
      <c r="A22" s="187" t="s">
        <v>273</v>
      </c>
      <c r="B22" s="110">
        <v>0</v>
      </c>
      <c r="C22" s="110">
        <v>0</v>
      </c>
      <c r="D22" s="110">
        <v>0</v>
      </c>
      <c r="E22" s="110">
        <v>0</v>
      </c>
      <c r="F22" s="110">
        <v>0</v>
      </c>
      <c r="G22" s="110">
        <v>0</v>
      </c>
    </row>
    <row r="23" spans="1:7" ht="15.6" x14ac:dyDescent="0.3">
      <c r="A23" s="295" t="s">
        <v>274</v>
      </c>
      <c r="B23" s="300">
        <f>(B21+B15)</f>
        <v>-997215.60833333328</v>
      </c>
      <c r="C23" s="301">
        <f>C21+C15</f>
        <v>1053935.3064000001</v>
      </c>
      <c r="D23" s="301">
        <f>D21+D15</f>
        <v>1249232.9303999997</v>
      </c>
      <c r="E23" s="301">
        <f>E21+E15</f>
        <v>1483287.0328000002</v>
      </c>
      <c r="F23" s="301">
        <f>F21+F15</f>
        <v>1702111.8096000005</v>
      </c>
      <c r="G23" s="301">
        <f>G21+G15</f>
        <v>2566922.3351333337</v>
      </c>
    </row>
    <row r="24" spans="1:7" ht="15.6" x14ac:dyDescent="0.3">
      <c r="A24" s="185" t="s">
        <v>275</v>
      </c>
      <c r="B24" s="104">
        <f>'SERVICIO A LA DEUDA'!F32</f>
        <v>299164.6825</v>
      </c>
      <c r="C24" s="103">
        <v>0</v>
      </c>
      <c r="D24" s="103">
        <v>0</v>
      </c>
      <c r="E24" s="103">
        <v>0</v>
      </c>
      <c r="F24" s="103">
        <v>0</v>
      </c>
      <c r="G24" s="103">
        <v>0</v>
      </c>
    </row>
    <row r="25" spans="1:7" ht="15.6" x14ac:dyDescent="0.3">
      <c r="A25" s="183" t="s">
        <v>276</v>
      </c>
      <c r="B25" s="103">
        <v>0</v>
      </c>
      <c r="C25" s="107">
        <f>-'SERVICIO A LA DEUDA'!D43</f>
        <v>-92197.613257622055</v>
      </c>
      <c r="D25" s="107">
        <f>-'SERVICIO A LA DEUDA'!D44</f>
        <v>-99527.323511602997</v>
      </c>
      <c r="E25" s="107">
        <f>-'SERVICIO A LA DEUDA'!D45</f>
        <v>-107439.74573077544</v>
      </c>
      <c r="F25" s="182">
        <v>0</v>
      </c>
      <c r="G25" s="103">
        <v>0</v>
      </c>
    </row>
    <row r="26" spans="1:7" ht="15.6" x14ac:dyDescent="0.3">
      <c r="A26" s="183" t="s">
        <v>277</v>
      </c>
      <c r="B26" s="103">
        <v>0</v>
      </c>
      <c r="C26" s="107">
        <f>-'SERVICIO A LA DEUDA'!E43</f>
        <v>-23783.592258749999</v>
      </c>
      <c r="D26" s="107">
        <f>-'SERVICIO A LA DEUDA'!E44</f>
        <v>-16453.882004769046</v>
      </c>
      <c r="E26" s="107">
        <f>-'SERVICIO A LA DEUDA'!E45</f>
        <v>-8541.4597855966076</v>
      </c>
      <c r="F26" s="182">
        <v>0</v>
      </c>
      <c r="G26" s="103">
        <v>0</v>
      </c>
    </row>
    <row r="27" spans="1:7" ht="15.6" x14ac:dyDescent="0.3">
      <c r="A27" s="186" t="s">
        <v>278</v>
      </c>
      <c r="B27" s="105">
        <f>B26*0.295</f>
        <v>0</v>
      </c>
      <c r="C27" s="105">
        <f>(C26*0.295)*-1</f>
        <v>7016.159716331249</v>
      </c>
      <c r="D27" s="105">
        <f>(D26*0.295)*-1</f>
        <v>4853.8951914068684</v>
      </c>
      <c r="E27" s="105">
        <f>(E26*0.295)*-1</f>
        <v>2519.7306367509991</v>
      </c>
      <c r="F27" s="105">
        <f t="shared" ref="F27:G27" si="8">F26*0.295</f>
        <v>0</v>
      </c>
      <c r="G27" s="105">
        <f t="shared" si="8"/>
        <v>0</v>
      </c>
    </row>
    <row r="28" spans="1:7" ht="15.6" x14ac:dyDescent="0.3">
      <c r="A28" s="188" t="s">
        <v>279</v>
      </c>
      <c r="B28" s="111">
        <f>SUM(B24:B27)</f>
        <v>299164.6825</v>
      </c>
      <c r="C28" s="111">
        <f>SUM(C24:C27)</f>
        <v>-108965.0458000408</v>
      </c>
      <c r="D28" s="111">
        <f>SUM(D24:D27)</f>
        <v>-111127.31032496518</v>
      </c>
      <c r="E28" s="111">
        <f t="shared" ref="E28:G28" si="9">SUM(E24:E27)</f>
        <v>-113461.47487962105</v>
      </c>
      <c r="F28" s="111">
        <f t="shared" si="9"/>
        <v>0</v>
      </c>
      <c r="G28" s="111">
        <f t="shared" si="9"/>
        <v>0</v>
      </c>
    </row>
    <row r="29" spans="1:7" ht="15.6" x14ac:dyDescent="0.3">
      <c r="A29" s="295" t="s">
        <v>280</v>
      </c>
      <c r="B29" s="300">
        <f>B23+B28</f>
        <v>-698050.92583333328</v>
      </c>
      <c r="C29" s="301">
        <f>C23+C28</f>
        <v>944970.26059995929</v>
      </c>
      <c r="D29" s="301">
        <f t="shared" ref="D29:F29" si="10">D23+D28</f>
        <v>1138105.6200750344</v>
      </c>
      <c r="E29" s="301">
        <f t="shared" si="10"/>
        <v>1369825.5579203791</v>
      </c>
      <c r="F29" s="301">
        <f t="shared" si="10"/>
        <v>1702111.8096000005</v>
      </c>
      <c r="G29" s="301">
        <f>G23+G28</f>
        <v>2566922.3351333337</v>
      </c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353E-54E7-492A-89B8-13914F1216B3}">
  <dimension ref="A1:G34"/>
  <sheetViews>
    <sheetView topLeftCell="A13" workbookViewId="0">
      <selection activeCell="I20" sqref="I20"/>
    </sheetView>
  </sheetViews>
  <sheetFormatPr baseColWidth="10" defaultColWidth="11.44140625" defaultRowHeight="14.4" x14ac:dyDescent="0.3"/>
  <cols>
    <col min="1" max="1" width="57.6640625" bestFit="1" customWidth="1"/>
    <col min="2" max="5" width="14.5546875" bestFit="1" customWidth="1"/>
    <col min="6" max="7" width="15.6640625" bestFit="1" customWidth="1"/>
  </cols>
  <sheetData>
    <row r="1" spans="1:7" ht="15.6" x14ac:dyDescent="0.3">
      <c r="A1" s="474" t="s">
        <v>281</v>
      </c>
      <c r="B1" s="475"/>
      <c r="C1" s="475"/>
      <c r="D1" s="475"/>
      <c r="E1" s="475"/>
      <c r="F1" s="475"/>
      <c r="G1" s="476"/>
    </row>
    <row r="3" spans="1:7" ht="15.6" x14ac:dyDescent="0.3">
      <c r="A3" s="55"/>
      <c r="B3" s="305" t="s">
        <v>180</v>
      </c>
      <c r="C3" s="305" t="s">
        <v>116</v>
      </c>
      <c r="D3" s="305" t="s">
        <v>117</v>
      </c>
      <c r="E3" s="305" t="s">
        <v>118</v>
      </c>
      <c r="F3" s="305" t="s">
        <v>119</v>
      </c>
      <c r="G3" s="305" t="s">
        <v>120</v>
      </c>
    </row>
    <row r="4" spans="1:7" ht="15.6" x14ac:dyDescent="0.3">
      <c r="A4" s="303" t="s">
        <v>282</v>
      </c>
      <c r="B4" s="125">
        <f>'FLUJO DE CAJA INTEGRADO'!B29</f>
        <v>-698050.92583333328</v>
      </c>
      <c r="C4" s="125">
        <f>'FLUJO DE CAJA INTEGRADO'!C29</f>
        <v>944970.26059995929</v>
      </c>
      <c r="D4" s="125">
        <f>'FLUJO DE CAJA INTEGRADO'!D29</f>
        <v>1138105.6200750344</v>
      </c>
      <c r="E4" s="125">
        <f>'FLUJO DE CAJA INTEGRADO'!E29</f>
        <v>1369825.5579203791</v>
      </c>
      <c r="F4" s="125">
        <f>'FLUJO DE CAJA INTEGRADO'!F29</f>
        <v>1702111.8096000005</v>
      </c>
      <c r="G4" s="125">
        <f>'FLUJO DE CAJA INTEGRADO'!G29</f>
        <v>2566922.3351333337</v>
      </c>
    </row>
    <row r="5" spans="1:7" ht="15.6" x14ac:dyDescent="0.3">
      <c r="A5" s="304" t="s">
        <v>283</v>
      </c>
      <c r="B5" s="126">
        <f>B4</f>
        <v>-698050.92583333328</v>
      </c>
      <c r="C5" s="126">
        <f>B5+C4</f>
        <v>246919.33476662601</v>
      </c>
      <c r="D5" s="126">
        <f>C5+D4</f>
        <v>1385024.9548416603</v>
      </c>
      <c r="E5" s="126">
        <f t="shared" ref="E5:G5" si="0">D5+E4</f>
        <v>2754850.5127620394</v>
      </c>
      <c r="F5" s="126">
        <f t="shared" si="0"/>
        <v>4456962.3223620402</v>
      </c>
      <c r="G5" s="126">
        <f t="shared" si="0"/>
        <v>7023884.6574953739</v>
      </c>
    </row>
    <row r="6" spans="1:7" ht="15.6" x14ac:dyDescent="0.3">
      <c r="A6" s="44"/>
      <c r="B6" s="44"/>
      <c r="C6" s="44"/>
      <c r="D6" s="44"/>
      <c r="E6" s="44"/>
      <c r="F6" s="44"/>
      <c r="G6" s="44"/>
    </row>
    <row r="7" spans="1:7" ht="15.6" x14ac:dyDescent="0.3">
      <c r="A7" s="124" t="s">
        <v>284</v>
      </c>
      <c r="B7" s="222">
        <f>0+ABS(B5/C4)</f>
        <v>0.738701475525952</v>
      </c>
      <c r="C7" s="45" t="s">
        <v>285</v>
      </c>
      <c r="D7" s="44"/>
      <c r="E7" s="44"/>
      <c r="F7" s="44"/>
      <c r="G7" s="44"/>
    </row>
    <row r="9" spans="1:7" ht="15.6" x14ac:dyDescent="0.3">
      <c r="A9" s="306" t="s">
        <v>286</v>
      </c>
      <c r="B9" s="307">
        <f>'EVALUACION FINANCIERA'!B8</f>
        <v>0.36220000000000002</v>
      </c>
    </row>
    <row r="12" spans="1:7" ht="15.6" x14ac:dyDescent="0.3">
      <c r="A12" s="477" t="s">
        <v>287</v>
      </c>
      <c r="B12" s="478"/>
      <c r="C12" s="478"/>
      <c r="D12" s="478"/>
      <c r="E12" s="478"/>
      <c r="F12" s="478"/>
      <c r="G12" s="479"/>
    </row>
    <row r="13" spans="1:7" ht="15.6" x14ac:dyDescent="0.3">
      <c r="A13" s="55"/>
      <c r="B13" s="310" t="s">
        <v>180</v>
      </c>
      <c r="C13" s="310" t="s">
        <v>116</v>
      </c>
      <c r="D13" s="310" t="s">
        <v>117</v>
      </c>
      <c r="E13" s="310" t="s">
        <v>118</v>
      </c>
      <c r="F13" s="310" t="s">
        <v>119</v>
      </c>
      <c r="G13" s="310" t="s">
        <v>120</v>
      </c>
    </row>
    <row r="14" spans="1:7" ht="15.6" x14ac:dyDescent="0.3">
      <c r="A14" s="308" t="s">
        <v>282</v>
      </c>
      <c r="B14" s="125">
        <f>B4</f>
        <v>-698050.92583333328</v>
      </c>
      <c r="C14" s="125">
        <f>C4/((1+$B$9)^1)</f>
        <v>693708.89781233238</v>
      </c>
      <c r="D14" s="125">
        <f>D4/((1+$B$9)^2)</f>
        <v>613339.33226017584</v>
      </c>
      <c r="E14" s="125">
        <f>E4/((1+$B$9)^3)</f>
        <v>541929.30603050068</v>
      </c>
      <c r="F14" s="125">
        <f>F4/((1+$B$9)^4)</f>
        <v>494338.66587044689</v>
      </c>
      <c r="G14" s="125">
        <f>G4/((1+$B$9)^5)</f>
        <v>547278.45214415982</v>
      </c>
    </row>
    <row r="15" spans="1:7" ht="15.6" x14ac:dyDescent="0.3">
      <c r="A15" s="309" t="s">
        <v>283</v>
      </c>
      <c r="B15" s="126">
        <f>B14</f>
        <v>-698050.92583333328</v>
      </c>
      <c r="C15" s="126">
        <f>B15+C14</f>
        <v>-4342.0280210009078</v>
      </c>
      <c r="D15" s="126">
        <f>C15+D14</f>
        <v>608997.30423917493</v>
      </c>
      <c r="E15" s="126">
        <f t="shared" ref="E15" si="1">D15+E14</f>
        <v>1150926.6102696755</v>
      </c>
      <c r="F15" s="126">
        <f t="shared" ref="F15" si="2">E15+F14</f>
        <v>1645265.2761401224</v>
      </c>
      <c r="G15" s="126">
        <f t="shared" ref="G15" si="3">F15+G14</f>
        <v>2192543.7282842821</v>
      </c>
    </row>
    <row r="16" spans="1:7" x14ac:dyDescent="0.3">
      <c r="A16" s="311" t="s">
        <v>286</v>
      </c>
      <c r="B16" s="311">
        <v>0.36220000000000002</v>
      </c>
    </row>
    <row r="17" spans="1:7" ht="15.6" x14ac:dyDescent="0.3">
      <c r="A17" s="124" t="s">
        <v>284</v>
      </c>
      <c r="B17" s="222">
        <f>1+ABS(C15/D14)</f>
        <v>1.0070793242706291</v>
      </c>
      <c r="C17" s="45" t="s">
        <v>285</v>
      </c>
    </row>
    <row r="19" spans="1:7" ht="15.6" x14ac:dyDescent="0.3">
      <c r="A19" s="480" t="s">
        <v>288</v>
      </c>
      <c r="B19" s="481"/>
      <c r="C19" s="481"/>
      <c r="D19" s="481"/>
      <c r="E19" s="481"/>
      <c r="F19" s="481"/>
      <c r="G19" s="482"/>
    </row>
    <row r="21" spans="1:7" ht="15.6" x14ac:dyDescent="0.3">
      <c r="A21" s="55"/>
      <c r="B21" s="313" t="s">
        <v>180</v>
      </c>
      <c r="C21" s="313" t="s">
        <v>116</v>
      </c>
      <c r="D21" s="313" t="s">
        <v>117</v>
      </c>
      <c r="E21" s="313" t="s">
        <v>118</v>
      </c>
      <c r="F21" s="313" t="s">
        <v>119</v>
      </c>
      <c r="G21" s="313" t="s">
        <v>120</v>
      </c>
    </row>
    <row r="22" spans="1:7" ht="15.6" x14ac:dyDescent="0.3">
      <c r="A22" s="312" t="s">
        <v>289</v>
      </c>
      <c r="B22" s="125">
        <f>'FLUJO DE CAJA INTEGRADO'!B23</f>
        <v>-997215.60833333328</v>
      </c>
      <c r="C22" s="125">
        <f>'FLUJO DE CAJA INTEGRADO'!C23</f>
        <v>1053935.3064000001</v>
      </c>
      <c r="D22" s="125">
        <f>'FLUJO DE CAJA INTEGRADO'!D23</f>
        <v>1249232.9303999997</v>
      </c>
      <c r="E22" s="125">
        <f>'FLUJO DE CAJA INTEGRADO'!E23</f>
        <v>1483287.0328000002</v>
      </c>
      <c r="F22" s="125">
        <f>'FLUJO DE CAJA INTEGRADO'!F23</f>
        <v>1702111.8096000005</v>
      </c>
      <c r="G22" s="125">
        <f>'FLUJO DE CAJA INTEGRADO'!G23</f>
        <v>2566922.3351333337</v>
      </c>
    </row>
    <row r="23" spans="1:7" ht="15.6" x14ac:dyDescent="0.3">
      <c r="A23" s="229" t="s">
        <v>283</v>
      </c>
      <c r="B23" s="126">
        <f>B22</f>
        <v>-997215.60833333328</v>
      </c>
      <c r="C23" s="126">
        <f>C22+B23</f>
        <v>56719.698066666839</v>
      </c>
      <c r="D23" s="126">
        <f t="shared" ref="D23:G23" si="4">D22+C23</f>
        <v>1305952.6284666667</v>
      </c>
      <c r="E23" s="126">
        <f t="shared" si="4"/>
        <v>2789239.6612666668</v>
      </c>
      <c r="F23" s="126">
        <f t="shared" si="4"/>
        <v>4491351.4708666671</v>
      </c>
      <c r="G23" s="126">
        <f t="shared" si="4"/>
        <v>7058273.8060000008</v>
      </c>
    </row>
    <row r="25" spans="1:7" ht="15.6" x14ac:dyDescent="0.3">
      <c r="A25" s="124" t="s">
        <v>284</v>
      </c>
      <c r="B25" s="222">
        <f>0+ABS(B23/C22)</f>
        <v>0.94618294147445514</v>
      </c>
      <c r="C25" s="45" t="s">
        <v>285</v>
      </c>
    </row>
    <row r="27" spans="1:7" ht="15.6" x14ac:dyDescent="0.3">
      <c r="A27" s="56" t="s">
        <v>286</v>
      </c>
      <c r="B27" s="220">
        <f>'EVALUACION ECONOMICA'!F17</f>
        <v>0.48330000000000001</v>
      </c>
    </row>
    <row r="29" spans="1:7" ht="15.6" x14ac:dyDescent="0.3">
      <c r="A29" s="483" t="s">
        <v>290</v>
      </c>
      <c r="B29" s="484"/>
      <c r="C29" s="484"/>
      <c r="D29" s="484"/>
      <c r="E29" s="484"/>
      <c r="F29" s="484"/>
      <c r="G29" s="485"/>
    </row>
    <row r="30" spans="1:7" ht="15.6" x14ac:dyDescent="0.3">
      <c r="A30" s="55"/>
      <c r="B30" s="316" t="s">
        <v>180</v>
      </c>
      <c r="C30" s="316" t="s">
        <v>116</v>
      </c>
      <c r="D30" s="316" t="s">
        <v>117</v>
      </c>
      <c r="E30" s="316" t="s">
        <v>118</v>
      </c>
      <c r="F30" s="316" t="s">
        <v>119</v>
      </c>
      <c r="G30" s="316" t="s">
        <v>120</v>
      </c>
    </row>
    <row r="31" spans="1:7" ht="15.6" x14ac:dyDescent="0.3">
      <c r="A31" s="314" t="s">
        <v>289</v>
      </c>
      <c r="B31" s="125">
        <f>B22</f>
        <v>-997215.60833333328</v>
      </c>
      <c r="C31" s="125">
        <f>C22/((1+$B$27)^1)</f>
        <v>710534.15114946407</v>
      </c>
      <c r="D31" s="125">
        <f>D22/((1+$B$27)^2)</f>
        <v>567786.98135768389</v>
      </c>
      <c r="E31" s="125">
        <f>E22/((1+$B$27)^3)</f>
        <v>454504.52343489369</v>
      </c>
      <c r="F31" s="125">
        <f>F22/((1+$B$27)^4)</f>
        <v>351618.80858625728</v>
      </c>
      <c r="G31" s="125">
        <f>G22/((1+$B$27)^5)</f>
        <v>357493.1669649239</v>
      </c>
    </row>
    <row r="32" spans="1:7" ht="15.6" x14ac:dyDescent="0.3">
      <c r="A32" s="315" t="s">
        <v>291</v>
      </c>
      <c r="B32" s="125">
        <f>B23</f>
        <v>-997215.60833333328</v>
      </c>
      <c r="C32" s="126">
        <f>B32+C31</f>
        <v>-286681.45718386921</v>
      </c>
      <c r="D32" s="126">
        <f t="shared" ref="D32:G32" si="5">C32+D31</f>
        <v>281105.52417381469</v>
      </c>
      <c r="E32" s="126">
        <f t="shared" si="5"/>
        <v>735610.04760870838</v>
      </c>
      <c r="F32" s="126">
        <f t="shared" si="5"/>
        <v>1087228.8561949655</v>
      </c>
      <c r="G32" s="126">
        <f t="shared" si="5"/>
        <v>1444722.0231598895</v>
      </c>
    </row>
    <row r="33" spans="1:3" x14ac:dyDescent="0.3">
      <c r="A33" s="311" t="s">
        <v>286</v>
      </c>
      <c r="B33" s="311">
        <v>0.48330000000000001</v>
      </c>
    </row>
    <row r="34" spans="1:3" ht="15.6" x14ac:dyDescent="0.3">
      <c r="A34" s="124" t="s">
        <v>284</v>
      </c>
      <c r="B34" s="222">
        <f>1+ABS(C32/D31)</f>
        <v>1.5049102332328239</v>
      </c>
      <c r="C34" s="45" t="s">
        <v>285</v>
      </c>
    </row>
  </sheetData>
  <mergeCells count="4">
    <mergeCell ref="A1:G1"/>
    <mergeCell ref="A12:G12"/>
    <mergeCell ref="A19:G19"/>
    <mergeCell ref="A29:G2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EF77-A1B7-4DBE-8252-F2A062CB4DCC}">
  <dimension ref="A1:K25"/>
  <sheetViews>
    <sheetView topLeftCell="A10" workbookViewId="0">
      <selection activeCell="D23" sqref="D23"/>
    </sheetView>
  </sheetViews>
  <sheetFormatPr baseColWidth="10" defaultColWidth="11.44140625" defaultRowHeight="14.4" x14ac:dyDescent="0.3"/>
  <cols>
    <col min="1" max="1" width="34" bestFit="1" customWidth="1"/>
    <col min="2" max="3" width="14.5546875" bestFit="1" customWidth="1"/>
    <col min="4" max="4" width="18.44140625" customWidth="1"/>
    <col min="5" max="5" width="15" customWidth="1"/>
    <col min="6" max="6" width="14.6640625" customWidth="1"/>
    <col min="7" max="7" width="16.44140625" customWidth="1"/>
    <col min="8" max="8" width="16.33203125" customWidth="1"/>
    <col min="9" max="9" width="16.5546875" customWidth="1"/>
    <col min="10" max="11" width="15.44140625" customWidth="1"/>
  </cols>
  <sheetData>
    <row r="1" spans="1:11" ht="15.6" x14ac:dyDescent="0.3">
      <c r="A1" s="487" t="s">
        <v>292</v>
      </c>
      <c r="B1" s="488"/>
      <c r="C1" s="488"/>
      <c r="D1" s="488"/>
      <c r="E1" s="488"/>
      <c r="F1" s="488"/>
      <c r="G1" s="488"/>
      <c r="H1" s="488"/>
      <c r="I1" s="488"/>
      <c r="J1" s="489"/>
    </row>
    <row r="2" spans="1:11" ht="15.6" x14ac:dyDescent="0.3">
      <c r="A2" s="44"/>
      <c r="B2" s="44"/>
      <c r="C2" s="44"/>
      <c r="D2" s="44"/>
      <c r="E2" s="44"/>
      <c r="F2" s="44"/>
      <c r="G2" s="44"/>
      <c r="H2" s="44"/>
      <c r="I2" s="44"/>
      <c r="J2" s="44"/>
    </row>
    <row r="3" spans="1:11" ht="15.6" x14ac:dyDescent="0.3">
      <c r="A3" s="317" t="s">
        <v>35</v>
      </c>
      <c r="B3" s="318" t="s">
        <v>293</v>
      </c>
      <c r="C3" s="55"/>
      <c r="D3" s="55"/>
      <c r="E3" s="55"/>
      <c r="F3" s="55"/>
      <c r="G3" s="55"/>
      <c r="H3" s="55"/>
      <c r="I3" s="55"/>
      <c r="J3" s="55"/>
    </row>
    <row r="4" spans="1:11" ht="15.6" x14ac:dyDescent="0.3">
      <c r="A4" s="129" t="s">
        <v>294</v>
      </c>
      <c r="B4" s="128">
        <v>1.1900000000000001E-2</v>
      </c>
      <c r="D4" s="130"/>
      <c r="E4" s="55"/>
      <c r="F4" s="55"/>
      <c r="G4" s="55"/>
      <c r="H4" s="55"/>
      <c r="I4" s="55"/>
      <c r="J4" s="55"/>
    </row>
    <row r="5" spans="1:11" ht="15.6" x14ac:dyDescent="0.3">
      <c r="A5" s="129" t="s">
        <v>295</v>
      </c>
      <c r="B5" s="199">
        <v>0.15</v>
      </c>
      <c r="C5" s="130"/>
      <c r="D5" s="55"/>
      <c r="E5" s="55"/>
      <c r="F5" s="55"/>
      <c r="G5" s="55"/>
      <c r="H5" s="55"/>
      <c r="I5" s="55"/>
      <c r="J5" s="55"/>
    </row>
    <row r="6" spans="1:11" ht="15.6" x14ac:dyDescent="0.3">
      <c r="A6" s="129" t="s">
        <v>296</v>
      </c>
      <c r="B6" s="131">
        <v>0.29499999999999998</v>
      </c>
      <c r="C6" s="130"/>
    </row>
    <row r="7" spans="1:11" ht="15.6" x14ac:dyDescent="0.3">
      <c r="A7" s="129" t="s">
        <v>297</v>
      </c>
      <c r="B7" s="132">
        <f>'SERVICIO A LA DEUDA'!F32</f>
        <v>299164.6825</v>
      </c>
      <c r="C7" s="130"/>
      <c r="E7" s="55"/>
      <c r="F7" s="322" t="s">
        <v>180</v>
      </c>
      <c r="G7" s="322" t="s">
        <v>116</v>
      </c>
      <c r="H7" s="322" t="s">
        <v>117</v>
      </c>
      <c r="I7" s="322" t="s">
        <v>118</v>
      </c>
      <c r="J7" s="322" t="s">
        <v>119</v>
      </c>
      <c r="K7" s="322" t="s">
        <v>120</v>
      </c>
    </row>
    <row r="8" spans="1:11" ht="15.6" x14ac:dyDescent="0.3">
      <c r="A8" s="129" t="s">
        <v>246</v>
      </c>
      <c r="B8" s="132">
        <f>'SERVICIO A LA DEUDA'!F34</f>
        <v>698050.92583333328</v>
      </c>
      <c r="C8" s="55"/>
      <c r="D8" s="55"/>
      <c r="E8" s="321" t="s">
        <v>274</v>
      </c>
      <c r="F8" s="125">
        <f>'FLUJO DE CAJA INTEGRADO'!B23</f>
        <v>-997215.60833333328</v>
      </c>
      <c r="G8" s="125">
        <f>'FLUJO DE CAJA INTEGRADO'!C23</f>
        <v>1053935.3064000001</v>
      </c>
      <c r="H8" s="125">
        <f>'FLUJO DE CAJA INTEGRADO'!D23</f>
        <v>1249232.9303999997</v>
      </c>
      <c r="I8" s="125">
        <f>'FLUJO DE CAJA INTEGRADO'!E23</f>
        <v>1483287.0328000002</v>
      </c>
      <c r="J8" s="125">
        <f>'FLUJO DE CAJA INTEGRADO'!F23</f>
        <v>1702111.8096000005</v>
      </c>
      <c r="K8" s="125">
        <f>'FLUJO DE CAJA INTEGRADO'!G23</f>
        <v>2566922.3351333337</v>
      </c>
    </row>
    <row r="9" spans="1:11" ht="15.6" x14ac:dyDescent="0.3">
      <c r="A9" s="129" t="s">
        <v>298</v>
      </c>
      <c r="B9" s="201">
        <f>ROUND(B5*(1+(1-B6)*(B7/B8)),2)</f>
        <v>0.2</v>
      </c>
      <c r="C9" s="130"/>
      <c r="D9" s="55"/>
      <c r="E9" s="55"/>
      <c r="F9" s="55"/>
      <c r="G9" s="133"/>
      <c r="H9" s="4"/>
      <c r="I9" s="4"/>
      <c r="J9" s="4"/>
    </row>
    <row r="10" spans="1:11" ht="15.6" x14ac:dyDescent="0.3">
      <c r="A10" s="129" t="s">
        <v>299</v>
      </c>
      <c r="B10" s="131">
        <v>6.6799999999999998E-2</v>
      </c>
      <c r="C10" s="130"/>
      <c r="D10" s="134"/>
      <c r="E10" s="55"/>
      <c r="F10" s="55"/>
      <c r="G10" s="55"/>
      <c r="H10" s="55"/>
      <c r="I10" s="55"/>
      <c r="J10" s="55"/>
    </row>
    <row r="11" spans="1:11" ht="15.6" x14ac:dyDescent="0.3">
      <c r="A11" s="129" t="s">
        <v>300</v>
      </c>
      <c r="B11" s="131">
        <v>1.4999999999999999E-2</v>
      </c>
      <c r="C11" s="55"/>
      <c r="D11" s="55"/>
      <c r="E11" s="55"/>
      <c r="F11" s="55"/>
      <c r="G11" s="141"/>
      <c r="H11" s="55"/>
      <c r="I11" s="55"/>
      <c r="J11" s="55"/>
    </row>
    <row r="12" spans="1:11" ht="15.6" x14ac:dyDescent="0.3">
      <c r="A12" s="319" t="s">
        <v>301</v>
      </c>
      <c r="B12" s="320">
        <f>ROUND(B4+(B9*B10)+B11,4)</f>
        <v>4.0300000000000002E-2</v>
      </c>
      <c r="C12" s="130"/>
      <c r="D12" s="130"/>
      <c r="E12" s="55"/>
      <c r="F12" s="55"/>
      <c r="G12" s="55"/>
      <c r="H12" s="55"/>
      <c r="I12" s="55"/>
      <c r="J12" s="55"/>
    </row>
    <row r="13" spans="1:11" ht="15.6" x14ac:dyDescent="0.3">
      <c r="A13" s="486"/>
      <c r="B13" s="486"/>
      <c r="C13" s="486"/>
      <c r="D13" s="486"/>
      <c r="E13" s="134"/>
      <c r="F13" s="142"/>
      <c r="G13" s="143"/>
      <c r="H13" s="55"/>
      <c r="I13" s="55"/>
      <c r="J13" s="55"/>
    </row>
    <row r="14" spans="1:11" ht="15.6" x14ac:dyDescent="0.3">
      <c r="A14" s="130"/>
      <c r="B14" s="326" t="s">
        <v>87</v>
      </c>
      <c r="C14" s="326" t="s">
        <v>88</v>
      </c>
      <c r="D14" s="326" t="s">
        <v>89</v>
      </c>
      <c r="E14" s="327" t="s">
        <v>90</v>
      </c>
      <c r="F14" s="328" t="s">
        <v>91</v>
      </c>
      <c r="G14" s="143"/>
      <c r="H14" s="55"/>
      <c r="I14" s="55"/>
      <c r="J14" s="55"/>
    </row>
    <row r="15" spans="1:11" ht="15.6" x14ac:dyDescent="0.3">
      <c r="A15" s="331" t="s">
        <v>302</v>
      </c>
      <c r="B15" s="65">
        <f>'FLUJO DE CAJA INTEGRADO'!C10</f>
        <v>1053774.9666666666</v>
      </c>
      <c r="C15" s="65">
        <f>'FLUJO DE CAJA INTEGRADO'!D10</f>
        <v>1448124.4834666664</v>
      </c>
      <c r="D15" s="65">
        <f>'FLUJO DE CAJA INTEGRADO'!E10</f>
        <v>1851248.8866666669</v>
      </c>
      <c r="E15" s="65">
        <f>'FLUJO DE CAJA INTEGRADO'!F10</f>
        <v>2393528.2136000004</v>
      </c>
      <c r="F15" s="65">
        <f>'FLUJO DE CAJA INTEGRADO'!G10</f>
        <v>2799589.2056000005</v>
      </c>
      <c r="G15" s="55"/>
      <c r="H15" s="55"/>
      <c r="I15" s="55"/>
      <c r="J15" s="55"/>
    </row>
    <row r="16" spans="1:11" ht="15.6" x14ac:dyDescent="0.3">
      <c r="A16" s="331" t="s">
        <v>96</v>
      </c>
      <c r="B16" s="65">
        <f>'FLUJO DE CAJA INTEGRADO'!C3</f>
        <v>4212000</v>
      </c>
      <c r="C16" s="65">
        <f>'FLUJO DE CAJA INTEGRADO'!D3</f>
        <v>4553841.5999999996</v>
      </c>
      <c r="D16" s="65">
        <f>'FLUJO DE CAJA INTEGRADO'!E3</f>
        <v>4938840</v>
      </c>
      <c r="E16" s="65">
        <f>'FLUJO DE CAJA INTEGRADO'!F3</f>
        <v>5351443.2</v>
      </c>
      <c r="F16" s="65">
        <f>'FLUJO DE CAJA INTEGRADO'!G3</f>
        <v>5792947.2000000002</v>
      </c>
      <c r="G16" s="55"/>
      <c r="H16" s="55"/>
      <c r="I16" s="134"/>
      <c r="J16" s="55"/>
    </row>
    <row r="17" spans="1:10" ht="15.6" x14ac:dyDescent="0.3">
      <c r="A17" s="332" t="s">
        <v>303</v>
      </c>
      <c r="B17" s="136">
        <f t="shared" ref="B17:E17" si="0">ROUND(B15/B16,4)</f>
        <v>0.25019999999999998</v>
      </c>
      <c r="C17" s="136">
        <f t="shared" si="0"/>
        <v>0.318</v>
      </c>
      <c r="D17" s="136">
        <f t="shared" si="0"/>
        <v>0.37480000000000002</v>
      </c>
      <c r="E17" s="136">
        <f t="shared" si="0"/>
        <v>0.44729999999999998</v>
      </c>
      <c r="F17" s="136">
        <f>ROUND(F15/F16,4)</f>
        <v>0.48330000000000001</v>
      </c>
      <c r="G17" s="55"/>
      <c r="H17" s="55"/>
      <c r="I17" s="55"/>
      <c r="J17" s="55"/>
    </row>
    <row r="18" spans="1:10" ht="15.6" x14ac:dyDescent="0.3">
      <c r="A18" s="55"/>
      <c r="B18" s="55"/>
      <c r="C18" s="55"/>
      <c r="D18" s="55"/>
      <c r="E18" s="55"/>
      <c r="F18" s="55"/>
      <c r="G18" s="55"/>
      <c r="H18" s="55"/>
      <c r="I18" s="55"/>
      <c r="J18" s="55"/>
    </row>
    <row r="19" spans="1:10" ht="15.6" x14ac:dyDescent="0.3">
      <c r="A19" s="127" t="s">
        <v>304</v>
      </c>
      <c r="B19" s="137">
        <v>7.9500000000000001E-2</v>
      </c>
      <c r="C19" s="55"/>
      <c r="D19" s="55"/>
      <c r="E19" s="55"/>
      <c r="F19" s="55"/>
      <c r="G19" s="55"/>
      <c r="H19" s="55"/>
      <c r="I19" s="55"/>
      <c r="J19" s="55"/>
    </row>
    <row r="20" spans="1:10" ht="15.6" x14ac:dyDescent="0.3">
      <c r="A20" s="127" t="s">
        <v>305</v>
      </c>
      <c r="B20" s="138">
        <v>0.02</v>
      </c>
      <c r="C20" s="55"/>
      <c r="D20" s="55"/>
      <c r="E20" s="55"/>
      <c r="F20" s="55"/>
      <c r="G20" s="55"/>
      <c r="H20" s="55"/>
      <c r="I20" s="55"/>
      <c r="J20" s="55"/>
    </row>
    <row r="21" spans="1:10" ht="15.6" x14ac:dyDescent="0.3">
      <c r="A21" s="329" t="s">
        <v>110</v>
      </c>
      <c r="B21" s="330">
        <f>SUM(B19:B20)</f>
        <v>9.9500000000000005E-2</v>
      </c>
      <c r="C21" s="55"/>
      <c r="D21" s="55"/>
      <c r="E21" s="55"/>
      <c r="F21" s="55"/>
      <c r="G21" s="55"/>
      <c r="H21" s="55"/>
      <c r="I21" s="55"/>
      <c r="J21" s="55"/>
    </row>
    <row r="22" spans="1:10" ht="15.6" x14ac:dyDescent="0.3">
      <c r="A22" s="55"/>
      <c r="B22" s="55"/>
      <c r="C22" s="55"/>
      <c r="D22" s="55"/>
      <c r="E22" s="55"/>
      <c r="F22" s="55"/>
      <c r="G22" s="55"/>
      <c r="H22" s="55"/>
      <c r="I22" s="55"/>
      <c r="J22" s="55"/>
    </row>
    <row r="23" spans="1:10" ht="15.6" x14ac:dyDescent="0.3">
      <c r="A23" s="325" t="s">
        <v>306</v>
      </c>
      <c r="B23" s="139">
        <f>NPV(F17,G8:K8)+F8</f>
        <v>1444722.0231598895</v>
      </c>
      <c r="C23" s="55"/>
      <c r="D23" s="55"/>
      <c r="E23" s="55"/>
      <c r="F23" s="55"/>
      <c r="G23" s="55"/>
      <c r="H23" s="55"/>
      <c r="I23" s="202"/>
      <c r="J23" s="55"/>
    </row>
    <row r="24" spans="1:10" ht="15.6" x14ac:dyDescent="0.3">
      <c r="A24" s="323" t="s">
        <v>307</v>
      </c>
      <c r="B24" s="190">
        <f>IRR(F8:K8)</f>
        <v>1.2019432352540678</v>
      </c>
      <c r="C24" s="55"/>
      <c r="D24" s="55"/>
      <c r="E24" s="55"/>
      <c r="F24" s="55"/>
      <c r="G24" s="55"/>
      <c r="H24" s="55"/>
      <c r="I24" s="55"/>
      <c r="J24" s="55"/>
    </row>
    <row r="25" spans="1:10" ht="15.6" x14ac:dyDescent="0.3">
      <c r="A25" s="324" t="s">
        <v>308</v>
      </c>
      <c r="B25" s="140">
        <f>ROUND((NPV(F17,G8:K8))/(ABS(F8)),2)</f>
        <v>2.4500000000000002</v>
      </c>
      <c r="C25" s="55"/>
      <c r="D25" s="55"/>
      <c r="E25" s="55"/>
      <c r="F25" s="55"/>
      <c r="G25" s="55"/>
      <c r="H25" s="55"/>
      <c r="I25" s="55"/>
      <c r="J25" s="55"/>
    </row>
  </sheetData>
  <mergeCells count="2">
    <mergeCell ref="A13:D13"/>
    <mergeCell ref="A1:J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88F4-7983-45CD-97A0-FE7A52AAF2C8}">
  <dimension ref="A1:J18"/>
  <sheetViews>
    <sheetView workbookViewId="0">
      <selection activeCell="I14" sqref="I14"/>
    </sheetView>
  </sheetViews>
  <sheetFormatPr baseColWidth="10" defaultColWidth="11.44140625" defaultRowHeight="14.4" x14ac:dyDescent="0.3"/>
  <cols>
    <col min="1" max="1" width="34" bestFit="1" customWidth="1"/>
    <col min="2" max="2" width="14.5546875" bestFit="1" customWidth="1"/>
    <col min="4" max="4" width="17.33203125" bestFit="1" customWidth="1"/>
    <col min="5" max="5" width="14.6640625" customWidth="1"/>
    <col min="6" max="8" width="14.5546875" bestFit="1" customWidth="1"/>
    <col min="9" max="10" width="14.5546875" customWidth="1"/>
  </cols>
  <sheetData>
    <row r="1" spans="1:10" ht="15.6" x14ac:dyDescent="0.3">
      <c r="A1" s="490" t="s">
        <v>309</v>
      </c>
      <c r="B1" s="490"/>
      <c r="C1" s="490"/>
      <c r="D1" s="490"/>
      <c r="E1" s="490"/>
      <c r="F1" s="490"/>
      <c r="G1" s="490"/>
      <c r="H1" s="490"/>
      <c r="I1" s="490"/>
      <c r="J1" s="490"/>
    </row>
    <row r="2" spans="1:10" ht="15.6" x14ac:dyDescent="0.3">
      <c r="A2" s="44"/>
      <c r="B2" s="44"/>
      <c r="C2" s="44"/>
      <c r="D2" s="44"/>
      <c r="E2" s="44"/>
      <c r="F2" s="44"/>
      <c r="G2" s="44"/>
      <c r="H2" s="44"/>
      <c r="I2" s="44"/>
      <c r="J2" s="44"/>
    </row>
    <row r="3" spans="1:10" ht="15.6" x14ac:dyDescent="0.3">
      <c r="A3" s="56" t="s">
        <v>310</v>
      </c>
      <c r="B3" s="65">
        <f>'SERVICIO A LA DEUDA'!F32</f>
        <v>299164.6825</v>
      </c>
      <c r="C3" s="55"/>
      <c r="D3" s="55"/>
      <c r="E3" s="337" t="s">
        <v>180</v>
      </c>
      <c r="F3" s="337" t="s">
        <v>116</v>
      </c>
      <c r="G3" s="337" t="s">
        <v>117</v>
      </c>
      <c r="H3" s="337" t="s">
        <v>118</v>
      </c>
      <c r="I3" s="337" t="s">
        <v>119</v>
      </c>
      <c r="J3" s="337" t="s">
        <v>120</v>
      </c>
    </row>
    <row r="4" spans="1:10" ht="15.6" x14ac:dyDescent="0.3">
      <c r="A4" s="56" t="s">
        <v>311</v>
      </c>
      <c r="B4" s="65">
        <f>'SERVICIO A LA DEUDA'!D33</f>
        <v>997215.60833333328</v>
      </c>
      <c r="C4" s="55"/>
      <c r="D4" s="336" t="s">
        <v>280</v>
      </c>
      <c r="E4" s="144">
        <f>'FLUJO DE CAJA INTEGRADO'!B29</f>
        <v>-698050.92583333328</v>
      </c>
      <c r="F4" s="189">
        <f>'FLUJO DE CAJA INTEGRADO'!C29</f>
        <v>944970.26059995929</v>
      </c>
      <c r="G4" s="189">
        <f>'FLUJO DE CAJA INTEGRADO'!D29</f>
        <v>1138105.6200750344</v>
      </c>
      <c r="H4" s="189">
        <f>'FLUJO DE CAJA INTEGRADO'!E29</f>
        <v>1369825.5579203791</v>
      </c>
      <c r="I4" s="189">
        <f>'FLUJO DE CAJA INTEGRADO'!F29</f>
        <v>1702111.8096000005</v>
      </c>
      <c r="J4" s="189">
        <f>'FLUJO DE CAJA INTEGRADO'!G29</f>
        <v>2566922.3351333337</v>
      </c>
    </row>
    <row r="5" spans="1:10" ht="15.6" x14ac:dyDescent="0.3">
      <c r="A5" s="56" t="s">
        <v>312</v>
      </c>
      <c r="B5" s="191">
        <f>'SERVICIO A LA DEUDA'!C26</f>
        <v>7.9500000000000001E-2</v>
      </c>
      <c r="C5" s="55"/>
      <c r="D5" s="55"/>
      <c r="E5" s="55"/>
      <c r="F5" s="55"/>
      <c r="G5" s="145"/>
      <c r="H5" s="145"/>
      <c r="I5" s="145"/>
      <c r="J5" s="145"/>
    </row>
    <row r="6" spans="1:10" ht="15.6" x14ac:dyDescent="0.3">
      <c r="A6" s="56" t="s">
        <v>313</v>
      </c>
      <c r="B6" s="65">
        <f>'SERVICIO A LA DEUDA'!F34</f>
        <v>698050.92583333328</v>
      </c>
      <c r="C6" s="55"/>
      <c r="D6" s="55"/>
      <c r="E6" s="146"/>
      <c r="F6" s="150"/>
      <c r="G6" s="130"/>
      <c r="H6" s="147"/>
      <c r="I6" s="147"/>
      <c r="J6" s="147"/>
    </row>
    <row r="7" spans="1:10" ht="15.6" x14ac:dyDescent="0.3">
      <c r="A7" s="56" t="s">
        <v>6</v>
      </c>
      <c r="B7" s="191">
        <f>ROUND('EVALUACION ECONOMICA'!F17,4)</f>
        <v>0.48330000000000001</v>
      </c>
      <c r="C7" s="55"/>
      <c r="D7" s="55"/>
      <c r="E7" s="146"/>
      <c r="F7" s="55"/>
      <c r="G7" s="55"/>
      <c r="H7" s="147"/>
      <c r="I7" s="55"/>
      <c r="J7" s="221"/>
    </row>
    <row r="8" spans="1:10" ht="15.6" x14ac:dyDescent="0.3">
      <c r="A8" s="56" t="s">
        <v>314</v>
      </c>
      <c r="B8" s="136">
        <f>ROUND(((B3/B4)*B5+(B6/B4)*B7),4)</f>
        <v>0.36220000000000002</v>
      </c>
      <c r="C8" s="55"/>
      <c r="D8" s="55"/>
      <c r="E8" s="55"/>
      <c r="F8" s="55"/>
      <c r="G8" s="55"/>
      <c r="H8" s="55"/>
      <c r="I8" s="55"/>
      <c r="J8" s="55"/>
    </row>
    <row r="9" spans="1:10" ht="15.6" x14ac:dyDescent="0.3">
      <c r="A9" s="55"/>
      <c r="B9" s="55"/>
      <c r="C9" s="55"/>
      <c r="D9" s="55"/>
      <c r="E9" s="147"/>
      <c r="F9" s="55"/>
      <c r="G9" s="55"/>
      <c r="H9" s="55"/>
      <c r="I9" s="55"/>
      <c r="J9" s="55"/>
    </row>
    <row r="10" spans="1:10" ht="15.6" x14ac:dyDescent="0.3">
      <c r="A10" s="55"/>
      <c r="B10" s="55"/>
      <c r="C10" s="55"/>
      <c r="D10" s="55"/>
      <c r="E10" s="142"/>
      <c r="F10" s="55"/>
      <c r="G10" s="55"/>
      <c r="H10" s="55"/>
      <c r="I10" s="55"/>
      <c r="J10" s="55"/>
    </row>
    <row r="11" spans="1:10" ht="15.6" x14ac:dyDescent="0.3">
      <c r="A11" s="333" t="s">
        <v>315</v>
      </c>
      <c r="B11" s="148">
        <f>ROUND(NPV(B8,F4:J4)+E4,2)</f>
        <v>2192543.73</v>
      </c>
      <c r="C11" s="55"/>
      <c r="D11" s="55"/>
      <c r="E11" s="55"/>
      <c r="F11" s="55"/>
      <c r="G11" s="55"/>
      <c r="H11" s="55"/>
      <c r="I11" s="55"/>
      <c r="J11" s="55"/>
    </row>
    <row r="12" spans="1:10" ht="15.6" x14ac:dyDescent="0.3">
      <c r="A12" s="334" t="s">
        <v>316</v>
      </c>
      <c r="B12" s="198">
        <f>IRR(E4:J4)</f>
        <v>1.5383021040521139</v>
      </c>
      <c r="C12" s="55"/>
      <c r="D12" s="55"/>
      <c r="E12" s="55"/>
      <c r="F12" s="55"/>
      <c r="G12" s="55"/>
      <c r="H12" s="55"/>
      <c r="I12" s="55"/>
      <c r="J12" s="55"/>
    </row>
    <row r="13" spans="1:10" ht="15.6" x14ac:dyDescent="0.3">
      <c r="A13" s="335" t="s">
        <v>317</v>
      </c>
      <c r="B13" s="149">
        <f>ROUND((NPV(B8,F4:J4))/ABS(E4),2)</f>
        <v>4.1399999999999997</v>
      </c>
      <c r="C13" s="55"/>
      <c r="D13" s="55"/>
      <c r="E13" s="55"/>
      <c r="F13" s="55"/>
      <c r="G13" s="55"/>
      <c r="H13" s="55"/>
      <c r="I13" s="55"/>
      <c r="J13" s="55"/>
    </row>
    <row r="14" spans="1:10" ht="15.6" x14ac:dyDescent="0.3">
      <c r="A14" s="55"/>
      <c r="B14" s="55"/>
      <c r="C14" s="55"/>
      <c r="D14" s="55"/>
      <c r="E14" s="55"/>
      <c r="F14" s="55"/>
      <c r="G14" s="55"/>
      <c r="H14" s="55"/>
      <c r="I14" s="55"/>
      <c r="J14" s="55"/>
    </row>
    <row r="15" spans="1:10" ht="15.6" x14ac:dyDescent="0.3">
      <c r="A15" s="55"/>
      <c r="B15" s="55"/>
      <c r="C15" s="55"/>
      <c r="D15" s="55"/>
      <c r="E15" s="55"/>
      <c r="F15" s="55"/>
      <c r="G15" s="55"/>
      <c r="H15" s="55"/>
      <c r="I15" s="55"/>
      <c r="J15" s="55"/>
    </row>
    <row r="16" spans="1:10" ht="15.6" x14ac:dyDescent="0.3">
      <c r="A16" s="55"/>
      <c r="B16" s="55"/>
      <c r="C16" s="55"/>
      <c r="D16" s="55"/>
      <c r="E16" s="55"/>
      <c r="F16" s="55"/>
      <c r="G16" s="55"/>
      <c r="H16" s="55"/>
      <c r="I16" s="55"/>
      <c r="J16" s="55"/>
    </row>
    <row r="17" spans="1:10" ht="15.6" x14ac:dyDescent="0.3">
      <c r="A17" s="55"/>
      <c r="B17" s="55"/>
      <c r="C17" s="55"/>
      <c r="D17" s="55"/>
      <c r="E17" s="55"/>
      <c r="F17" s="55"/>
      <c r="G17" s="55"/>
      <c r="H17" s="55"/>
      <c r="I17" s="55"/>
      <c r="J17" s="55"/>
    </row>
    <row r="18" spans="1:10" ht="15.6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4"/>
    </row>
  </sheetData>
  <mergeCells count="1">
    <mergeCell ref="A1:J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30AF389FE8234BA414E6E68ED2DB1D" ma:contentTypeVersion="6" ma:contentTypeDescription="Crear nuevo documento." ma:contentTypeScope="" ma:versionID="6d1a2ef53864d8c6d0643fbcb31399c7">
  <xsd:schema xmlns:xsd="http://www.w3.org/2001/XMLSchema" xmlns:xs="http://www.w3.org/2001/XMLSchema" xmlns:p="http://schemas.microsoft.com/office/2006/metadata/properties" xmlns:ns3="8764d57e-2cc8-414f-a1d1-86cf8aa09dc6" xmlns:ns4="26fc26d5-5a56-44bf-94da-27cd9b3aaede" targetNamespace="http://schemas.microsoft.com/office/2006/metadata/properties" ma:root="true" ma:fieldsID="6e2edc45bff75f06a889d3e1526e3a82" ns3:_="" ns4:_="">
    <xsd:import namespace="8764d57e-2cc8-414f-a1d1-86cf8aa09dc6"/>
    <xsd:import namespace="26fc26d5-5a56-44bf-94da-27cd9b3aae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64d57e-2cc8-414f-a1d1-86cf8aa09d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fc26d5-5a56-44bf-94da-27cd9b3aa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D01584-F82B-439F-9098-4EBD34AE2D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64d57e-2cc8-414f-a1d1-86cf8aa09dc6"/>
    <ds:schemaRef ds:uri="26fc26d5-5a56-44bf-94da-27cd9b3aa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73AE97-BE38-4057-A695-444C666ECD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1C294F-FAE2-4E98-8EDD-1CDAEBD1D37E}">
  <ds:schemaRefs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6fc26d5-5a56-44bf-94da-27cd9b3aaede"/>
    <ds:schemaRef ds:uri="8764d57e-2cc8-414f-a1d1-86cf8aa09d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PAGINAS </vt:lpstr>
      <vt:lpstr>ANALISIS ALQUILER O COMPRA</vt:lpstr>
      <vt:lpstr>ACTIVOS TANGIBLES</vt:lpstr>
      <vt:lpstr>ACTIVOS INTANGIBLES</vt:lpstr>
      <vt:lpstr>INGRESOS</vt:lpstr>
      <vt:lpstr>ESTRUCTURA DE COSTOS</vt:lpstr>
      <vt:lpstr>COSTOS OPERATIVOS</vt:lpstr>
      <vt:lpstr>INVERSION INICIAL</vt:lpstr>
      <vt:lpstr>DEPRECIACION</vt:lpstr>
      <vt:lpstr>AMORTIZACION</vt:lpstr>
      <vt:lpstr>VALOR RESIDUAL</vt:lpstr>
      <vt:lpstr>SERVICIO A LA DEUDA</vt:lpstr>
      <vt:lpstr>FLUJO DE CAJA INTEGRADO</vt:lpstr>
      <vt:lpstr>PAYBACK</vt:lpstr>
      <vt:lpstr>EVALUACION ECONOMICA</vt:lpstr>
      <vt:lpstr>EVALUACION FINANCIERA</vt:lpstr>
      <vt:lpstr>'ACTIVOS TANGIBLES'!Área_de_extracción</vt:lpstr>
      <vt:lpstr>'ACTIVOS TANGIBLES'!Criterios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 Guerrero Zafra</dc:creator>
  <cp:keywords/>
  <dc:description/>
  <cp:lastModifiedBy>Usuario</cp:lastModifiedBy>
  <cp:revision/>
  <dcterms:created xsi:type="dcterms:W3CDTF">2021-10-19T03:36:39Z</dcterms:created>
  <dcterms:modified xsi:type="dcterms:W3CDTF">2023-01-31T02:27:25Z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0x010100D330AF389FE8234BA414E6E68ED2DB1D</vt:lpwstr>
  </property>
</Properties>
</file>