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Universidad de San Martin de Porres\Escritorio\Proyectos Académicos\"/>
    </mc:Choice>
  </mc:AlternateContent>
  <xr:revisionPtr revIDLastSave="0" documentId="13_ncr:1_{A976DEF5-B84C-4026-BCAC-157BBE3458D1}" xr6:coauthVersionLast="47" xr6:coauthVersionMax="47" xr10:uidLastSave="{00000000-0000-0000-0000-000000000000}"/>
  <bookViews>
    <workbookView xWindow="-108" yWindow="-108" windowWidth="23256" windowHeight="12456" tabRatio="772" firstSheet="3" activeTab="8" xr2:uid="{4D97FE71-B8B3-4514-BBEB-365FF406A672}"/>
  </bookViews>
  <sheets>
    <sheet name="AUDITORIA" sheetId="12" r:id="rId1"/>
    <sheet name="CRITICIDAD" sheetId="13" r:id="rId2"/>
    <sheet name="RETROEXCAVADORA" sheetId="1" r:id="rId3"/>
    <sheet name="COMPRESOR NEUMÁTICO" sheetId="2" r:id="rId4"/>
    <sheet name="MINICARGADOR" sheetId="3" r:id="rId5"/>
    <sheet name="RODILLOS" sheetId="4" r:id="rId6"/>
    <sheet name="MEZCLADORA" sheetId="5" r:id="rId7"/>
    <sheet name="KPI" sheetId="6" r:id="rId8"/>
    <sheet name="Dashboard" sheetId="11" r:id="rId9"/>
  </sheets>
  <definedNames>
    <definedName name="_xlnm._FilterDatabase" localSheetId="1" hidden="1">CRITICIDAD!$A$2:$G$14</definedName>
    <definedName name="_xlchart.v1.0" hidden="1">KPI!$B$271:$B$274</definedName>
    <definedName name="_xlchart.v1.1" hidden="1">KPI!$C$270</definedName>
    <definedName name="_xlchart.v1.2" hidden="1">KPI!$C$271:$C$274</definedName>
    <definedName name="_xlchart.v1.3" hidden="1">KPI!$E$271:$E$274</definedName>
    <definedName name="_xlchart.v1.4" hidden="1">KPI!$F$271:$F$274</definedName>
    <definedName name="_xlchart.v1.5" hidden="1">KPI!$H$271:$H$274</definedName>
    <definedName name="_xlchart.v1.6" hidden="1">KPI!$I$271:$I$274</definedName>
    <definedName name="_xlcn.WorksheetConnection_InfoB6B7" hidden="1">#REF!</definedName>
    <definedName name="SegmentaciónDeDatos_Máquinas2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G3" i="13" s="1"/>
  <c r="E4" i="13"/>
  <c r="E6" i="13"/>
  <c r="E10" i="13"/>
  <c r="E14" i="13"/>
  <c r="D15" i="13"/>
  <c r="E9" i="13" s="1"/>
  <c r="E2" i="12"/>
  <c r="E3" i="12"/>
  <c r="E4" i="12"/>
  <c r="E5" i="12"/>
  <c r="E6" i="12"/>
  <c r="E7" i="12"/>
  <c r="E13" i="12" s="1"/>
  <c r="E8" i="12"/>
  <c r="E9" i="12"/>
  <c r="E10" i="12"/>
  <c r="E11" i="12"/>
  <c r="E12" i="12"/>
  <c r="C13" i="12"/>
  <c r="C71" i="5"/>
  <c r="D256" i="6" s="1"/>
  <c r="C70" i="5"/>
  <c r="D255" i="6" s="1"/>
  <c r="C68" i="5"/>
  <c r="D253" i="6" s="1"/>
  <c r="C67" i="5"/>
  <c r="D252" i="6" s="1"/>
  <c r="C65" i="5"/>
  <c r="D250" i="6" s="1"/>
  <c r="C64" i="5"/>
  <c r="D249" i="6" s="1"/>
  <c r="C63" i="5"/>
  <c r="D248" i="6" s="1"/>
  <c r="C66" i="4"/>
  <c r="D232" i="6" s="1"/>
  <c r="C65" i="4"/>
  <c r="D231" i="6" s="1"/>
  <c r="C63" i="4"/>
  <c r="D229" i="6" s="1"/>
  <c r="C62" i="4"/>
  <c r="D228" i="6" s="1"/>
  <c r="C60" i="4"/>
  <c r="D226" i="6" s="1"/>
  <c r="C59" i="4"/>
  <c r="D225" i="6" s="1"/>
  <c r="C58" i="4"/>
  <c r="D224" i="6" s="1"/>
  <c r="C68" i="3"/>
  <c r="D208" i="6" s="1"/>
  <c r="C67" i="3"/>
  <c r="D207" i="6" s="1"/>
  <c r="C64" i="3"/>
  <c r="D204" i="6" s="1"/>
  <c r="C62" i="3"/>
  <c r="D202" i="6" s="1"/>
  <c r="C61" i="3"/>
  <c r="D201" i="6" s="1"/>
  <c r="C60" i="3"/>
  <c r="D200" i="6" s="1"/>
  <c r="C75" i="2"/>
  <c r="D184" i="6" s="1"/>
  <c r="C74" i="2"/>
  <c r="D183" i="6" s="1"/>
  <c r="C72" i="2"/>
  <c r="D181" i="6" s="1"/>
  <c r="C71" i="2"/>
  <c r="D180" i="6" s="1"/>
  <c r="C67" i="2"/>
  <c r="D176" i="6" s="1"/>
  <c r="C78" i="1"/>
  <c r="D160" i="6" s="1"/>
  <c r="C77" i="1"/>
  <c r="D159" i="6" s="1"/>
  <c r="C74" i="1"/>
  <c r="D156" i="6" s="1"/>
  <c r="C72" i="1"/>
  <c r="D154" i="6" s="1"/>
  <c r="C70" i="1"/>
  <c r="D152" i="6" s="1"/>
  <c r="J283" i="6"/>
  <c r="M283" i="6"/>
  <c r="D283" i="6"/>
  <c r="M272" i="6"/>
  <c r="G283" i="6"/>
  <c r="S283" i="6"/>
  <c r="P283" i="6"/>
  <c r="M271" i="6"/>
  <c r="E11" i="13" l="1"/>
  <c r="E3" i="13"/>
  <c r="E8" i="13"/>
  <c r="E13" i="13"/>
  <c r="E5" i="13"/>
  <c r="E7" i="13"/>
  <c r="F4" i="13"/>
  <c r="E12" i="13"/>
  <c r="D244" i="6"/>
  <c r="G4" i="13" l="1"/>
  <c r="F5" i="13"/>
  <c r="C5" i="6"/>
  <c r="F5" i="6" s="1"/>
  <c r="C6" i="6"/>
  <c r="F6" i="6" s="1"/>
  <c r="D168" i="6" s="1"/>
  <c r="D169" i="6" s="1"/>
  <c r="C7" i="6"/>
  <c r="F7" i="6" s="1"/>
  <c r="D192" i="6" s="1"/>
  <c r="D193" i="6" s="1"/>
  <c r="C8" i="6"/>
  <c r="F8" i="6" s="1"/>
  <c r="D216" i="6" s="1"/>
  <c r="D217" i="6" s="1"/>
  <c r="C9" i="6"/>
  <c r="F9" i="6" s="1"/>
  <c r="D240" i="6" s="1"/>
  <c r="D241" i="6" s="1"/>
  <c r="E15" i="6"/>
  <c r="F15" i="6"/>
  <c r="E16" i="6"/>
  <c r="F16" i="6"/>
  <c r="E17" i="6"/>
  <c r="F17" i="6"/>
  <c r="E18" i="6"/>
  <c r="F18" i="6"/>
  <c r="E19" i="6"/>
  <c r="F19" i="6"/>
  <c r="C25" i="6"/>
  <c r="E25" i="6" s="1"/>
  <c r="C26" i="6"/>
  <c r="E26" i="6" s="1"/>
  <c r="C27" i="6"/>
  <c r="E27" i="6" s="1"/>
  <c r="C28" i="6"/>
  <c r="E28" i="6" s="1"/>
  <c r="C46" i="5"/>
  <c r="C36" i="5"/>
  <c r="C26" i="5"/>
  <c r="C29" i="5" s="1"/>
  <c r="C66" i="5" s="1"/>
  <c r="D251" i="6" s="1"/>
  <c r="C40" i="4"/>
  <c r="C30" i="4"/>
  <c r="C20" i="4"/>
  <c r="C23" i="4" s="1"/>
  <c r="C61" i="4" s="1"/>
  <c r="D227" i="6" s="1"/>
  <c r="F6" i="13" l="1"/>
  <c r="G5" i="13"/>
  <c r="D144" i="6"/>
  <c r="D145" i="6" s="1"/>
  <c r="D175" i="6"/>
  <c r="D223" i="6"/>
  <c r="G17" i="6"/>
  <c r="D148" i="6"/>
  <c r="D151" i="6"/>
  <c r="D220" i="6"/>
  <c r="D196" i="6"/>
  <c r="D172" i="6"/>
  <c r="D247" i="6"/>
  <c r="D199" i="6"/>
  <c r="G16" i="6"/>
  <c r="G18" i="6"/>
  <c r="G15" i="6"/>
  <c r="D146" i="6" s="1"/>
  <c r="D147" i="6" s="1"/>
  <c r="G19" i="6"/>
  <c r="B51" i="5"/>
  <c r="D234" i="6" s="1"/>
  <c r="D235" i="6" s="1"/>
  <c r="C39" i="5"/>
  <c r="C69" i="5" s="1"/>
  <c r="D254" i="6" s="1"/>
  <c r="C33" i="4"/>
  <c r="C64" i="4" s="1"/>
  <c r="D230" i="6" s="1"/>
  <c r="B45" i="4"/>
  <c r="D210" i="6" s="1"/>
  <c r="D211" i="6" s="1"/>
  <c r="C32" i="3"/>
  <c r="C44" i="3"/>
  <c r="C24" i="3"/>
  <c r="C27" i="3" s="1"/>
  <c r="C63" i="3" s="1"/>
  <c r="D203" i="6" s="1"/>
  <c r="C24" i="2"/>
  <c r="C69" i="2" s="1"/>
  <c r="D178" i="6" s="1"/>
  <c r="C22" i="2"/>
  <c r="C68" i="2" s="1"/>
  <c r="D177" i="6" s="1"/>
  <c r="C19" i="1"/>
  <c r="C71" i="1" s="1"/>
  <c r="D153" i="6" s="1"/>
  <c r="C47" i="2"/>
  <c r="G6" i="13" l="1"/>
  <c r="F7" i="13"/>
  <c r="C34" i="3"/>
  <c r="C37" i="3" s="1"/>
  <c r="C66" i="3" s="1"/>
  <c r="D206" i="6" s="1"/>
  <c r="C65" i="3"/>
  <c r="D205" i="6" s="1"/>
  <c r="D194" i="6"/>
  <c r="D195" i="6" s="1"/>
  <c r="D170" i="6"/>
  <c r="D171" i="6" s="1"/>
  <c r="D218" i="6"/>
  <c r="D219" i="6" s="1"/>
  <c r="D242" i="6"/>
  <c r="D243" i="6" s="1"/>
  <c r="B52" i="5"/>
  <c r="D236" i="6" s="1"/>
  <c r="D237" i="6" s="1"/>
  <c r="C49" i="5"/>
  <c r="B46" i="4"/>
  <c r="D212" i="6" s="1"/>
  <c r="D213" i="6" s="1"/>
  <c r="C43" i="4"/>
  <c r="B49" i="3"/>
  <c r="D186" i="6" s="1"/>
  <c r="D187" i="6" s="1"/>
  <c r="C27" i="2"/>
  <c r="C30" i="2" s="1"/>
  <c r="C37" i="2"/>
  <c r="C45" i="1"/>
  <c r="C31" i="1"/>
  <c r="C23" i="1"/>
  <c r="C33" i="1"/>
  <c r="G7" i="13" l="1"/>
  <c r="F8" i="13"/>
  <c r="B47" i="4"/>
  <c r="D214" i="6" s="1"/>
  <c r="D215" i="6" s="1"/>
  <c r="C67" i="4"/>
  <c r="D233" i="6" s="1"/>
  <c r="C75" i="1"/>
  <c r="D157" i="6" s="1"/>
  <c r="B53" i="5"/>
  <c r="D238" i="6" s="1"/>
  <c r="D239" i="6" s="1"/>
  <c r="C72" i="5"/>
  <c r="D257" i="6" s="1"/>
  <c r="B52" i="2"/>
  <c r="D162" i="6" s="1"/>
  <c r="D163" i="6" s="1"/>
  <c r="C70" i="2"/>
  <c r="D179" i="6" s="1"/>
  <c r="B54" i="5"/>
  <c r="C39" i="6" s="1"/>
  <c r="D245" i="6" s="1"/>
  <c r="D246" i="6" s="1"/>
  <c r="B48" i="4"/>
  <c r="C38" i="6" s="1"/>
  <c r="D221" i="6" s="1"/>
  <c r="D222" i="6" s="1"/>
  <c r="B50" i="3"/>
  <c r="D188" i="6" s="1"/>
  <c r="D189" i="6" s="1"/>
  <c r="C47" i="3"/>
  <c r="C40" i="2"/>
  <c r="C35" i="1"/>
  <c r="C26" i="1"/>
  <c r="C73" i="1" s="1"/>
  <c r="D155" i="6" s="1"/>
  <c r="F9" i="13" l="1"/>
  <c r="G8" i="13"/>
  <c r="C50" i="2"/>
  <c r="C73" i="2"/>
  <c r="D182" i="6" s="1"/>
  <c r="B51" i="3"/>
  <c r="D190" i="6" s="1"/>
  <c r="D191" i="6" s="1"/>
  <c r="C69" i="3"/>
  <c r="D209" i="6" s="1"/>
  <c r="B50" i="1"/>
  <c r="D138" i="6" s="1"/>
  <c r="D139" i="6" s="1"/>
  <c r="B53" i="2"/>
  <c r="C38" i="1"/>
  <c r="C76" i="1" s="1"/>
  <c r="D158" i="6" s="1"/>
  <c r="G9" i="13" l="1"/>
  <c r="F10" i="13"/>
  <c r="B54" i="2"/>
  <c r="D166" i="6" s="1"/>
  <c r="D167" i="6" s="1"/>
  <c r="C76" i="2"/>
  <c r="D185" i="6" s="1"/>
  <c r="D164" i="6"/>
  <c r="D165" i="6" s="1"/>
  <c r="B52" i="3"/>
  <c r="C37" i="6" s="1"/>
  <c r="D197" i="6" s="1"/>
  <c r="D198" i="6" s="1"/>
  <c r="C48" i="1"/>
  <c r="B51" i="1"/>
  <c r="D140" i="6" s="1"/>
  <c r="D141" i="6" s="1"/>
  <c r="G10" i="13" l="1"/>
  <c r="F11" i="13"/>
  <c r="B52" i="1"/>
  <c r="D142" i="6" s="1"/>
  <c r="D143" i="6" s="1"/>
  <c r="C79" i="1"/>
  <c r="D161" i="6" s="1"/>
  <c r="B55" i="2"/>
  <c r="C36" i="6" s="1"/>
  <c r="D173" i="6" s="1"/>
  <c r="D174" i="6" s="1"/>
  <c r="G11" i="13" l="1"/>
  <c r="F12" i="13"/>
  <c r="B53" i="1"/>
  <c r="C35" i="6" s="1"/>
  <c r="D149" i="6" s="1"/>
  <c r="D150" i="6" s="1"/>
  <c r="G12" i="13" l="1"/>
  <c r="F13" i="13"/>
  <c r="F14" i="13" l="1"/>
  <c r="G14" i="13" s="1"/>
  <c r="G13" i="13"/>
</calcChain>
</file>

<file path=xl/sharedStrings.xml><?xml version="1.0" encoding="utf-8"?>
<sst xmlns="http://schemas.openxmlformats.org/spreadsheetml/2006/main" count="677" uniqueCount="137">
  <si>
    <t>Días de trabajo</t>
  </si>
  <si>
    <t xml:space="preserve">Averías </t>
  </si>
  <si>
    <t>Calentamiento del motor</t>
  </si>
  <si>
    <t>Velocidad reducida</t>
  </si>
  <si>
    <t>Reducción de la capacidad de levantamiento</t>
  </si>
  <si>
    <t>Reducción de velocidad de desplazamiento</t>
  </si>
  <si>
    <t>T. programado(min)</t>
  </si>
  <si>
    <t>TOTAL</t>
  </si>
  <si>
    <t>TIEMPO OPERATIVO</t>
  </si>
  <si>
    <t>TIEMPO DE FUNCIONAMIENTO</t>
  </si>
  <si>
    <t>TIEMPO PRODUCTICO</t>
  </si>
  <si>
    <t>DISPONIBILIDAD</t>
  </si>
  <si>
    <t xml:space="preserve">RENDIMIENTO </t>
  </si>
  <si>
    <t>CALIDAD</t>
  </si>
  <si>
    <t>OEE</t>
  </si>
  <si>
    <t>Preparación y ajustes</t>
  </si>
  <si>
    <t>-</t>
  </si>
  <si>
    <t>Tiempo en vacio y paradas cortas</t>
  </si>
  <si>
    <t xml:space="preserve">Defectos de calidad </t>
  </si>
  <si>
    <t>Desgarro de manguera</t>
  </si>
  <si>
    <t>Configuración del equipo</t>
  </si>
  <si>
    <t>Neumático desinflado</t>
  </si>
  <si>
    <t>Averías</t>
  </si>
  <si>
    <t>Espera por materiales</t>
  </si>
  <si>
    <t>Rozamiento del tambor</t>
  </si>
  <si>
    <t>Recarga de aceite</t>
  </si>
  <si>
    <t>Reduccion en la exigencia de la máquina</t>
  </si>
  <si>
    <t>Preparación y ajuste</t>
  </si>
  <si>
    <t>Mezcladora de cemento</t>
  </si>
  <si>
    <t>Rodillos</t>
  </si>
  <si>
    <t>Minicargador</t>
  </si>
  <si>
    <t>Compresor neumático</t>
  </si>
  <si>
    <t>Retroexcavadora</t>
  </si>
  <si>
    <t>MTTR</t>
  </si>
  <si>
    <t>N° de reparaciones correctivas</t>
  </si>
  <si>
    <t>Tiempo total de reparaciones correctivas</t>
  </si>
  <si>
    <t>Máquinas</t>
  </si>
  <si>
    <t>CÁLCULO DE LA MANTENIBILIDAD</t>
  </si>
  <si>
    <t>Confiabilidad</t>
  </si>
  <si>
    <t>Tiempo operacional</t>
  </si>
  <si>
    <t>MTBF</t>
  </si>
  <si>
    <t>N° paradas correctivas /averias/por fallos</t>
  </si>
  <si>
    <t>Tiempo de carga</t>
  </si>
  <si>
    <t>CÁLCULO DE LA CONFIABILIDAD</t>
  </si>
  <si>
    <t>Disponibilidad</t>
  </si>
  <si>
    <t>Paradas no programadas</t>
  </si>
  <si>
    <t>Paradas programadas</t>
  </si>
  <si>
    <t>Horas laborales de la empresa</t>
  </si>
  <si>
    <t>CÁLCULO DE LA DISPONIBILIDAD</t>
  </si>
  <si>
    <t>CÁLCULO DEL OEE</t>
  </si>
  <si>
    <t>Indicador</t>
  </si>
  <si>
    <t>Resultado Obtenido</t>
  </si>
  <si>
    <t>Etiquetas de fila</t>
  </si>
  <si>
    <t>T Operativo</t>
  </si>
  <si>
    <t>T Planificado</t>
  </si>
  <si>
    <t>Puesta en marcha</t>
  </si>
  <si>
    <t>T Funcionamiento</t>
  </si>
  <si>
    <t>T vacío y paradas cortas</t>
  </si>
  <si>
    <t>T Productivo</t>
  </si>
  <si>
    <t>Mezcladora</t>
  </si>
  <si>
    <t>Etiquetas de columna</t>
  </si>
  <si>
    <t>Suma de Resultado Obtenido</t>
  </si>
  <si>
    <t>Disponibilidad Propia</t>
  </si>
  <si>
    <t>Disponibilidad C</t>
  </si>
  <si>
    <t>Rendimiento</t>
  </si>
  <si>
    <t>Rendimiento C</t>
  </si>
  <si>
    <t>Calidad</t>
  </si>
  <si>
    <t>Calidad C</t>
  </si>
  <si>
    <t>Eficiencia Global</t>
  </si>
  <si>
    <t>Eficiencia Global C</t>
  </si>
  <si>
    <t>Disponibilidad Propia C</t>
  </si>
  <si>
    <t>Confiabilidad C</t>
  </si>
  <si>
    <t xml:space="preserve">Remplazar maquinas en mal estado </t>
  </si>
  <si>
    <t>% de Sobretiempo</t>
  </si>
  <si>
    <t>Clima y cultura en la organización</t>
  </si>
  <si>
    <t>Implementar uso ordenes de trabajo y registros</t>
  </si>
  <si>
    <t>Utilización de base de datos</t>
  </si>
  <si>
    <t>Informes y reportes</t>
  </si>
  <si>
    <t>Elaborar y adquirir un listado de herramientas básicas para el mantenimiento</t>
  </si>
  <si>
    <t>Implementar un kit antiderrame por maquinaria</t>
  </si>
  <si>
    <t>Elaborar un listado de repuestos críticos</t>
  </si>
  <si>
    <t>Tercerización del servicio de mantenimiento</t>
  </si>
  <si>
    <t>Capacitación del personal en un curso de maquinaria pesada</t>
  </si>
  <si>
    <t>Rendimiento del personal operative</t>
  </si>
  <si>
    <t>Controlar de compras y servicios</t>
  </si>
  <si>
    <t>Elaboración de presupuesto mensual y anual</t>
  </si>
  <si>
    <t>Presupuesto para el mantenimiento</t>
  </si>
  <si>
    <t xml:space="preserve">Crear Manual de Organización y Funciones  </t>
  </si>
  <si>
    <t>Organización de la empresa</t>
  </si>
  <si>
    <t>Planificar y pronosticar un abastecimiento de recursos mensualmente</t>
  </si>
  <si>
    <t xml:space="preserve">Elaborar lista de proveedores </t>
  </si>
  <si>
    <t>Abastecimiento de recursos para el personal de mantenimiento</t>
  </si>
  <si>
    <t>Realizar y difundir manuales de operación de maquinaria</t>
  </si>
  <si>
    <t>Disponibilidad de máquinas</t>
  </si>
  <si>
    <t>Contratación de personal calificado para apoyo</t>
  </si>
  <si>
    <t>Rendimiento del personal operativo</t>
  </si>
  <si>
    <t>Contratación de un planner de mantenimiento</t>
  </si>
  <si>
    <t>Eficiencia del personal de mantenimiento</t>
  </si>
  <si>
    <t xml:space="preserve">Difusión del plan de mantenimiento </t>
  </si>
  <si>
    <t>Elaborar un plan de mantenimiento predictivo y preventivo</t>
  </si>
  <si>
    <t>Implementación del plan de mantenimiento</t>
  </si>
  <si>
    <t>Aspectos para evaluar</t>
  </si>
  <si>
    <t>Item</t>
  </si>
  <si>
    <t>Resultado</t>
  </si>
  <si>
    <t>Puntuación</t>
  </si>
  <si>
    <t>%</t>
  </si>
  <si>
    <t>eco 260</t>
  </si>
  <si>
    <t>JCB</t>
  </si>
  <si>
    <t>Mini cargador</t>
  </si>
  <si>
    <t>3CX</t>
  </si>
  <si>
    <t>246C</t>
  </si>
  <si>
    <t>CATERPILLAR</t>
  </si>
  <si>
    <t>XAS375</t>
  </si>
  <si>
    <t>Atlas COPCO</t>
  </si>
  <si>
    <t>Compresor Neumático</t>
  </si>
  <si>
    <t>TX860B</t>
  </si>
  <si>
    <t>TEREX</t>
  </si>
  <si>
    <t>330BL</t>
  </si>
  <si>
    <t>Excavadora sobre Orugas</t>
  </si>
  <si>
    <t>TX760B</t>
  </si>
  <si>
    <t>Mariner 35G</t>
  </si>
  <si>
    <t>CC 102</t>
  </si>
  <si>
    <t>DYNAPAC</t>
  </si>
  <si>
    <t>S 630</t>
  </si>
  <si>
    <t>BOBCAT</t>
  </si>
  <si>
    <t>375H</t>
  </si>
  <si>
    <t>SULLAIR</t>
  </si>
  <si>
    <t>3C</t>
  </si>
  <si>
    <t>%G.I Acumulado</t>
  </si>
  <si>
    <t>G.I Acumulado</t>
  </si>
  <si>
    <t>% G.I</t>
  </si>
  <si>
    <t>G.I</t>
  </si>
  <si>
    <t>Modelo</t>
  </si>
  <si>
    <t xml:space="preserve">Marca </t>
  </si>
  <si>
    <t xml:space="preserve">Tipos </t>
  </si>
  <si>
    <t xml:space="preserve">Análisis de Criticidad </t>
  </si>
  <si>
    <t>Promoveer reuniones y el trabajo en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</si>
</sst>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86D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/>
  </cellStyleXfs>
  <cellXfs count="125">
    <xf numFmtId="0" fontId="0" fillId="0" borderId="0" xfId="0"/>
    <xf numFmtId="0" fontId="0" fillId="0" borderId="1" xfId="0" applyBorder="1"/>
    <xf numFmtId="0" fontId="0" fillId="0" borderId="6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5" xfId="0" applyFont="1" applyBorder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1" xfId="0" applyNumberFormat="1" applyBorder="1"/>
    <xf numFmtId="0" fontId="1" fillId="3" borderId="1" xfId="0" applyFont="1" applyFill="1" applyBorder="1"/>
    <xf numFmtId="10" fontId="1" fillId="3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 applyAlignment="1">
      <alignment wrapText="1"/>
    </xf>
    <xf numFmtId="9" fontId="2" fillId="0" borderId="1" xfId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wrapText="1"/>
    </xf>
    <xf numFmtId="9" fontId="2" fillId="0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wrapText="1"/>
    </xf>
    <xf numFmtId="10" fontId="2" fillId="0" borderId="1" xfId="1" applyNumberFormat="1" applyFont="1" applyBorder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2" fillId="0" borderId="1" xfId="1" applyNumberFormat="1" applyFont="1" applyBorder="1" applyAlignment="1">
      <alignment horizontal="center" wrapText="1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6" fillId="0" borderId="0" xfId="2"/>
    <xf numFmtId="0" fontId="7" fillId="0" borderId="0" xfId="2" applyFont="1"/>
    <xf numFmtId="0" fontId="4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9" fontId="0" fillId="0" borderId="0" xfId="0" applyNumberFormat="1"/>
    <xf numFmtId="9" fontId="0" fillId="0" borderId="1" xfId="0" applyNumberFormat="1" applyBorder="1" applyAlignment="1">
      <alignment horizontal="center"/>
    </xf>
    <xf numFmtId="9" fontId="9" fillId="0" borderId="0" xfId="0" applyNumberFormat="1" applyFont="1" applyAlignment="1">
      <alignment vertical="center"/>
    </xf>
    <xf numFmtId="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9" fontId="13" fillId="0" borderId="1" xfId="1" applyFont="1" applyBorder="1"/>
    <xf numFmtId="0" fontId="13" fillId="0" borderId="1" xfId="0" applyFont="1" applyBorder="1"/>
    <xf numFmtId="9" fontId="13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87382E41-48B0-4EEB-A482-94DF8D8AB109}"/>
    <cellStyle name="Porcentaje" xfId="1" builtinId="5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4" tint="0.79998168889431442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4" tint="0.79998168889431442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2"/>
        <color theme="0"/>
        <name val="Calibri"/>
        <family val="2"/>
        <scheme val="none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24"/>
        <name val="Calibri"/>
        <family val="2"/>
        <scheme val="minor"/>
      </font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5" defaultTableStyle="TableStyleMedium2" defaultPivotStyle="PivotStyleLight16">
    <tableStyle name="Custom Style" pivot="0" table="0" count="10" xr9:uid="{F52E5BE7-3E0F-4945-B5CD-EDAB8660F786}">
      <tableStyleElement type="wholeTable" dxfId="35"/>
      <tableStyleElement type="headerRow" dxfId="34"/>
    </tableStyle>
    <tableStyle name="Custom Style 2" pivot="0" table="0" count="10" xr9:uid="{F0EA3469-B770-441A-98C4-586F7BE4A5DF}">
      <tableStyleElement type="wholeTable" dxfId="33"/>
      <tableStyleElement type="headerRow" dxfId="32"/>
    </tableStyle>
    <tableStyle name="Custom Style 3" pivot="0" table="0" count="10" xr9:uid="{B9DF67E0-B703-41F2-B7D5-2505D1C9E204}">
      <tableStyleElement type="wholeTable" dxfId="31"/>
      <tableStyleElement type="headerRow" dxfId="30"/>
    </tableStyle>
    <tableStyle name="Custom Style 4" pivot="0" table="0" count="10" xr9:uid="{00004D03-3739-41E9-A9CA-C2751999658C}">
      <tableStyleElement type="wholeTable" dxfId="29"/>
      <tableStyleElement type="headerRow" dxfId="28"/>
    </tableStyle>
    <tableStyle name="Estilo de segmentación de datos 1" pivot="0" table="0" count="1" xr9:uid="{1A9D2177-1913-4D6F-BFC1-C81EDCB23CE2}">
      <tableStyleElement type="wholeTable" dxfId="27"/>
    </tableStyle>
    <tableStyle name="Filtros" pivot="0" table="0" count="10" xr9:uid="{A40CAF72-DC2F-4873-A273-6F3A47FC1718}">
      <tableStyleElement type="wholeTable" dxfId="26"/>
      <tableStyleElement type="headerRow" dxfId="25"/>
    </tableStyle>
    <tableStyle name="SlicerStyleDark1 2" pivot="0" table="0" count="10" xr9:uid="{AB83B42D-23CF-468F-BCED-55D278BEEAC8}">
      <tableStyleElement type="wholeTable" dxfId="24"/>
      <tableStyleElement type="headerRow" dxfId="23"/>
    </tableStyle>
    <tableStyle name="SlicerStyleDark1 2 10" pivot="0" table="0" count="10" xr9:uid="{AB4D2A56-5031-4337-8541-99BDF592B8C6}">
      <tableStyleElement type="wholeTable" dxfId="22"/>
      <tableStyleElement type="headerRow" dxfId="21"/>
    </tableStyle>
    <tableStyle name="SlicerStyleDark1 2 2" pivot="0" table="0" count="10" xr9:uid="{D2FD611D-3571-494D-85DF-E92DFC70BA5C}">
      <tableStyleElement type="wholeTable" dxfId="20"/>
      <tableStyleElement type="headerRow" dxfId="19"/>
    </tableStyle>
    <tableStyle name="SlicerStyleDark1 2 4" pivot="0" table="0" count="10" xr9:uid="{9111589D-D20F-4D8A-A7BD-FCFF41468C85}">
      <tableStyleElement type="wholeTable" dxfId="18"/>
      <tableStyleElement type="headerRow" dxfId="17"/>
    </tableStyle>
    <tableStyle name="SlicerStyleDark1 2 5" pivot="0" table="0" count="10" xr9:uid="{40011782-52E9-415C-9EC0-6E9ABA3AB970}">
      <tableStyleElement type="wholeTable" dxfId="16"/>
      <tableStyleElement type="headerRow" dxfId="15"/>
    </tableStyle>
    <tableStyle name="SlicerStyleDark1 2 6" pivot="0" table="0" count="10" xr9:uid="{B1E9EEC9-2254-42C5-97AD-60D919767361}">
      <tableStyleElement type="wholeTable" dxfId="14"/>
      <tableStyleElement type="headerRow" dxfId="13"/>
    </tableStyle>
    <tableStyle name="SlicerStyleDark1 2 7" pivot="0" table="0" count="10" xr9:uid="{0C6C95B3-166D-4568-B26D-80383E6D3B99}">
      <tableStyleElement type="wholeTable" dxfId="12"/>
      <tableStyleElement type="headerRow" dxfId="11"/>
    </tableStyle>
    <tableStyle name="SlicerStyleDark1 2 8" pivot="0" table="0" count="10" xr9:uid="{C39B9D0F-10C7-4EA3-85B0-6B0EEBCA255A}">
      <tableStyleElement type="wholeTable" dxfId="10"/>
      <tableStyleElement type="headerRow" dxfId="9"/>
    </tableStyle>
    <tableStyle name="SlicerStyleDark1 2 9" pivot="0" table="0" count="10" xr9:uid="{E3B886C7-740A-4799-A097-C2099433FEB2}">
      <tableStyleElement type="wholeTable" dxfId="8"/>
      <tableStyleElement type="headerRow" dxfId="7"/>
    </tableStyle>
  </tableStyles>
  <colors>
    <mruColors>
      <color rgb="FFFFE699"/>
      <color rgb="FFED7D31"/>
      <color rgb="FFF8CBAD"/>
      <color rgb="FFBDD7EE"/>
      <color rgb="FF1E86DC"/>
      <color rgb="FFBDEEE1"/>
      <color rgb="FFC6E0B4"/>
    </mruColors>
  </colors>
  <extLst>
    <ext xmlns:x14="http://schemas.microsoft.com/office/spreadsheetml/2009/9/main" uri="{46F421CA-312F-682f-3DD2-61675219B42D}">
      <x14:dxfs count="11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theme="4" tint="-0.249977111117893"/>
            <name val="Calibri"/>
            <family val="2"/>
            <scheme val="minor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 val="0"/>
            <i val="0"/>
            <sz val="24"/>
            <color theme="0"/>
            <name val="Calibri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 val="0"/>
            <i val="0"/>
            <sz val="24"/>
            <color rgb="FF959595"/>
            <name val="Calibri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111"/>
            <x14:slicerStyleElement type="unselectedItemWithNoData" dxfId="110"/>
            <x14:slicerStyleElement type="selectedItemWithData" dxfId="109"/>
            <x14:slicerStyleElement type="selectedItemWithNoData" dxfId="108"/>
            <x14:slicerStyleElement type="hoveredUnselectedItemWithData" dxfId="107"/>
            <x14:slicerStyleElement type="hoveredSelectedItemWithData" dxfId="106"/>
            <x14:slicerStyleElement type="hoveredUnselectedItemWithNoData" dxfId="105"/>
            <x14:slicerStyleElement type="hoveredSelectedItemWithNoData" dxfId="104"/>
          </x14:slicerStyleElements>
        </x14:slicerStyle>
        <x14:slicerStyle name="Custom Style 2">
          <x14:slicerStyleElements>
            <x14:slicerStyleElement type="unselectedItemWithData" dxfId="103"/>
            <x14:slicerStyleElement type="unselectedItemWithNoData" dxfId="102"/>
            <x14:slicerStyleElement type="selectedItemWithData" dxfId="101"/>
            <x14:slicerStyleElement type="selectedItemWithNoData" dxfId="100"/>
            <x14:slicerStyleElement type="hoveredUnselectedItemWithData" dxfId="99"/>
            <x14:slicerStyleElement type="hoveredSelectedItemWithData" dxfId="98"/>
            <x14:slicerStyleElement type="hoveredUnselectedItemWithNoData" dxfId="97"/>
            <x14:slicerStyleElement type="hoveredSelectedItemWithNoData" dxfId="96"/>
          </x14:slicerStyleElements>
        </x14:slicerStyle>
        <x14:slicerStyle name="Custom Style 3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Custom Style 4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Estilo de segmentación de datos 1"/>
        <x14:slicerStyle name="Filtros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SlicerStyleDark1 2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SlicerStyleDark1 2 10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SlicerStyleDark1 2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Dark1 2 4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Dark1 2 5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Dark1 2 6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1 2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1 2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2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</a:t>
            </a:r>
            <a:r>
              <a:rPr lang="es-PE" baseline="0"/>
              <a:t> Pareto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CRITICIDAD!$A$3:$A$14</c:f>
              <c:strCache>
                <c:ptCount val="12"/>
                <c:pt idx="0">
                  <c:v>Retroexcavadora</c:v>
                </c:pt>
                <c:pt idx="1">
                  <c:v>Compresor Neumático</c:v>
                </c:pt>
                <c:pt idx="2">
                  <c:v>Mini cargador</c:v>
                </c:pt>
                <c:pt idx="3">
                  <c:v>Rodillos</c:v>
                </c:pt>
                <c:pt idx="4">
                  <c:v>Mezcladora de cemento</c:v>
                </c:pt>
                <c:pt idx="5">
                  <c:v>Retroexcavadora</c:v>
                </c:pt>
                <c:pt idx="6">
                  <c:v>Excavadora sobre Orugas</c:v>
                </c:pt>
                <c:pt idx="7">
                  <c:v>Retroexcavadora</c:v>
                </c:pt>
                <c:pt idx="8">
                  <c:v>Compresor Neumático</c:v>
                </c:pt>
                <c:pt idx="9">
                  <c:v>Mini cargador</c:v>
                </c:pt>
                <c:pt idx="10">
                  <c:v>Retroexcavadora</c:v>
                </c:pt>
                <c:pt idx="11">
                  <c:v>Mini cargador</c:v>
                </c:pt>
              </c:strCache>
            </c:strRef>
          </c:cat>
          <c:val>
            <c:numRef>
              <c:f>CRITICIDAD!$D$3:$D$14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6-40A0-8FE1-1B76C655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043760"/>
        <c:axId val="14960475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CRITICIDAD!$G$3:$G$14</c:f>
              <c:numCache>
                <c:formatCode>0%</c:formatCode>
                <c:ptCount val="12"/>
                <c:pt idx="0">
                  <c:v>0.10869565217391304</c:v>
                </c:pt>
                <c:pt idx="1">
                  <c:v>0.21739130434782608</c:v>
                </c:pt>
                <c:pt idx="2">
                  <c:v>0.32608695652173914</c:v>
                </c:pt>
                <c:pt idx="3">
                  <c:v>0.43478260869565216</c:v>
                </c:pt>
                <c:pt idx="4">
                  <c:v>0.54347826086956519</c:v>
                </c:pt>
                <c:pt idx="5">
                  <c:v>0.63043478260869568</c:v>
                </c:pt>
                <c:pt idx="6">
                  <c:v>0.71739130434782605</c:v>
                </c:pt>
                <c:pt idx="7">
                  <c:v>0.78260869565217395</c:v>
                </c:pt>
                <c:pt idx="8">
                  <c:v>0.84782608695652173</c:v>
                </c:pt>
                <c:pt idx="9">
                  <c:v>0.91304347826086951</c:v>
                </c:pt>
                <c:pt idx="10">
                  <c:v>0.95652173913043481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6-40A0-8FE1-1B76C655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016592"/>
        <c:axId val="1608019504"/>
      </c:lineChart>
      <c:catAx>
        <c:axId val="14960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6047504"/>
        <c:crosses val="autoZero"/>
        <c:auto val="1"/>
        <c:lblAlgn val="ctr"/>
        <c:lblOffset val="100"/>
        <c:noMultiLvlLbl val="0"/>
      </c:catAx>
      <c:valAx>
        <c:axId val="1496047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6043760"/>
        <c:crosses val="autoZero"/>
        <c:crossBetween val="between"/>
      </c:valAx>
      <c:valAx>
        <c:axId val="160801950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8016592"/>
        <c:crosses val="max"/>
        <c:crossBetween val="between"/>
      </c:valAx>
      <c:catAx>
        <c:axId val="1608016592"/>
        <c:scaling>
          <c:orientation val="minMax"/>
        </c:scaling>
        <c:delete val="1"/>
        <c:axPos val="t"/>
        <c:majorTickMark val="out"/>
        <c:minorTickMark val="none"/>
        <c:tickLblPos val="nextTo"/>
        <c:crossAx val="16080195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[MSSO-TAF.xlsx]KPI!TablaDinámica8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noFill/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 w="12700">
            <a:solidFill>
              <a:schemeClr val="bg1">
                <a:alpha val="97000"/>
              </a:schemeClr>
            </a:solidFill>
          </a:ln>
          <a:effectLst/>
        </c:spPr>
      </c:pivotFmt>
      <c:pivotFmt>
        <c:idx val="13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noFill/>
          <a:ln w="12700"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KPI!$C$281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2700">
                <a:solidFill>
                  <a:schemeClr val="bg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17-4BD4-8B12-A47E934DCF21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C17-4BD4-8B12-A47E934DCF21}"/>
              </c:ext>
            </c:extLst>
          </c:dPt>
          <c:cat>
            <c:multiLvlStrRef>
              <c:f>KPI!$B$282:$B$284</c:f>
              <c:multiLvlStrCache>
                <c:ptCount val="2"/>
                <c:lvl>
                  <c:pt idx="0">
                    <c:v>Disponibilidad</c:v>
                  </c:pt>
                  <c:pt idx="1">
                    <c:v>Disponibilidad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KPI!$C$282:$C$284</c:f>
              <c:numCache>
                <c:formatCode>0.00%</c:formatCode>
                <c:ptCount val="2"/>
                <c:pt idx="0">
                  <c:v>0.78333333333333333</c:v>
                </c:pt>
                <c:pt idx="1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17-4BD4-8B12-A47E934D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[MSSO-TAF.xlsx]KPI!TablaDinámica10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>
            <a:noFill/>
          </a:ln>
          <a:effectLst/>
        </c:spPr>
      </c:pivotFmt>
      <c:pivotFmt>
        <c:idx val="16"/>
        <c:spPr>
          <a:solidFill>
            <a:schemeClr val="bg1"/>
          </a:solidFill>
          <a:ln>
            <a:noFill/>
          </a:ln>
          <a:effectLst/>
        </c:spPr>
      </c:pivotFmt>
      <c:pivotFmt>
        <c:idx val="17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KPI!$F$281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8E-4353-9D75-2ADF8183A7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8E-4353-9D75-2ADF8183A7D6}"/>
              </c:ext>
            </c:extLst>
          </c:dPt>
          <c:cat>
            <c:multiLvlStrRef>
              <c:f>KPI!$E$282:$E$284</c:f>
              <c:multiLvlStrCache>
                <c:ptCount val="2"/>
                <c:lvl>
                  <c:pt idx="0">
                    <c:v>Rendimiento</c:v>
                  </c:pt>
                  <c:pt idx="1">
                    <c:v>Rendimiento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KPI!$F$282:$F$284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8E-4353-9D75-2ADF8183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[MSSO-TAF.xlsx]KPI!TablaDinámica11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KPI!$I$281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E-4812-9ED2-8EBF6A6736F9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E6E-4812-9ED2-8EBF6A6736F9}"/>
              </c:ext>
            </c:extLst>
          </c:dPt>
          <c:cat>
            <c:multiLvlStrRef>
              <c:f>KPI!$H$282:$H$284</c:f>
              <c:multiLvlStrCache>
                <c:ptCount val="2"/>
                <c:lvl>
                  <c:pt idx="0">
                    <c:v>Calidad</c:v>
                  </c:pt>
                  <c:pt idx="1">
                    <c:v>Calidad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KPI!$I$282:$I$284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E-4812-9ED2-8EBF6A67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[MSSO-TAF.xlsx]KPI!TablaDinámica13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4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5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KPI!$L$281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6-46C6-9CF6-2F5EF73234BE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E6-46C6-9CF6-2F5EF73234BE}"/>
              </c:ext>
            </c:extLst>
          </c:dPt>
          <c:cat>
            <c:multiLvlStrRef>
              <c:f>KPI!$K$282:$K$284</c:f>
              <c:multiLvlStrCache>
                <c:ptCount val="2"/>
                <c:lvl>
                  <c:pt idx="0">
                    <c:v>Eficiencia Global</c:v>
                  </c:pt>
                  <c:pt idx="1">
                    <c:v>Eficiencia Global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KPI!$L$282:$L$284</c:f>
              <c:numCache>
                <c:formatCode>0.00%</c:formatCode>
                <c:ptCount val="2"/>
                <c:pt idx="0">
                  <c:v>0.78333333333333333</c:v>
                </c:pt>
                <c:pt idx="1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6-46C6-9CF6-2F5EF732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[MSSO-TAF.xlsx]KPI!TablaDinámica14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noFill/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noFill/>
          <a:ln w="12700"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KPI!$O$281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87C-4E7A-A35E-3086B60218A9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7C-4E7A-A35E-3086B60218A9}"/>
              </c:ext>
            </c:extLst>
          </c:dPt>
          <c:cat>
            <c:multiLvlStrRef>
              <c:f>KPI!$N$282:$N$284</c:f>
              <c:multiLvlStrCache>
                <c:ptCount val="2"/>
                <c:lvl>
                  <c:pt idx="0">
                    <c:v>Disponibilidad Propia</c:v>
                  </c:pt>
                  <c:pt idx="1">
                    <c:v>Disponibilidad Propia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KPI!$O$282:$O$284</c:f>
              <c:numCache>
                <c:formatCode>0.00%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C-4E7A-A35E-3086B602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[MSSO-TAF.xlsx]KPI!TablaDinámica15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4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5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KPI!$R$281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EC-486A-B23D-0321A65EB0D4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EC-486A-B23D-0321A65EB0D4}"/>
              </c:ext>
            </c:extLst>
          </c:dPt>
          <c:cat>
            <c:multiLvlStrRef>
              <c:f>KPI!$Q$282:$Q$284</c:f>
              <c:multiLvlStrCache>
                <c:ptCount val="2"/>
                <c:lvl>
                  <c:pt idx="0">
                    <c:v>Confiabilidad</c:v>
                  </c:pt>
                  <c:pt idx="1">
                    <c:v>Confiabilidad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KPI!$R$282:$R$284</c:f>
              <c:numCache>
                <c:formatCode>0.00%</c:formatCode>
                <c:ptCount val="2"/>
                <c:pt idx="0">
                  <c:v>0.86170212765957455</c:v>
                </c:pt>
                <c:pt idx="1">
                  <c:v>0.13829787234042545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C-486A-B23D-0321A65E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3460363-5286-438A-921E-4A590356D5DC}" formatIdx="0">
          <cx:tx>
            <cx:txData>
              <cx:f>_xlchart.v1.1</cx:f>
              <cx:v>Compresor neumático</cx:v>
            </cx:txData>
          </cx:tx>
          <cx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6">
                    <a:alpha val="50000"/>
                    <a:lumMod val="100000"/>
                  </a:schemeClr>
                </a:gs>
                <a:gs pos="0">
                  <a:schemeClr val="accent1"/>
                </a:gs>
              </a:gsLst>
              <a:lin ang="7200000" scaled="0"/>
            </a:gradFill>
            <a:ln w="12700">
              <a:solidFill>
                <a:schemeClr val="bg1"/>
              </a:solidFill>
            </a:ln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s-ES" sz="16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bg1"/>
                </a:solidFill>
              </a:defRPr>
            </a:pPr>
            <a:endParaRPr lang="en-GB" sz="12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plotArea>
      <cx:plotAreaRegion>
        <cx:series layoutId="waterfall" uniqueId="{DFC6F04A-DD57-4EE3-9D8C-CD33CE9F8889}" formatIdx="0">
          <cx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6">
                    <a:alpha val="50000"/>
                    <a:lumMod val="100000"/>
                  </a:schemeClr>
                </a:gs>
                <a:gs pos="0">
                  <a:schemeClr val="accent1"/>
                </a:gs>
              </a:gsLst>
              <a:lin ang="7200000" scaled="0"/>
            </a:gradFill>
            <a:ln w="12700">
              <a:solidFill>
                <a:schemeClr val="bg1"/>
              </a:solidFill>
            </a:ln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s-ES" sz="16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bg1"/>
                </a:solidFill>
              </a:defRPr>
            </a:pPr>
            <a:endParaRPr lang="en-GB" sz="12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plotArea>
      <cx:plotAreaRegion>
        <cx:series layoutId="waterfall" uniqueId="{B312E261-528F-4D26-B0E3-9FB132A2ACF4}" formatIdx="0">
          <cx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6">
                    <a:alpha val="50000"/>
                    <a:lumMod val="100000"/>
                  </a:schemeClr>
                </a:gs>
                <a:gs pos="0">
                  <a:schemeClr val="accent1"/>
                </a:gs>
              </a:gsLst>
              <a:lin ang="7200000" scaled="0"/>
            </a:gradFill>
            <a:ln>
              <a:solidFill>
                <a:schemeClr val="bg1"/>
              </a:solidFill>
            </a:ln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s-ES" sz="16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bg1"/>
                </a:solidFill>
              </a:defRPr>
            </a:pPr>
            <a:endParaRPr lang="en-GB" sz="12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10.svg"/><Relationship Id="rId3" Type="http://schemas.microsoft.com/office/2014/relationships/chartEx" Target="../charts/chartEx1.xml"/><Relationship Id="rId7" Type="http://schemas.openxmlformats.org/officeDocument/2006/relationships/chart" Target="../charts/chart3.xml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8.svg"/><Relationship Id="rId16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microsoft.com/office/2014/relationships/chartEx" Target="../charts/chartEx3.xml"/><Relationship Id="rId15" Type="http://schemas.openxmlformats.org/officeDocument/2006/relationships/image" Target="../media/image12.svg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</xdr:row>
      <xdr:rowOff>95250</xdr:rowOff>
    </xdr:from>
    <xdr:to>
      <xdr:col>16</xdr:col>
      <xdr:colOff>381000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3C008-AB09-469A-9523-135F8417D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1419795</xdr:colOff>
      <xdr:row>14</xdr:row>
      <xdr:rowOff>98961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B5D7C8-3002-44AA-A9D8-E6A98424B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22205" cy="26519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346500</xdr:colOff>
      <xdr:row>17</xdr:row>
      <xdr:rowOff>106680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EC37-FBB9-441A-9948-E6685946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10880" cy="32156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172432</xdr:colOff>
      <xdr:row>14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9939FA-88C7-4024-BC44-543B27F84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292" cy="2560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61232</xdr:rowOff>
    </xdr:from>
    <xdr:to>
      <xdr:col>4</xdr:col>
      <xdr:colOff>197016</xdr:colOff>
      <xdr:row>9</xdr:row>
      <xdr:rowOff>54428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076DE0-1949-40D5-852C-C7F909829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232"/>
          <a:ext cx="5551427" cy="1646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670560</xdr:colOff>
      <xdr:row>17</xdr:row>
      <xdr:rowOff>88855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72A72-7C6C-44B6-9579-456A0552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234940" cy="31978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</xdr:row>
      <xdr:rowOff>127000</xdr:rowOff>
    </xdr:from>
    <xdr:to>
      <xdr:col>20</xdr:col>
      <xdr:colOff>520700</xdr:colOff>
      <xdr:row>7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F15C6-AEC6-4920-8D9C-95FEC8B2A983}"/>
            </a:ext>
          </a:extLst>
        </xdr:cNvPr>
        <xdr:cNvSpPr txBox="1"/>
      </xdr:nvSpPr>
      <xdr:spPr>
        <a:xfrm>
          <a:off x="8801100" y="727075"/>
          <a:ext cx="84836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 b="0" i="0">
              <a:solidFill>
                <a:schemeClr val="bg1"/>
              </a:solidFill>
              <a:latin typeface="Helvetica Light" panose="020B0403020202020204" pitchFamily="34" charset="0"/>
            </a:rPr>
            <a:t>Gestión</a:t>
          </a:r>
          <a:r>
            <a:rPr lang="en-US" sz="5400" b="0" i="0" baseline="0">
              <a:solidFill>
                <a:schemeClr val="bg1"/>
              </a:solidFill>
              <a:latin typeface="Helvetica Light" panose="020B0403020202020204" pitchFamily="34" charset="0"/>
            </a:rPr>
            <a:t> de Mantenimiento</a:t>
          </a:r>
          <a:endParaRPr lang="en-US" sz="5400" b="0" i="0">
            <a:solidFill>
              <a:schemeClr val="bg1"/>
            </a:solidFill>
            <a:latin typeface="Helvetica Light" panose="020B0403020202020204" pitchFamily="34" charset="0"/>
          </a:endParaRPr>
        </a:p>
      </xdr:txBody>
    </xdr:sp>
    <xdr:clientData/>
  </xdr:twoCellAnchor>
  <xdr:twoCellAnchor>
    <xdr:from>
      <xdr:col>10</xdr:col>
      <xdr:colOff>311728</xdr:colOff>
      <xdr:row>7</xdr:row>
      <xdr:rowOff>155864</xdr:rowOff>
    </xdr:from>
    <xdr:to>
      <xdr:col>20</xdr:col>
      <xdr:colOff>242454</xdr:colOff>
      <xdr:row>7</xdr:row>
      <xdr:rowOff>173182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09867A9E-CF1C-4CB7-88A1-1469D1B1CAB8}"/>
            </a:ext>
          </a:extLst>
        </xdr:cNvPr>
        <xdr:cNvCxnSpPr/>
      </xdr:nvCxnSpPr>
      <xdr:spPr>
        <a:xfrm flipV="1">
          <a:off x="8624455" y="1610591"/>
          <a:ext cx="8243454" cy="1731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787400</xdr:colOff>
      <xdr:row>7</xdr:row>
      <xdr:rowOff>177800</xdr:rowOff>
    </xdr:from>
    <xdr:to>
      <xdr:col>18</xdr:col>
      <xdr:colOff>482600</xdr:colOff>
      <xdr:row>11</xdr:row>
      <xdr:rowOff>139700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9E3DCA64-B4CF-43A5-9517-10E250DD1F86}"/>
            </a:ext>
          </a:extLst>
        </xdr:cNvPr>
        <xdr:cNvSpPr txBox="1"/>
      </xdr:nvSpPr>
      <xdr:spPr>
        <a:xfrm>
          <a:off x="10007600" y="1577975"/>
          <a:ext cx="55626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>
              <a:solidFill>
                <a:schemeClr val="bg1"/>
              </a:solidFill>
              <a:latin typeface="Helvetica Light" panose="020B0403020202020204" pitchFamily="34" charset="0"/>
            </a:rPr>
            <a:t>Auditoria de </a:t>
          </a:r>
          <a:r>
            <a:rPr lang="es-MX" sz="2800" b="0" i="0">
              <a:solidFill>
                <a:schemeClr val="bg1"/>
              </a:solidFill>
              <a:latin typeface="Helvetica Light" panose="020B0403020202020204" pitchFamily="34" charset="0"/>
              <a:ea typeface="+mn-ea"/>
              <a:cs typeface="+mn-cs"/>
            </a:rPr>
            <a:t>Vilcon SAC</a:t>
          </a:r>
          <a:endParaRPr lang="en-US" sz="2800" b="0" i="0">
            <a:solidFill>
              <a:schemeClr val="bg1"/>
            </a:solidFill>
            <a:latin typeface="Helvetica Light" panose="020B04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12</xdr:row>
      <xdr:rowOff>88900</xdr:rowOff>
    </xdr:from>
    <xdr:to>
      <xdr:col>25</xdr:col>
      <xdr:colOff>443073</xdr:colOff>
      <xdr:row>25</xdr:row>
      <xdr:rowOff>0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081BA1AD-70C7-459B-AA5D-BF18A4D31257}"/>
            </a:ext>
          </a:extLst>
        </xdr:cNvPr>
        <xdr:cNvSpPr/>
      </xdr:nvSpPr>
      <xdr:spPr>
        <a:xfrm>
          <a:off x="3858491" y="2582718"/>
          <a:ext cx="17366400" cy="2612737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554180</xdr:colOff>
      <xdr:row>26</xdr:row>
      <xdr:rowOff>0</xdr:rowOff>
    </xdr:from>
    <xdr:to>
      <xdr:col>25</xdr:col>
      <xdr:colOff>463853</xdr:colOff>
      <xdr:row>45</xdr:row>
      <xdr:rowOff>165100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2DFE3CD7-727A-4B5D-AC49-0617EC43C3C2}"/>
            </a:ext>
          </a:extLst>
        </xdr:cNvPr>
        <xdr:cNvSpPr/>
      </xdr:nvSpPr>
      <xdr:spPr>
        <a:xfrm>
          <a:off x="3879271" y="5403273"/>
          <a:ext cx="17366400" cy="4113645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457199</xdr:colOff>
      <xdr:row>12</xdr:row>
      <xdr:rowOff>38100</xdr:rowOff>
    </xdr:from>
    <xdr:to>
      <xdr:col>10</xdr:col>
      <xdr:colOff>380999</xdr:colOff>
      <xdr:row>16</xdr:row>
      <xdr:rowOff>0</xdr:rowOff>
    </xdr:to>
    <xdr:sp macro="" textlink="">
      <xdr:nvSpPr>
        <xdr:cNvPr id="10" name="TextBox 11">
          <a:extLst>
            <a:ext uri="{FF2B5EF4-FFF2-40B4-BE49-F238E27FC236}">
              <a16:creationId xmlns:a16="http://schemas.microsoft.com/office/drawing/2014/main" id="{0345200D-EA60-4288-A03F-C21DFF3C57FB}"/>
            </a:ext>
          </a:extLst>
        </xdr:cNvPr>
        <xdr:cNvSpPr txBox="1"/>
      </xdr:nvSpPr>
      <xdr:spPr>
        <a:xfrm>
          <a:off x="4613563" y="2531918"/>
          <a:ext cx="4080163" cy="7931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Tiempos</a:t>
          </a:r>
        </a:p>
      </xdr:txBody>
    </xdr:sp>
    <xdr:clientData/>
  </xdr:twoCellAnchor>
  <xdr:twoCellAnchor>
    <xdr:from>
      <xdr:col>5</xdr:col>
      <xdr:colOff>455346</xdr:colOff>
      <xdr:row>25</xdr:row>
      <xdr:rowOff>177800</xdr:rowOff>
    </xdr:from>
    <xdr:to>
      <xdr:col>15</xdr:col>
      <xdr:colOff>746661</xdr:colOff>
      <xdr:row>29</xdr:row>
      <xdr:rowOff>139700</xdr:rowOff>
    </xdr:to>
    <xdr:sp macro="" textlink="">
      <xdr:nvSpPr>
        <xdr:cNvPr id="12" name="TextBox 13">
          <a:extLst>
            <a:ext uri="{FF2B5EF4-FFF2-40B4-BE49-F238E27FC236}">
              <a16:creationId xmlns:a16="http://schemas.microsoft.com/office/drawing/2014/main" id="{AD0A6802-58B8-410B-AD06-D7433AB621DD}"/>
            </a:ext>
          </a:extLst>
        </xdr:cNvPr>
        <xdr:cNvSpPr txBox="1"/>
      </xdr:nvSpPr>
      <xdr:spPr>
        <a:xfrm>
          <a:off x="4611710" y="5373255"/>
          <a:ext cx="8604042" cy="793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Indicadores</a:t>
          </a:r>
        </a:p>
      </xdr:txBody>
    </xdr:sp>
    <xdr:clientData/>
  </xdr:twoCellAnchor>
  <xdr:twoCellAnchor>
    <xdr:from>
      <xdr:col>4</xdr:col>
      <xdr:colOff>546100</xdr:colOff>
      <xdr:row>46</xdr:row>
      <xdr:rowOff>165100</xdr:rowOff>
    </xdr:from>
    <xdr:to>
      <xdr:col>17</xdr:col>
      <xdr:colOff>47623</xdr:colOff>
      <xdr:row>56</xdr:row>
      <xdr:rowOff>38100</xdr:rowOff>
    </xdr:to>
    <xdr:sp macro="" textlink="">
      <xdr:nvSpPr>
        <xdr:cNvPr id="25" name="Rectangle 33">
          <a:extLst>
            <a:ext uri="{FF2B5EF4-FFF2-40B4-BE49-F238E27FC236}">
              <a16:creationId xmlns:a16="http://schemas.microsoft.com/office/drawing/2014/main" id="{1050BBC2-5ECA-4681-BC0E-377B6425CA97}"/>
            </a:ext>
          </a:extLst>
        </xdr:cNvPr>
        <xdr:cNvSpPr/>
      </xdr:nvSpPr>
      <xdr:spPr>
        <a:xfrm>
          <a:off x="3879850" y="8928100"/>
          <a:ext cx="10336211" cy="1778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457200</xdr:colOff>
      <xdr:row>46</xdr:row>
      <xdr:rowOff>114300</xdr:rowOff>
    </xdr:from>
    <xdr:to>
      <xdr:col>8</xdr:col>
      <xdr:colOff>317500</xdr:colOff>
      <xdr:row>50</xdr:row>
      <xdr:rowOff>76200</xdr:rowOff>
    </xdr:to>
    <xdr:sp macro="" textlink="">
      <xdr:nvSpPr>
        <xdr:cNvPr id="26" name="TextBox 34">
          <a:extLst>
            <a:ext uri="{FF2B5EF4-FFF2-40B4-BE49-F238E27FC236}">
              <a16:creationId xmlns:a16="http://schemas.microsoft.com/office/drawing/2014/main" id="{E80405C6-5A76-4BD9-A02B-8FA3B688E268}"/>
            </a:ext>
          </a:extLst>
        </xdr:cNvPr>
        <xdr:cNvSpPr txBox="1"/>
      </xdr:nvSpPr>
      <xdr:spPr>
        <a:xfrm>
          <a:off x="4648200" y="9315450"/>
          <a:ext cx="23749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Filtros</a:t>
          </a:r>
        </a:p>
      </xdr:txBody>
    </xdr:sp>
    <xdr:clientData/>
  </xdr:twoCellAnchor>
  <xdr:twoCellAnchor>
    <xdr:from>
      <xdr:col>4</xdr:col>
      <xdr:colOff>762000</xdr:colOff>
      <xdr:row>47</xdr:row>
      <xdr:rowOff>63500</xdr:rowOff>
    </xdr:from>
    <xdr:to>
      <xdr:col>5</xdr:col>
      <xdr:colOff>341478</xdr:colOff>
      <xdr:row>49</xdr:row>
      <xdr:rowOff>77833</xdr:rowOff>
    </xdr:to>
    <xdr:pic>
      <xdr:nvPicPr>
        <xdr:cNvPr id="27" name="Graphic 35" descr="Single gear">
          <a:extLst>
            <a:ext uri="{FF2B5EF4-FFF2-40B4-BE49-F238E27FC236}">
              <a16:creationId xmlns:a16="http://schemas.microsoft.com/office/drawing/2014/main" id="{2B66A5FC-0E78-4836-ABBD-D5E7EBAE5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4800" y="9464675"/>
          <a:ext cx="417678" cy="414383"/>
        </a:xfrm>
        <a:prstGeom prst="rect">
          <a:avLst/>
        </a:prstGeom>
      </xdr:spPr>
    </xdr:pic>
    <xdr:clientData/>
  </xdr:twoCellAnchor>
  <xdr:twoCellAnchor>
    <xdr:from>
      <xdr:col>5</xdr:col>
      <xdr:colOff>259773</xdr:colOff>
      <xdr:row>14</xdr:row>
      <xdr:rowOff>155862</xdr:rowOff>
    </xdr:from>
    <xdr:to>
      <xdr:col>10</xdr:col>
      <xdr:colOff>536864</xdr:colOff>
      <xdr:row>25</xdr:row>
      <xdr:rowOff>133184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1">
              <a:extLst>
                <a:ext uri="{FF2B5EF4-FFF2-40B4-BE49-F238E27FC236}">
                  <a16:creationId xmlns:a16="http://schemas.microsoft.com/office/drawing/2014/main" id="{36D6EE2E-3B58-46C0-8ED5-3F0DA24A5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5073" y="2929542"/>
              <a:ext cx="4582391" cy="2156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311726</xdr:colOff>
      <xdr:row>13</xdr:row>
      <xdr:rowOff>190501</xdr:rowOff>
    </xdr:from>
    <xdr:to>
      <xdr:col>16</xdr:col>
      <xdr:colOff>588816</xdr:colOff>
      <xdr:row>24</xdr:row>
      <xdr:rowOff>167823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1">
              <a:extLst>
                <a:ext uri="{FF2B5EF4-FFF2-40B4-BE49-F238E27FC236}">
                  <a16:creationId xmlns:a16="http://schemas.microsoft.com/office/drawing/2014/main" id="{180C1F0C-D62C-47C8-803B-0F8697656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3386" y="2766061"/>
              <a:ext cx="4582390" cy="2156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519549</xdr:colOff>
      <xdr:row>13</xdr:row>
      <xdr:rowOff>198292</xdr:rowOff>
    </xdr:from>
    <xdr:to>
      <xdr:col>22</xdr:col>
      <xdr:colOff>796639</xdr:colOff>
      <xdr:row>24</xdr:row>
      <xdr:rowOff>185139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1">
              <a:extLst>
                <a:ext uri="{FF2B5EF4-FFF2-40B4-BE49-F238E27FC236}">
                  <a16:creationId xmlns:a16="http://schemas.microsoft.com/office/drawing/2014/main" id="{E0B15B58-4238-4BFE-A6BE-9AA14FB9D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7569" y="2773852"/>
              <a:ext cx="4582390" cy="2166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779319</xdr:colOff>
      <xdr:row>50</xdr:row>
      <xdr:rowOff>0</xdr:rowOff>
    </xdr:from>
    <xdr:to>
      <xdr:col>13</xdr:col>
      <xdr:colOff>398319</xdr:colOff>
      <xdr:row>55</xdr:row>
      <xdr:rowOff>121227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Máquinas 2">
              <a:extLst>
                <a:ext uri="{FF2B5EF4-FFF2-40B4-BE49-F238E27FC236}">
                  <a16:creationId xmlns:a16="http://schemas.microsoft.com/office/drawing/2014/main" id="{02447B17-DE76-463C-96EF-70A8B12CD7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áquina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4410" y="10390909"/>
              <a:ext cx="7100454" cy="1160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121227</xdr:colOff>
      <xdr:row>31</xdr:row>
      <xdr:rowOff>86589</xdr:rowOff>
    </xdr:from>
    <xdr:to>
      <xdr:col>8</xdr:col>
      <xdr:colOff>190500</xdr:colOff>
      <xdr:row>41</xdr:row>
      <xdr:rowOff>173181</xdr:rowOff>
    </xdr:to>
    <xdr:graphicFrame macro="">
      <xdr:nvGraphicFramePr>
        <xdr:cNvPr id="44" name="Chart 26">
          <a:extLst>
            <a:ext uri="{FF2B5EF4-FFF2-40B4-BE49-F238E27FC236}">
              <a16:creationId xmlns:a16="http://schemas.microsoft.com/office/drawing/2014/main" id="{5158D5DA-001E-4BDC-A260-C40D9892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415637</xdr:colOff>
      <xdr:row>31</xdr:row>
      <xdr:rowOff>69273</xdr:rowOff>
    </xdr:from>
    <xdr:to>
      <xdr:col>11</xdr:col>
      <xdr:colOff>484910</xdr:colOff>
      <xdr:row>41</xdr:row>
      <xdr:rowOff>155865</xdr:rowOff>
    </xdr:to>
    <xdr:graphicFrame macro="">
      <xdr:nvGraphicFramePr>
        <xdr:cNvPr id="45" name="Chart 26">
          <a:extLst>
            <a:ext uri="{FF2B5EF4-FFF2-40B4-BE49-F238E27FC236}">
              <a16:creationId xmlns:a16="http://schemas.microsoft.com/office/drawing/2014/main" id="{F54180F8-B43F-41E2-94F4-9C469E881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727364</xdr:colOff>
      <xdr:row>31</xdr:row>
      <xdr:rowOff>51955</xdr:rowOff>
    </xdr:from>
    <xdr:to>
      <xdr:col>14</xdr:col>
      <xdr:colOff>796637</xdr:colOff>
      <xdr:row>41</xdr:row>
      <xdr:rowOff>138547</xdr:rowOff>
    </xdr:to>
    <xdr:graphicFrame macro="">
      <xdr:nvGraphicFramePr>
        <xdr:cNvPr id="46" name="Chart 26">
          <a:extLst>
            <a:ext uri="{FF2B5EF4-FFF2-40B4-BE49-F238E27FC236}">
              <a16:creationId xmlns:a16="http://schemas.microsoft.com/office/drawing/2014/main" id="{978BFB92-0CF4-4BF0-9ECF-3A47EAC4C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173181</xdr:colOff>
      <xdr:row>31</xdr:row>
      <xdr:rowOff>34636</xdr:rowOff>
    </xdr:from>
    <xdr:to>
      <xdr:col>18</xdr:col>
      <xdr:colOff>242454</xdr:colOff>
      <xdr:row>41</xdr:row>
      <xdr:rowOff>121228</xdr:rowOff>
    </xdr:to>
    <xdr:graphicFrame macro="">
      <xdr:nvGraphicFramePr>
        <xdr:cNvPr id="47" name="Chart 26">
          <a:extLst>
            <a:ext uri="{FF2B5EF4-FFF2-40B4-BE49-F238E27FC236}">
              <a16:creationId xmlns:a16="http://schemas.microsoft.com/office/drawing/2014/main" id="{4AD7DA25-21C7-46BD-BEE0-51D17816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502230</xdr:colOff>
      <xdr:row>31</xdr:row>
      <xdr:rowOff>17318</xdr:rowOff>
    </xdr:from>
    <xdr:to>
      <xdr:col>21</xdr:col>
      <xdr:colOff>571503</xdr:colOff>
      <xdr:row>41</xdr:row>
      <xdr:rowOff>103910</xdr:rowOff>
    </xdr:to>
    <xdr:graphicFrame macro="">
      <xdr:nvGraphicFramePr>
        <xdr:cNvPr id="48" name="Chart 26">
          <a:extLst>
            <a:ext uri="{FF2B5EF4-FFF2-40B4-BE49-F238E27FC236}">
              <a16:creationId xmlns:a16="http://schemas.microsoft.com/office/drawing/2014/main" id="{8B398FDF-859E-4F22-90BE-DC3AB25CF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17316</xdr:colOff>
      <xdr:row>31</xdr:row>
      <xdr:rowOff>-1</xdr:rowOff>
    </xdr:from>
    <xdr:to>
      <xdr:col>25</xdr:col>
      <xdr:colOff>86589</xdr:colOff>
      <xdr:row>41</xdr:row>
      <xdr:rowOff>86591</xdr:rowOff>
    </xdr:to>
    <xdr:graphicFrame macro="">
      <xdr:nvGraphicFramePr>
        <xdr:cNvPr id="49" name="Chart 26">
          <a:extLst>
            <a:ext uri="{FF2B5EF4-FFF2-40B4-BE49-F238E27FC236}">
              <a16:creationId xmlns:a16="http://schemas.microsoft.com/office/drawing/2014/main" id="{01464E23-A2DB-4EF9-A2DD-D54063F0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484909</xdr:colOff>
      <xdr:row>33</xdr:row>
      <xdr:rowOff>69273</xdr:rowOff>
    </xdr:from>
    <xdr:to>
      <xdr:col>7</xdr:col>
      <xdr:colOff>675410</xdr:colOff>
      <xdr:row>39</xdr:row>
      <xdr:rowOff>138546</xdr:rowOff>
    </xdr:to>
    <xdr:sp macro="" textlink="KPI!D283">
      <xdr:nvSpPr>
        <xdr:cNvPr id="6" name="CuadroTexto 5">
          <a:extLst>
            <a:ext uri="{FF2B5EF4-FFF2-40B4-BE49-F238E27FC236}">
              <a16:creationId xmlns:a16="http://schemas.microsoft.com/office/drawing/2014/main" id="{22A9050E-EF90-4C50-8417-726B37F566B8}"/>
            </a:ext>
          </a:extLst>
        </xdr:cNvPr>
        <xdr:cNvSpPr txBox="1"/>
      </xdr:nvSpPr>
      <xdr:spPr>
        <a:xfrm>
          <a:off x="4641273" y="6927273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F02135-AABA-49F6-9C51-BD6F7605F57F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78.33%</a:t>
          </a:fld>
          <a:endParaRPr lang="es-MX" sz="28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761999</xdr:colOff>
      <xdr:row>33</xdr:row>
      <xdr:rowOff>86591</xdr:rowOff>
    </xdr:from>
    <xdr:to>
      <xdr:col>11</xdr:col>
      <xdr:colOff>121227</xdr:colOff>
      <xdr:row>39</xdr:row>
      <xdr:rowOff>155864</xdr:rowOff>
    </xdr:to>
    <xdr:sp macro="" textlink="KPI!G283">
      <xdr:nvSpPr>
        <xdr:cNvPr id="50" name="CuadroTexto 49">
          <a:extLst>
            <a:ext uri="{FF2B5EF4-FFF2-40B4-BE49-F238E27FC236}">
              <a16:creationId xmlns:a16="http://schemas.microsoft.com/office/drawing/2014/main" id="{CEE2A7BF-52DE-43E6-AC0F-AFF464A0D666}"/>
            </a:ext>
          </a:extLst>
        </xdr:cNvPr>
        <xdr:cNvSpPr txBox="1"/>
      </xdr:nvSpPr>
      <xdr:spPr>
        <a:xfrm>
          <a:off x="7412181" y="6944591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B7F6AD0-EFAE-46B0-9568-A1B2295D77AB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100.00%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259772</xdr:colOff>
      <xdr:row>33</xdr:row>
      <xdr:rowOff>69273</xdr:rowOff>
    </xdr:from>
    <xdr:to>
      <xdr:col>14</xdr:col>
      <xdr:colOff>450273</xdr:colOff>
      <xdr:row>39</xdr:row>
      <xdr:rowOff>138546</xdr:rowOff>
    </xdr:to>
    <xdr:sp macro="" textlink="KPI!J283">
      <xdr:nvSpPr>
        <xdr:cNvPr id="51" name="CuadroTexto 50">
          <a:extLst>
            <a:ext uri="{FF2B5EF4-FFF2-40B4-BE49-F238E27FC236}">
              <a16:creationId xmlns:a16="http://schemas.microsoft.com/office/drawing/2014/main" id="{611B0B00-D073-43D7-99C9-B64662EBE758}"/>
            </a:ext>
          </a:extLst>
        </xdr:cNvPr>
        <xdr:cNvSpPr txBox="1"/>
      </xdr:nvSpPr>
      <xdr:spPr>
        <a:xfrm>
          <a:off x="10235045" y="6927273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7A62538-65BD-47A0-97B3-387F8DB63B57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100.00%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554181</xdr:colOff>
      <xdr:row>33</xdr:row>
      <xdr:rowOff>34636</xdr:rowOff>
    </xdr:from>
    <xdr:to>
      <xdr:col>17</xdr:col>
      <xdr:colOff>744682</xdr:colOff>
      <xdr:row>39</xdr:row>
      <xdr:rowOff>103909</xdr:rowOff>
    </xdr:to>
    <xdr:sp macro="" textlink="KPI!M283">
      <xdr:nvSpPr>
        <xdr:cNvPr id="52" name="CuadroTexto 51">
          <a:extLst>
            <a:ext uri="{FF2B5EF4-FFF2-40B4-BE49-F238E27FC236}">
              <a16:creationId xmlns:a16="http://schemas.microsoft.com/office/drawing/2014/main" id="{F91DFFE6-4120-43AA-9D28-B2C6DF0C235B}"/>
            </a:ext>
          </a:extLst>
        </xdr:cNvPr>
        <xdr:cNvSpPr txBox="1"/>
      </xdr:nvSpPr>
      <xdr:spPr>
        <a:xfrm>
          <a:off x="13023272" y="6892636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3DBD61-F895-4863-8E5C-DA698984D4F8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78.33%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34637</xdr:colOff>
      <xdr:row>33</xdr:row>
      <xdr:rowOff>34637</xdr:rowOff>
    </xdr:from>
    <xdr:to>
      <xdr:col>21</xdr:col>
      <xdr:colOff>225138</xdr:colOff>
      <xdr:row>39</xdr:row>
      <xdr:rowOff>103910</xdr:rowOff>
    </xdr:to>
    <xdr:sp macro="" textlink="KPI!P283">
      <xdr:nvSpPr>
        <xdr:cNvPr id="53" name="CuadroTexto 52">
          <a:extLst>
            <a:ext uri="{FF2B5EF4-FFF2-40B4-BE49-F238E27FC236}">
              <a16:creationId xmlns:a16="http://schemas.microsoft.com/office/drawing/2014/main" id="{D1750F19-4680-445B-A049-E9EA0CE0CD33}"/>
            </a:ext>
          </a:extLst>
        </xdr:cNvPr>
        <xdr:cNvSpPr txBox="1"/>
      </xdr:nvSpPr>
      <xdr:spPr>
        <a:xfrm>
          <a:off x="15828819" y="6892637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0DBE0A9-E54A-48E2-9684-9CA2FB3A4F3C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80.00%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398317</xdr:colOff>
      <xdr:row>33</xdr:row>
      <xdr:rowOff>17320</xdr:rowOff>
    </xdr:from>
    <xdr:to>
      <xdr:col>24</xdr:col>
      <xdr:colOff>588818</xdr:colOff>
      <xdr:row>39</xdr:row>
      <xdr:rowOff>86593</xdr:rowOff>
    </xdr:to>
    <xdr:sp macro="" textlink="KPI!S283">
      <xdr:nvSpPr>
        <xdr:cNvPr id="54" name="CuadroTexto 53">
          <a:extLst>
            <a:ext uri="{FF2B5EF4-FFF2-40B4-BE49-F238E27FC236}">
              <a16:creationId xmlns:a16="http://schemas.microsoft.com/office/drawing/2014/main" id="{D5955736-0305-46D0-9772-97F6B9290D09}"/>
            </a:ext>
          </a:extLst>
        </xdr:cNvPr>
        <xdr:cNvSpPr txBox="1"/>
      </xdr:nvSpPr>
      <xdr:spPr>
        <a:xfrm>
          <a:off x="18686317" y="6875320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0F39133-10C8-4F53-B3FD-9F1F701A28CF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86.17%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710045</xdr:colOff>
      <xdr:row>40</xdr:row>
      <xdr:rowOff>51955</xdr:rowOff>
    </xdr:from>
    <xdr:to>
      <xdr:col>8</xdr:col>
      <xdr:colOff>415636</xdr:colOff>
      <xdr:row>46</xdr:row>
      <xdr:rowOff>121228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AE930CFB-4FD5-4EF6-8D94-20A3BD779128}"/>
            </a:ext>
          </a:extLst>
        </xdr:cNvPr>
        <xdr:cNvSpPr txBox="1"/>
      </xdr:nvSpPr>
      <xdr:spPr>
        <a:xfrm>
          <a:off x="4035136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Disponibilidad</a:t>
          </a:r>
        </a:p>
      </xdr:txBody>
    </xdr:sp>
    <xdr:clientData/>
  </xdr:twoCellAnchor>
  <xdr:twoCellAnchor>
    <xdr:from>
      <xdr:col>8</xdr:col>
      <xdr:colOff>190499</xdr:colOff>
      <xdr:row>40</xdr:row>
      <xdr:rowOff>51955</xdr:rowOff>
    </xdr:from>
    <xdr:to>
      <xdr:col>11</xdr:col>
      <xdr:colOff>727363</xdr:colOff>
      <xdr:row>46</xdr:row>
      <xdr:rowOff>121228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D676EF68-5E27-4CE3-B4BC-801128DDB473}"/>
            </a:ext>
          </a:extLst>
        </xdr:cNvPr>
        <xdr:cNvSpPr txBox="1"/>
      </xdr:nvSpPr>
      <xdr:spPr>
        <a:xfrm>
          <a:off x="6840681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Rendimiento</a:t>
          </a:r>
        </a:p>
      </xdr:txBody>
    </xdr:sp>
    <xdr:clientData/>
  </xdr:twoCellAnchor>
  <xdr:twoCellAnchor>
    <xdr:from>
      <xdr:col>11</xdr:col>
      <xdr:colOff>484909</xdr:colOff>
      <xdr:row>40</xdr:row>
      <xdr:rowOff>51955</xdr:rowOff>
    </xdr:from>
    <xdr:to>
      <xdr:col>15</xdr:col>
      <xdr:colOff>190500</xdr:colOff>
      <xdr:row>46</xdr:row>
      <xdr:rowOff>121228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39DA6740-E8BF-487E-A186-781E83264BAC}"/>
            </a:ext>
          </a:extLst>
        </xdr:cNvPr>
        <xdr:cNvSpPr txBox="1"/>
      </xdr:nvSpPr>
      <xdr:spPr>
        <a:xfrm>
          <a:off x="9628909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Calidad</a:t>
          </a:r>
        </a:p>
      </xdr:txBody>
    </xdr:sp>
    <xdr:clientData/>
  </xdr:twoCellAnchor>
  <xdr:twoCellAnchor>
    <xdr:from>
      <xdr:col>14</xdr:col>
      <xdr:colOff>779317</xdr:colOff>
      <xdr:row>40</xdr:row>
      <xdr:rowOff>51955</xdr:rowOff>
    </xdr:from>
    <xdr:to>
      <xdr:col>18</xdr:col>
      <xdr:colOff>484908</xdr:colOff>
      <xdr:row>46</xdr:row>
      <xdr:rowOff>121228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B2768263-AD58-44C4-9B15-87D7D70DE6DA}"/>
            </a:ext>
          </a:extLst>
        </xdr:cNvPr>
        <xdr:cNvSpPr txBox="1"/>
      </xdr:nvSpPr>
      <xdr:spPr>
        <a:xfrm>
          <a:off x="12417135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Eficiencia</a:t>
          </a:r>
          <a:r>
            <a:rPr lang="en-US" sz="2800" b="0" i="0" u="none" strike="noStrike" baseline="0">
              <a:solidFill>
                <a:schemeClr val="bg1"/>
              </a:solidFill>
              <a:latin typeface="Calibri"/>
              <a:cs typeface="Calibri"/>
            </a:rPr>
            <a:t> Global</a:t>
          </a:r>
          <a:endParaRPr lang="en-US" sz="28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18</xdr:col>
      <xdr:colOff>294409</xdr:colOff>
      <xdr:row>40</xdr:row>
      <xdr:rowOff>86591</xdr:rowOff>
    </xdr:from>
    <xdr:to>
      <xdr:col>22</xdr:col>
      <xdr:colOff>0</xdr:colOff>
      <xdr:row>46</xdr:row>
      <xdr:rowOff>155864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4F1E181E-0B45-4205-BBB3-43FF4CCBEA1D}"/>
            </a:ext>
          </a:extLst>
        </xdr:cNvPr>
        <xdr:cNvSpPr txBox="1"/>
      </xdr:nvSpPr>
      <xdr:spPr>
        <a:xfrm>
          <a:off x="15257318" y="8399318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Disponibilidad Propia</a:t>
          </a:r>
        </a:p>
      </xdr:txBody>
    </xdr:sp>
    <xdr:clientData/>
  </xdr:twoCellAnchor>
  <xdr:twoCellAnchor>
    <xdr:from>
      <xdr:col>21</xdr:col>
      <xdr:colOff>623455</xdr:colOff>
      <xdr:row>40</xdr:row>
      <xdr:rowOff>17319</xdr:rowOff>
    </xdr:from>
    <xdr:to>
      <xdr:col>25</xdr:col>
      <xdr:colOff>329046</xdr:colOff>
      <xdr:row>46</xdr:row>
      <xdr:rowOff>86592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82373420-BF6F-4E6D-AC72-2E504AF6A7DA}"/>
            </a:ext>
          </a:extLst>
        </xdr:cNvPr>
        <xdr:cNvSpPr txBox="1"/>
      </xdr:nvSpPr>
      <xdr:spPr>
        <a:xfrm>
          <a:off x="18080182" y="8330046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Confiabilidad</a:t>
          </a:r>
        </a:p>
      </xdr:txBody>
    </xdr:sp>
    <xdr:clientData/>
  </xdr:twoCellAnchor>
  <xdr:twoCellAnchor>
    <xdr:from>
      <xdr:col>23</xdr:col>
      <xdr:colOff>277090</xdr:colOff>
      <xdr:row>18</xdr:row>
      <xdr:rowOff>77063</xdr:rowOff>
    </xdr:from>
    <xdr:to>
      <xdr:col>25</xdr:col>
      <xdr:colOff>467591</xdr:colOff>
      <xdr:row>21</xdr:row>
      <xdr:rowOff>121225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88B4495E-04B8-487F-A08A-B857FDAC5C25}"/>
            </a:ext>
          </a:extLst>
        </xdr:cNvPr>
        <xdr:cNvSpPr txBox="1"/>
      </xdr:nvSpPr>
      <xdr:spPr>
        <a:xfrm>
          <a:off x="19396363" y="3817790"/>
          <a:ext cx="1853046" cy="667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MTBF:</a:t>
          </a:r>
        </a:p>
      </xdr:txBody>
    </xdr:sp>
    <xdr:clientData/>
  </xdr:twoCellAnchor>
  <xdr:twoCellAnchor>
    <xdr:from>
      <xdr:col>23</xdr:col>
      <xdr:colOff>294410</xdr:colOff>
      <xdr:row>15</xdr:row>
      <xdr:rowOff>17318</xdr:rowOff>
    </xdr:from>
    <xdr:to>
      <xdr:col>25</xdr:col>
      <xdr:colOff>484911</xdr:colOff>
      <xdr:row>19</xdr:row>
      <xdr:rowOff>103911</xdr:rowOff>
    </xdr:to>
    <xdr:sp macro="" textlink="KPI!M272">
      <xdr:nvSpPr>
        <xdr:cNvPr id="62" name="CuadroTexto 61">
          <a:extLst>
            <a:ext uri="{FF2B5EF4-FFF2-40B4-BE49-F238E27FC236}">
              <a16:creationId xmlns:a16="http://schemas.microsoft.com/office/drawing/2014/main" id="{854D6E22-088F-4CDC-AE45-646F5C5188EF}"/>
            </a:ext>
          </a:extLst>
        </xdr:cNvPr>
        <xdr:cNvSpPr txBox="1"/>
      </xdr:nvSpPr>
      <xdr:spPr>
        <a:xfrm>
          <a:off x="19413683" y="3134591"/>
          <a:ext cx="1853046" cy="917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DAEB55F-8CEC-4311-8075-0CCB5AF07D05}" type="TxLink"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3.5 horas</a:t>
          </a:fld>
          <a:endParaRPr lang="es-MX" sz="24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346371</xdr:colOff>
      <xdr:row>46</xdr:row>
      <xdr:rowOff>183370</xdr:rowOff>
    </xdr:from>
    <xdr:to>
      <xdr:col>25</xdr:col>
      <xdr:colOff>467591</xdr:colOff>
      <xdr:row>56</xdr:row>
      <xdr:rowOff>56370</xdr:rowOff>
    </xdr:to>
    <xdr:sp macro="" textlink="">
      <xdr:nvSpPr>
        <xdr:cNvPr id="63" name="Rectangle 33">
          <a:extLst>
            <a:ext uri="{FF2B5EF4-FFF2-40B4-BE49-F238E27FC236}">
              <a16:creationId xmlns:a16="http://schemas.microsoft.com/office/drawing/2014/main" id="{B9044598-F1E3-40D9-BF4E-08AA6BC1EEB0}"/>
            </a:ext>
          </a:extLst>
        </xdr:cNvPr>
        <xdr:cNvSpPr/>
      </xdr:nvSpPr>
      <xdr:spPr>
        <a:xfrm>
          <a:off x="14478007" y="9743006"/>
          <a:ext cx="6771402" cy="195118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266701</xdr:colOff>
      <xdr:row>46</xdr:row>
      <xdr:rowOff>138547</xdr:rowOff>
    </xdr:from>
    <xdr:to>
      <xdr:col>21</xdr:col>
      <xdr:colOff>127001</xdr:colOff>
      <xdr:row>50</xdr:row>
      <xdr:rowOff>100447</xdr:rowOff>
    </xdr:to>
    <xdr:sp macro="" textlink="">
      <xdr:nvSpPr>
        <xdr:cNvPr id="64" name="TextBox 34">
          <a:extLst>
            <a:ext uri="{FF2B5EF4-FFF2-40B4-BE49-F238E27FC236}">
              <a16:creationId xmlns:a16="http://schemas.microsoft.com/office/drawing/2014/main" id="{5D8A625A-A07A-4AF7-AF8B-D9F5BCC1E055}"/>
            </a:ext>
          </a:extLst>
        </xdr:cNvPr>
        <xdr:cNvSpPr txBox="1"/>
      </xdr:nvSpPr>
      <xdr:spPr>
        <a:xfrm>
          <a:off x="15229610" y="9698183"/>
          <a:ext cx="2354118" cy="7931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Información</a:t>
          </a:r>
        </a:p>
      </xdr:txBody>
    </xdr:sp>
    <xdr:clientData/>
  </xdr:twoCellAnchor>
  <xdr:twoCellAnchor>
    <xdr:from>
      <xdr:col>17</xdr:col>
      <xdr:colOff>640773</xdr:colOff>
      <xdr:row>48</xdr:row>
      <xdr:rowOff>180974</xdr:rowOff>
    </xdr:from>
    <xdr:to>
      <xdr:col>25</xdr:col>
      <xdr:colOff>519547</xdr:colOff>
      <xdr:row>55</xdr:row>
      <xdr:rowOff>190500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7294CB07-756A-4C2E-8CFB-5304DEC2CC73}"/>
            </a:ext>
          </a:extLst>
        </xdr:cNvPr>
        <xdr:cNvSpPr txBox="1"/>
      </xdr:nvSpPr>
      <xdr:spPr>
        <a:xfrm>
          <a:off x="14772409" y="10156247"/>
          <a:ext cx="6528956" cy="1464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0" i="0" u="none" strike="noStrike">
              <a:solidFill>
                <a:schemeClr val="bg1"/>
              </a:solidFill>
              <a:latin typeface="Calibri"/>
              <a:cs typeface="Calibri"/>
            </a:rPr>
            <a:t>Auditoria</a:t>
          </a:r>
          <a:r>
            <a:rPr lang="en-US" sz="2400" b="0" i="0" u="none" strike="noStrike" baseline="0">
              <a:solidFill>
                <a:schemeClr val="bg1"/>
              </a:solidFill>
              <a:latin typeface="Calibri"/>
              <a:cs typeface="Calibri"/>
            </a:rPr>
            <a:t> basada por semana de trabajo en la empresa Vilcon SAC.</a:t>
          </a:r>
          <a:endParaRPr lang="en-US" sz="24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4</xdr:col>
      <xdr:colOff>645811</xdr:colOff>
      <xdr:row>26</xdr:row>
      <xdr:rowOff>38206</xdr:rowOff>
    </xdr:from>
    <xdr:ext cx="583779" cy="593430"/>
    <xdr:pic>
      <xdr:nvPicPr>
        <xdr:cNvPr id="67" name="Graphic 10" descr="Statistics">
          <a:extLst>
            <a:ext uri="{FF2B5EF4-FFF2-40B4-BE49-F238E27FC236}">
              <a16:creationId xmlns:a16="http://schemas.microsoft.com/office/drawing/2014/main" id="{86F92702-4EF2-4225-BF80-973FDA76D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970902" y="5441479"/>
          <a:ext cx="583779" cy="593430"/>
        </a:xfrm>
        <a:prstGeom prst="rect">
          <a:avLst/>
        </a:prstGeom>
      </xdr:spPr>
    </xdr:pic>
    <xdr:clientData/>
  </xdr:oneCellAnchor>
  <xdr:twoCellAnchor>
    <xdr:from>
      <xdr:col>17</xdr:col>
      <xdr:colOff>530593</xdr:colOff>
      <xdr:row>47</xdr:row>
      <xdr:rowOff>46017</xdr:rowOff>
    </xdr:from>
    <xdr:to>
      <xdr:col>18</xdr:col>
      <xdr:colOff>191520</xdr:colOff>
      <xdr:row>49</xdr:row>
      <xdr:rowOff>124560</xdr:rowOff>
    </xdr:to>
    <xdr:pic>
      <xdr:nvPicPr>
        <xdr:cNvPr id="18" name="Graphic 20" descr="Label">
          <a:extLst>
            <a:ext uri="{FF2B5EF4-FFF2-40B4-BE49-F238E27FC236}">
              <a16:creationId xmlns:a16="http://schemas.microsoft.com/office/drawing/2014/main" id="{EDFD77B7-C77A-4315-8F34-DB972A0A9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4662229" y="9813472"/>
          <a:ext cx="492200" cy="494179"/>
        </a:xfrm>
        <a:prstGeom prst="rect">
          <a:avLst/>
        </a:prstGeom>
      </xdr:spPr>
    </xdr:pic>
    <xdr:clientData/>
  </xdr:twoCellAnchor>
  <xdr:twoCellAnchor editAs="oneCell">
    <xdr:from>
      <xdr:col>4</xdr:col>
      <xdr:colOff>686545</xdr:colOff>
      <xdr:row>12</xdr:row>
      <xdr:rowOff>99428</xdr:rowOff>
    </xdr:from>
    <xdr:to>
      <xdr:col>5</xdr:col>
      <xdr:colOff>353786</xdr:colOff>
      <xdr:row>14</xdr:row>
      <xdr:rowOff>187096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53FC5D53-1E7C-48E1-AAFA-832B66B66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lum bright="70000" contrast="-70000"/>
        </a:blip>
        <a:stretch>
          <a:fillRect/>
        </a:stretch>
      </xdr:blipFill>
      <xdr:spPr>
        <a:xfrm>
          <a:off x="4061116" y="2548714"/>
          <a:ext cx="510884" cy="495882"/>
        </a:xfrm>
        <a:prstGeom prst="rect">
          <a:avLst/>
        </a:prstGeom>
      </xdr:spPr>
    </xdr:pic>
    <xdr:clientData/>
  </xdr:twoCellAnchor>
  <xdr:twoCellAnchor>
    <xdr:from>
      <xdr:col>23</xdr:col>
      <xdr:colOff>277090</xdr:colOff>
      <xdr:row>13</xdr:row>
      <xdr:rowOff>173182</xdr:rowOff>
    </xdr:from>
    <xdr:to>
      <xdr:col>25</xdr:col>
      <xdr:colOff>467591</xdr:colOff>
      <xdr:row>17</xdr:row>
      <xdr:rowOff>0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827B5750-C9F0-4047-B6F3-7301D6C98075}"/>
            </a:ext>
          </a:extLst>
        </xdr:cNvPr>
        <xdr:cNvSpPr txBox="1"/>
      </xdr:nvSpPr>
      <xdr:spPr>
        <a:xfrm>
          <a:off x="19396363" y="2874818"/>
          <a:ext cx="1853046" cy="658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MTTR:</a:t>
          </a:r>
        </a:p>
      </xdr:txBody>
    </xdr:sp>
    <xdr:clientData/>
  </xdr:twoCellAnchor>
  <xdr:twoCellAnchor>
    <xdr:from>
      <xdr:col>23</xdr:col>
      <xdr:colOff>311728</xdr:colOff>
      <xdr:row>20</xdr:row>
      <xdr:rowOff>111699</xdr:rowOff>
    </xdr:from>
    <xdr:to>
      <xdr:col>25</xdr:col>
      <xdr:colOff>502229</xdr:colOff>
      <xdr:row>23</xdr:row>
      <xdr:rowOff>86590</xdr:rowOff>
    </xdr:to>
    <xdr:sp macro="" textlink="KPI!M271">
      <xdr:nvSpPr>
        <xdr:cNvPr id="73" name="CuadroTexto 72">
          <a:extLst>
            <a:ext uri="{FF2B5EF4-FFF2-40B4-BE49-F238E27FC236}">
              <a16:creationId xmlns:a16="http://schemas.microsoft.com/office/drawing/2014/main" id="{EAD6F35A-5678-475F-848E-4CF7E8063505}"/>
            </a:ext>
          </a:extLst>
        </xdr:cNvPr>
        <xdr:cNvSpPr txBox="1"/>
      </xdr:nvSpPr>
      <xdr:spPr>
        <a:xfrm>
          <a:off x="19431001" y="4268063"/>
          <a:ext cx="1853046" cy="59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0440E76-449A-4B48-BC0F-29D396CA32CD}" type="TxLink"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13.5 horas</a:t>
          </a:fld>
          <a:endParaRPr lang="en-US" sz="24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0</xdr:col>
      <xdr:colOff>439450</xdr:colOff>
      <xdr:row>1</xdr:row>
      <xdr:rowOff>97101</xdr:rowOff>
    </xdr:from>
    <xdr:to>
      <xdr:col>3</xdr:col>
      <xdr:colOff>428625</xdr:colOff>
      <xdr:row>6</xdr:row>
      <xdr:rowOff>80544</xdr:rowOff>
    </xdr:to>
    <xdr:pic>
      <xdr:nvPicPr>
        <xdr:cNvPr id="79" name="Picture 2" descr="VILCONSAC">
          <a:extLst>
            <a:ext uri="{FF2B5EF4-FFF2-40B4-BE49-F238E27FC236}">
              <a16:creationId xmlns:a16="http://schemas.microsoft.com/office/drawing/2014/main" id="{F71E8178-702A-4968-90A4-B73CDED1A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450" y="304919"/>
          <a:ext cx="2482993" cy="1022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J" refreshedDate="44312.671857175927" createdVersion="7" refreshedVersion="7" minRefreshableVersion="3" recordCount="120" xr:uid="{1DE7EFC5-B013-4C3C-AC06-37880DFAD63E}">
  <cacheSource type="worksheet">
    <worksheetSource ref="B137:D257" sheet="KPI"/>
  </cacheSource>
  <cacheFields count="3">
    <cacheField name="Máquinas" numFmtId="0">
      <sharedItems count="5">
        <s v="Retroexcavadora"/>
        <s v="Compresor neumático"/>
        <s v="Minicargador"/>
        <s v="Rodillos"/>
        <s v="Mezcladora de cemento"/>
      </sharedItems>
    </cacheField>
    <cacheField name="Indicador" numFmtId="0">
      <sharedItems count="26">
        <s v="Disponibilidad"/>
        <s v="Disponibilidad C"/>
        <s v="Rendimiento"/>
        <s v="Rendimiento C"/>
        <s v="Calidad"/>
        <s v="Calidad C"/>
        <s v="Disponibilidad Propia"/>
        <s v="Disponibilidad Propia C"/>
        <s v="Confiabilidad"/>
        <s v="Confiabilidad C"/>
        <s v="MTTR"/>
        <s v="Eficiencia Global"/>
        <s v="Eficiencia Global C"/>
        <s v="MTBF"/>
        <s v="T Planificado"/>
        <s v="Averías"/>
        <s v="Preparación y ajustes"/>
        <s v="T Operativo"/>
        <s v="T vacío y paradas cortas"/>
        <s v="Velocidad reducida"/>
        <s v="T Funcionamiento"/>
        <s v="Defectos de calidad "/>
        <s v="Puesta en marcha"/>
        <s v="T Productivo"/>
        <s v="OEE" u="1"/>
        <s v="Preparación y ajuste" u="1"/>
      </sharedItems>
    </cacheField>
    <cacheField name="Resultado Obtenido" numFmtId="0">
      <sharedItems containsSemiMixedTypes="0" containsString="0" containsNumber="1" minValue="0" maxValue="2100"/>
    </cacheField>
  </cacheFields>
  <extLst>
    <ext xmlns:x14="http://schemas.microsoft.com/office/spreadsheetml/2009/9/main" uri="{725AE2AE-9491-48be-B2B4-4EB974FC3084}">
      <x14:pivotCacheDefinition pivotCacheId="1076498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79487179487179482"/>
  </r>
  <r>
    <x v="0"/>
    <x v="1"/>
    <n v="0.20512820512820518"/>
  </r>
  <r>
    <x v="0"/>
    <x v="2"/>
    <n v="0.80645161290322576"/>
  </r>
  <r>
    <x v="0"/>
    <x v="3"/>
    <n v="0.19354838709677424"/>
  </r>
  <r>
    <x v="0"/>
    <x v="4"/>
    <n v="1"/>
  </r>
  <r>
    <x v="0"/>
    <x v="5"/>
    <n v="0"/>
  </r>
  <r>
    <x v="0"/>
    <x v="6"/>
    <n v="0.87692307692307692"/>
  </r>
  <r>
    <x v="0"/>
    <x v="7"/>
    <n v="0.12307692307692308"/>
  </r>
  <r>
    <x v="0"/>
    <x v="8"/>
    <n v="0.96116129032258057"/>
  </r>
  <r>
    <x v="0"/>
    <x v="9"/>
    <n v="3.8838709677419425E-2"/>
  </r>
  <r>
    <x v="0"/>
    <x v="10"/>
    <n v="6.666666666666667"/>
  </r>
  <r>
    <x v="0"/>
    <x v="11"/>
    <n v="0.64102564102564097"/>
  </r>
  <r>
    <x v="0"/>
    <x v="12"/>
    <n v="0.35897435897435903"/>
  </r>
  <r>
    <x v="0"/>
    <x v="13"/>
    <n v="24.83"/>
  </r>
  <r>
    <x v="0"/>
    <x v="14"/>
    <n v="1950"/>
  </r>
  <r>
    <x v="0"/>
    <x v="15"/>
    <n v="400"/>
  </r>
  <r>
    <x v="0"/>
    <x v="16"/>
    <n v="0"/>
  </r>
  <r>
    <x v="0"/>
    <x v="17"/>
    <n v="1550"/>
  </r>
  <r>
    <x v="0"/>
    <x v="18"/>
    <n v="0"/>
  </r>
  <r>
    <x v="0"/>
    <x v="19"/>
    <n v="300"/>
  </r>
  <r>
    <x v="0"/>
    <x v="20"/>
    <n v="1250"/>
  </r>
  <r>
    <x v="0"/>
    <x v="21"/>
    <n v="0"/>
  </r>
  <r>
    <x v="0"/>
    <x v="22"/>
    <n v="0"/>
  </r>
  <r>
    <x v="0"/>
    <x v="23"/>
    <n v="1250"/>
  </r>
  <r>
    <x v="1"/>
    <x v="0"/>
    <n v="0.78333333333333333"/>
  </r>
  <r>
    <x v="1"/>
    <x v="1"/>
    <n v="0.21666666666666667"/>
  </r>
  <r>
    <x v="1"/>
    <x v="2"/>
    <n v="1"/>
  </r>
  <r>
    <x v="1"/>
    <x v="3"/>
    <n v="0"/>
  </r>
  <r>
    <x v="1"/>
    <x v="4"/>
    <n v="1"/>
  </r>
  <r>
    <x v="1"/>
    <x v="5"/>
    <n v="0"/>
  </r>
  <r>
    <x v="1"/>
    <x v="6"/>
    <n v="0.8"/>
  </r>
  <r>
    <x v="1"/>
    <x v="7"/>
    <n v="0.19999999999999996"/>
  </r>
  <r>
    <x v="1"/>
    <x v="8"/>
    <n v="0.86170212765957455"/>
  </r>
  <r>
    <x v="1"/>
    <x v="9"/>
    <n v="0.13829787234042545"/>
  </r>
  <r>
    <x v="1"/>
    <x v="10"/>
    <n v="3.5"/>
  </r>
  <r>
    <x v="1"/>
    <x v="11"/>
    <n v="0.78333333333333333"/>
  </r>
  <r>
    <x v="1"/>
    <x v="12"/>
    <n v="0.21666666666666667"/>
  </r>
  <r>
    <x v="1"/>
    <x v="13"/>
    <n v="13.5"/>
  </r>
  <r>
    <x v="1"/>
    <x v="14"/>
    <n v="1200"/>
  </r>
  <r>
    <x v="1"/>
    <x v="15"/>
    <n v="210"/>
  </r>
  <r>
    <x v="1"/>
    <x v="16"/>
    <n v="50"/>
  </r>
  <r>
    <x v="1"/>
    <x v="17"/>
    <n v="940"/>
  </r>
  <r>
    <x v="1"/>
    <x v="18"/>
    <n v="0"/>
  </r>
  <r>
    <x v="1"/>
    <x v="19"/>
    <n v="0"/>
  </r>
  <r>
    <x v="1"/>
    <x v="20"/>
    <n v="940"/>
  </r>
  <r>
    <x v="1"/>
    <x v="21"/>
    <n v="0"/>
  </r>
  <r>
    <x v="1"/>
    <x v="22"/>
    <n v="0"/>
  </r>
  <r>
    <x v="1"/>
    <x v="23"/>
    <n v="940"/>
  </r>
  <r>
    <x v="2"/>
    <x v="0"/>
    <n v="0.99904761904761907"/>
  </r>
  <r>
    <x v="2"/>
    <x v="1"/>
    <n v="9.5238095238092679E-4"/>
  </r>
  <r>
    <x v="2"/>
    <x v="2"/>
    <n v="0.49952335557673977"/>
  </r>
  <r>
    <x v="2"/>
    <x v="3"/>
    <n v="0.50047664442326023"/>
  </r>
  <r>
    <x v="2"/>
    <x v="4"/>
    <n v="1"/>
  </r>
  <r>
    <x v="2"/>
    <x v="5"/>
    <n v="0"/>
  </r>
  <r>
    <x v="2"/>
    <x v="6"/>
    <n v="0.91428571428571426"/>
  </r>
  <r>
    <x v="2"/>
    <x v="7"/>
    <n v="8.5714285714285743E-2"/>
  </r>
  <r>
    <x v="2"/>
    <x v="8"/>
    <n v="0.88570066730219243"/>
  </r>
  <r>
    <x v="2"/>
    <x v="9"/>
    <n v="0.11429933269780757"/>
  </r>
  <r>
    <x v="2"/>
    <x v="10"/>
    <n v="3.3333333333333333E-2"/>
  </r>
  <r>
    <x v="2"/>
    <x v="11"/>
    <n v="0.49904761904761907"/>
  </r>
  <r>
    <x v="2"/>
    <x v="12"/>
    <n v="0.50095238095238093"/>
  </r>
  <r>
    <x v="2"/>
    <x v="13"/>
    <n v="30.97"/>
  </r>
  <r>
    <x v="2"/>
    <x v="14"/>
    <n v="2100"/>
  </r>
  <r>
    <x v="2"/>
    <x v="15"/>
    <n v="2"/>
  </r>
  <r>
    <x v="2"/>
    <x v="16"/>
    <n v="0"/>
  </r>
  <r>
    <x v="2"/>
    <x v="17"/>
    <n v="2098"/>
  </r>
  <r>
    <x v="2"/>
    <x v="18"/>
    <n v="0"/>
  </r>
  <r>
    <x v="2"/>
    <x v="19"/>
    <n v="1050"/>
  </r>
  <r>
    <x v="2"/>
    <x v="20"/>
    <n v="1048"/>
  </r>
  <r>
    <x v="2"/>
    <x v="21"/>
    <n v="0"/>
  </r>
  <r>
    <x v="2"/>
    <x v="22"/>
    <n v="0"/>
  </r>
  <r>
    <x v="2"/>
    <x v="23"/>
    <n v="1048"/>
  </r>
  <r>
    <x v="3"/>
    <x v="0"/>
    <n v="0.625"/>
  </r>
  <r>
    <x v="3"/>
    <x v="1"/>
    <n v="0.375"/>
  </r>
  <r>
    <x v="3"/>
    <x v="2"/>
    <n v="1"/>
  </r>
  <r>
    <x v="3"/>
    <x v="3"/>
    <n v="0"/>
  </r>
  <r>
    <x v="3"/>
    <x v="4"/>
    <n v="1"/>
  </r>
  <r>
    <x v="3"/>
    <x v="5"/>
    <n v="0"/>
  </r>
  <r>
    <x v="3"/>
    <x v="6"/>
    <n v="0.5"/>
  </r>
  <r>
    <x v="3"/>
    <x v="7"/>
    <n v="0.5"/>
  </r>
  <r>
    <x v="3"/>
    <x v="8"/>
    <n v="0.91999999999999993"/>
  </r>
  <r>
    <x v="3"/>
    <x v="9"/>
    <n v="8.0000000000000071E-2"/>
  </r>
  <r>
    <x v="3"/>
    <x v="10"/>
    <n v="1.5"/>
  </r>
  <r>
    <x v="3"/>
    <x v="11"/>
    <n v="0.625"/>
  </r>
  <r>
    <x v="3"/>
    <x v="12"/>
    <n v="0.375"/>
  </r>
  <r>
    <x v="3"/>
    <x v="13"/>
    <n v="2.2999999999999998"/>
  </r>
  <r>
    <x v="3"/>
    <x v="14"/>
    <n v="240"/>
  </r>
  <r>
    <x v="3"/>
    <x v="15"/>
    <n v="90"/>
  </r>
  <r>
    <x v="3"/>
    <x v="16"/>
    <n v="0"/>
  </r>
  <r>
    <x v="3"/>
    <x v="17"/>
    <n v="150"/>
  </r>
  <r>
    <x v="3"/>
    <x v="18"/>
    <n v="0"/>
  </r>
  <r>
    <x v="3"/>
    <x v="19"/>
    <n v="0"/>
  </r>
  <r>
    <x v="3"/>
    <x v="20"/>
    <n v="150"/>
  </r>
  <r>
    <x v="3"/>
    <x v="21"/>
    <n v="0"/>
  </r>
  <r>
    <x v="3"/>
    <x v="22"/>
    <n v="0"/>
  </r>
  <r>
    <x v="3"/>
    <x v="23"/>
    <n v="150"/>
  </r>
  <r>
    <x v="4"/>
    <x v="0"/>
    <n v="0.81818181818181823"/>
  </r>
  <r>
    <x v="4"/>
    <x v="1"/>
    <n v="0.18181818181818177"/>
  </r>
  <r>
    <x v="4"/>
    <x v="2"/>
    <n v="0.81481481481481477"/>
  </r>
  <r>
    <x v="4"/>
    <x v="3"/>
    <n v="0.18518518518518523"/>
  </r>
  <r>
    <x v="4"/>
    <x v="4"/>
    <n v="1"/>
  </r>
  <r>
    <x v="4"/>
    <x v="5"/>
    <n v="0"/>
  </r>
  <r>
    <x v="4"/>
    <x v="6"/>
    <n v="0.81818181818181823"/>
  </r>
  <r>
    <x v="4"/>
    <x v="7"/>
    <n v="0.18181818181818177"/>
  </r>
  <r>
    <x v="4"/>
    <x v="8"/>
    <n v="0.94444444444444442"/>
  </r>
  <r>
    <x v="4"/>
    <x v="9"/>
    <n v="5.555555555555558E-2"/>
  </r>
  <r>
    <x v="4"/>
    <x v="10"/>
    <n v="0"/>
  </r>
  <r>
    <x v="4"/>
    <x v="11"/>
    <n v="0.66666666666666663"/>
  </r>
  <r>
    <x v="4"/>
    <x v="12"/>
    <n v="0.33333333333333337"/>
  </r>
  <r>
    <x v="4"/>
    <x v="13"/>
    <n v="4.25"/>
  </r>
  <r>
    <x v="4"/>
    <x v="14"/>
    <n v="330"/>
  </r>
  <r>
    <x v="4"/>
    <x v="15"/>
    <n v="0"/>
  </r>
  <r>
    <x v="4"/>
    <x v="16"/>
    <n v="60"/>
  </r>
  <r>
    <x v="4"/>
    <x v="17"/>
    <n v="270"/>
  </r>
  <r>
    <x v="4"/>
    <x v="18"/>
    <n v="50"/>
  </r>
  <r>
    <x v="4"/>
    <x v="19"/>
    <n v="0"/>
  </r>
  <r>
    <x v="4"/>
    <x v="20"/>
    <n v="220"/>
  </r>
  <r>
    <x v="4"/>
    <x v="21"/>
    <n v="0"/>
  </r>
  <r>
    <x v="4"/>
    <x v="22"/>
    <n v="0"/>
  </r>
  <r>
    <x v="4"/>
    <x v="23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4F3B6-1FAC-4F1B-A5C7-C09078B9F953}" name="TablaDinámica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E269:F274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x="20"/>
        <item h="1" x="14"/>
        <item h="1" x="23"/>
        <item x="19"/>
        <item x="18"/>
        <item x="17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4">
    <i>
      <x v="10"/>
    </i>
    <i>
      <x v="13"/>
    </i>
    <i>
      <x v="14"/>
    </i>
    <i>
      <x v="15"/>
    </i>
  </rowItems>
  <colFields count="1">
    <field x="0"/>
  </colFields>
  <colItems count="1">
    <i>
      <x/>
    </i>
  </colItems>
  <dataFields count="1">
    <dataField name="Suma de Resultado Obtenid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92115-D06D-4A8E-9235-7AFCFAC03428}" name="TablaDinámica1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H281:I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x="4"/>
        <item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19"/>
    </i>
    <i r="1">
      <x v="20"/>
    </i>
  </rowItems>
  <colItems count="1">
    <i/>
  </colItems>
  <dataFields count="1">
    <dataField name="Suma de Resultado Obtenido" fld="2" baseField="0" baseItem="0" numFmtId="10"/>
  </dataFields>
  <formats count="1">
    <format dxfId="6">
      <pivotArea outline="0" collapsedLevelsAreSubtotals="1" fieldPosition="0"/>
    </format>
  </formats>
  <chartFormats count="37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BA163-68C4-4FF7-AAA2-5BF998BCEB08}" name="TablaDiná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N281:O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h="1" x="4"/>
        <item h="1" x="5"/>
        <item x="6"/>
        <item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21"/>
    </i>
    <i r="1">
      <x v="22"/>
    </i>
  </rowItems>
  <colItems count="1">
    <i/>
  </colItems>
  <dataFields count="1">
    <dataField name="Suma de Resultado Obtenido" fld="2" baseField="0" baseItem="0" numFmtId="10"/>
  </dataFields>
  <formats count="1">
    <format dxfId="0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2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1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1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1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1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163E6-2E9A-4E6F-B9E6-66EAE7B08ACC}" name="TablaDiná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B269:C274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x="17"/>
        <item x="16"/>
        <item x="15"/>
        <item h="1" x="8"/>
        <item h="1" x="21"/>
        <item h="1" x="0"/>
        <item h="1" x="13"/>
        <item h="1" x="10"/>
        <item h="1" m="1" x="24"/>
        <item m="1" x="25"/>
        <item h="1" x="22"/>
        <item h="1" x="20"/>
        <item x="14"/>
        <item h="1" x="23"/>
        <item h="1" x="18"/>
        <item h="1" x="19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>
      <x v="12"/>
    </i>
  </rowItems>
  <colFields count="1">
    <field x="0"/>
  </colFields>
  <colItems count="1">
    <i>
      <x/>
    </i>
  </colItems>
  <dataFields count="1">
    <dataField name="Suma de Resultado Obtenid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EC275-C12F-493A-9DA4-E219F117C227}" name="TablaDinámica10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E281:F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x="2"/>
        <item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17"/>
    </i>
    <i r="1">
      <x v="18"/>
    </i>
  </rowItems>
  <colItems count="1">
    <i/>
  </colItems>
  <dataFields count="1">
    <dataField name="Suma de Resultado Obtenido" fld="2" baseField="0" baseItem="0" numFmtId="10"/>
  </dataFields>
  <formats count="1">
    <format dxfId="1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1F0E-F849-4706-9980-AB95910C2410}" name="TablaDinámica1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K281:L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h="1" x="4"/>
        <item h="1" x="5"/>
        <item h="1" x="6"/>
        <item h="1" x="7"/>
        <item h="1" x="9"/>
        <item x="11"/>
        <item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24"/>
    </i>
    <i r="1">
      <x v="25"/>
    </i>
  </rowItems>
  <colItems count="1">
    <i/>
  </colItems>
  <dataFields count="1">
    <dataField name="Suma de Resultado Obtenido" fld="2" baseField="0" baseItem="0" numFmtId="10"/>
  </dataFields>
  <formats count="1">
    <format dxfId="2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4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5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5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5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6BB4F-5526-4DE9-AC43-2015A0AA3DFF}" name="TablaDinámica8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7">
  <location ref="B281:C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3"/>
    </i>
    <i r="1">
      <x v="16"/>
    </i>
  </rowItems>
  <colItems count="1">
    <i/>
  </colItems>
  <dataFields count="1">
    <dataField name="Suma de Resultado Obtenido" fld="2" baseField="0" baseItem="0" numFmtId="10"/>
  </dataFields>
  <formats count="1">
    <format dxfId="3">
      <pivotArea outline="0" collapsedLevelsAreSubtotals="1" fieldPosition="0"/>
    </format>
  </formats>
  <chartFormats count="3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B36C1-983D-447B-99C0-A65C16A13468}" name="TablaDinámica1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K269:L272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3"/>
        <item h="1" x="22"/>
        <item h="1" x="21"/>
        <item h="1" x="0"/>
        <item x="13"/>
        <item x="10"/>
        <item h="1" m="1" x="24"/>
        <item h="1" m="1" x="25"/>
        <item h="1" x="16"/>
        <item h="1" x="17"/>
        <item h="1" x="14"/>
        <item h="1" x="18"/>
        <item h="1" x="19"/>
        <item h="1" x="20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2">
    <i>
      <x v="6"/>
    </i>
    <i>
      <x v="7"/>
    </i>
  </rowItems>
  <colFields count="1">
    <field x="0"/>
  </colFields>
  <colItems count="1">
    <i>
      <x/>
    </i>
  </colItems>
  <dataFields count="1">
    <dataField name="Suma de Resultado Obtenido" fld="2" baseField="0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79182-3716-41CA-9531-419831B24CCC}" name="TablaDinámica7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H269:I274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x="23"/>
        <item x="22"/>
        <item x="21"/>
        <item h="1" x="0"/>
        <item h="1" x="13"/>
        <item h="1" x="10"/>
        <item h="1" m="1" x="24"/>
        <item h="1" m="1" x="25"/>
        <item h="1" x="16"/>
        <item h="1" x="17"/>
        <item h="1" x="14"/>
        <item h="1" x="18"/>
        <item h="1" x="19"/>
        <item x="20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4">
    <i>
      <x v="2"/>
    </i>
    <i>
      <x v="3"/>
    </i>
    <i>
      <x v="4"/>
    </i>
    <i>
      <x v="15"/>
    </i>
  </rowItems>
  <colFields count="1">
    <field x="0"/>
  </colFields>
  <colItems count="1">
    <i>
      <x/>
    </i>
  </colItems>
  <dataFields count="1">
    <dataField name="Suma de Resultado Obtenid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43CFA-D976-4285-A0A3-B0D180903833}" name="TablaDinámica1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Q281:R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h="1" x="4"/>
        <item h="1" x="5"/>
        <item h="1" x="6"/>
        <item h="1" x="7"/>
        <item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1"/>
    </i>
    <i r="1">
      <x v="23"/>
    </i>
  </rowItems>
  <colItems count="1">
    <i/>
  </colItems>
  <dataFields count="1">
    <dataField name="Suma de Resultado Obtenido" fld="2" baseField="0" baseItem="0" numFmtId="10"/>
  </dataFields>
  <formats count="1">
    <format dxfId="5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3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3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3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áquinas2" xr10:uid="{01EEF3F7-45BD-4E78-B6A1-D7258CD72802}" sourceName="Máquinas">
  <pivotTables>
    <pivotTable tabId="6" name="TablaDinámica5"/>
    <pivotTable tabId="6" name="TablaDinámica6"/>
    <pivotTable tabId="6" name="TablaDinámica7"/>
    <pivotTable tabId="6" name="TablaDinámica8"/>
    <pivotTable tabId="6" name="TablaDinámica10"/>
    <pivotTable tabId="6" name="TablaDinámica11"/>
    <pivotTable tabId="6" name="TablaDinámica13"/>
    <pivotTable tabId="6" name="TablaDinámica14"/>
    <pivotTable tabId="6" name="TablaDinámica15"/>
    <pivotTable tabId="6" name="TablaDinámica16"/>
  </pivotTables>
  <data>
    <tabular pivotCacheId="1076498788">
      <items count="5">
        <i x="1" s="1"/>
        <i x="4"/>
        <i x="2"/>
        <i x="0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áquinas 2" xr10:uid="{E9EF5135-A5BD-435C-82A5-F3D7F6BF64DE}" cache="SegmentaciónDeDatos_Máquinas2" caption="Máquinas" style="Filtros" rowHeight="8640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32FF-C539-4A05-9BE3-98B98708D123}">
  <dimension ref="A1:J48"/>
  <sheetViews>
    <sheetView zoomScaleNormal="100" workbookViewId="0">
      <selection activeCell="G31" sqref="G31"/>
    </sheetView>
  </sheetViews>
  <sheetFormatPr baseColWidth="10" defaultRowHeight="14.4" x14ac:dyDescent="0.3"/>
  <cols>
    <col min="2" max="2" width="57.5546875" customWidth="1"/>
    <col min="8" max="8" width="11.5546875" style="8"/>
    <col min="9" max="9" width="59.77734375" customWidth="1"/>
    <col min="12" max="12" width="11.5546875" customWidth="1"/>
    <col min="14" max="14" width="11.5546875" customWidth="1"/>
  </cols>
  <sheetData>
    <row r="1" spans="1:9" ht="16.2" thickBot="1" x14ac:dyDescent="0.35">
      <c r="A1" s="65" t="s">
        <v>102</v>
      </c>
      <c r="B1" s="65" t="s">
        <v>101</v>
      </c>
      <c r="C1" s="65" t="s">
        <v>105</v>
      </c>
      <c r="D1" s="65" t="s">
        <v>104</v>
      </c>
      <c r="E1" s="65" t="s">
        <v>103</v>
      </c>
      <c r="F1" s="51"/>
      <c r="G1" s="51"/>
      <c r="H1" s="64" t="s">
        <v>102</v>
      </c>
      <c r="I1" s="64" t="s">
        <v>101</v>
      </c>
    </row>
    <row r="2" spans="1:9" ht="15.6" x14ac:dyDescent="0.3">
      <c r="A2" s="62">
        <v>1</v>
      </c>
      <c r="B2" s="60" t="s">
        <v>100</v>
      </c>
      <c r="C2" s="61">
        <v>0.15</v>
      </c>
      <c r="D2" s="60">
        <v>0.3</v>
      </c>
      <c r="E2" s="59">
        <f t="shared" ref="E2:E12" si="0">C2*D2</f>
        <v>4.4999999999999998E-2</v>
      </c>
      <c r="F2" s="58"/>
      <c r="G2" s="58"/>
      <c r="H2" s="51">
        <v>1</v>
      </c>
      <c r="I2" s="63" t="s">
        <v>100</v>
      </c>
    </row>
    <row r="3" spans="1:9" ht="15.6" x14ac:dyDescent="0.3">
      <c r="A3" s="62">
        <v>2</v>
      </c>
      <c r="B3" s="60" t="s">
        <v>97</v>
      </c>
      <c r="C3" s="61">
        <v>0.15</v>
      </c>
      <c r="D3" s="60">
        <v>0.3</v>
      </c>
      <c r="E3" s="59">
        <f t="shared" si="0"/>
        <v>4.4999999999999998E-2</v>
      </c>
      <c r="F3" s="58"/>
      <c r="G3" s="58"/>
      <c r="H3" s="51"/>
      <c r="I3" s="48" t="s">
        <v>99</v>
      </c>
    </row>
    <row r="4" spans="1:9" ht="15.6" x14ac:dyDescent="0.3">
      <c r="A4" s="62">
        <v>3</v>
      </c>
      <c r="B4" s="60" t="s">
        <v>93</v>
      </c>
      <c r="C4" s="61">
        <v>0.12</v>
      </c>
      <c r="D4" s="60">
        <v>0.3</v>
      </c>
      <c r="E4" s="59">
        <f t="shared" si="0"/>
        <v>3.5999999999999997E-2</v>
      </c>
      <c r="F4" s="58"/>
      <c r="G4" s="58"/>
      <c r="H4" s="50"/>
      <c r="I4" s="48" t="s">
        <v>98</v>
      </c>
    </row>
    <row r="5" spans="1:9" ht="15.6" x14ac:dyDescent="0.3">
      <c r="A5" s="62">
        <v>4</v>
      </c>
      <c r="B5" s="60" t="s">
        <v>91</v>
      </c>
      <c r="C5" s="61">
        <v>0.1</v>
      </c>
      <c r="D5" s="60">
        <v>0.3</v>
      </c>
      <c r="E5" s="59">
        <f t="shared" si="0"/>
        <v>0.03</v>
      </c>
      <c r="F5" s="58"/>
      <c r="G5" s="58"/>
      <c r="H5" s="51"/>
    </row>
    <row r="6" spans="1:9" ht="15.6" x14ac:dyDescent="0.3">
      <c r="A6" s="62">
        <v>5</v>
      </c>
      <c r="B6" s="60" t="s">
        <v>88</v>
      </c>
      <c r="C6" s="61">
        <v>0.08</v>
      </c>
      <c r="D6" s="60">
        <v>0.5</v>
      </c>
      <c r="E6" s="59">
        <f t="shared" si="0"/>
        <v>0.04</v>
      </c>
      <c r="F6" s="58"/>
      <c r="G6" s="58"/>
      <c r="H6" s="51">
        <v>2</v>
      </c>
      <c r="I6" s="50" t="s">
        <v>97</v>
      </c>
    </row>
    <row r="7" spans="1:9" ht="16.2" x14ac:dyDescent="0.3">
      <c r="A7" s="62">
        <v>6</v>
      </c>
      <c r="B7" s="60" t="s">
        <v>86</v>
      </c>
      <c r="C7" s="61">
        <v>0.08</v>
      </c>
      <c r="D7" s="60">
        <v>0.5</v>
      </c>
      <c r="E7" s="59">
        <f t="shared" si="0"/>
        <v>0.04</v>
      </c>
      <c r="F7" s="58"/>
      <c r="G7" s="58"/>
      <c r="H7" s="54"/>
      <c r="I7" s="48" t="s">
        <v>96</v>
      </c>
    </row>
    <row r="8" spans="1:9" ht="15.6" x14ac:dyDescent="0.3">
      <c r="A8" s="62">
        <v>7</v>
      </c>
      <c r="B8" s="60" t="s">
        <v>95</v>
      </c>
      <c r="C8" s="61">
        <v>0.08</v>
      </c>
      <c r="D8" s="60">
        <v>0.5</v>
      </c>
      <c r="E8" s="59">
        <f t="shared" si="0"/>
        <v>0.04</v>
      </c>
      <c r="F8" s="58"/>
      <c r="G8" s="58"/>
      <c r="H8" s="51"/>
      <c r="I8" s="48" t="s">
        <v>94</v>
      </c>
    </row>
    <row r="9" spans="1:9" ht="15.6" x14ac:dyDescent="0.3">
      <c r="A9" s="62">
        <v>8</v>
      </c>
      <c r="B9" s="60" t="s">
        <v>81</v>
      </c>
      <c r="C9" s="61">
        <v>0.08</v>
      </c>
      <c r="D9" s="60">
        <v>0.3</v>
      </c>
      <c r="E9" s="59">
        <f t="shared" si="0"/>
        <v>2.4E-2</v>
      </c>
      <c r="F9" s="58"/>
      <c r="G9" s="58"/>
      <c r="H9" s="51"/>
      <c r="I9" s="48"/>
    </row>
    <row r="10" spans="1:9" ht="15.6" x14ac:dyDescent="0.3">
      <c r="A10" s="62">
        <v>9</v>
      </c>
      <c r="B10" s="60" t="s">
        <v>77</v>
      </c>
      <c r="C10" s="61">
        <v>0.06</v>
      </c>
      <c r="D10" s="60">
        <v>0</v>
      </c>
      <c r="E10" s="59">
        <f t="shared" si="0"/>
        <v>0</v>
      </c>
      <c r="F10" s="58"/>
      <c r="G10" s="58"/>
      <c r="H10" s="51">
        <v>3</v>
      </c>
      <c r="I10" s="50" t="s">
        <v>93</v>
      </c>
    </row>
    <row r="11" spans="1:9" ht="15.6" x14ac:dyDescent="0.3">
      <c r="A11" s="62">
        <v>10</v>
      </c>
      <c r="B11" s="60" t="s">
        <v>74</v>
      </c>
      <c r="C11" s="61">
        <v>0.05</v>
      </c>
      <c r="D11" s="60">
        <v>1</v>
      </c>
      <c r="E11" s="59">
        <f t="shared" si="0"/>
        <v>0.05</v>
      </c>
      <c r="F11" s="58"/>
      <c r="G11" s="58"/>
      <c r="H11" s="51"/>
      <c r="I11" s="48" t="s">
        <v>92</v>
      </c>
    </row>
    <row r="12" spans="1:9" ht="15.6" x14ac:dyDescent="0.3">
      <c r="A12" s="62">
        <v>11</v>
      </c>
      <c r="B12" s="60" t="s">
        <v>73</v>
      </c>
      <c r="C12" s="61">
        <v>0.05</v>
      </c>
      <c r="D12" s="60">
        <v>0.3</v>
      </c>
      <c r="E12" s="59">
        <f t="shared" si="0"/>
        <v>1.4999999999999999E-2</v>
      </c>
      <c r="F12" s="58"/>
      <c r="G12" s="58"/>
      <c r="H12" s="52"/>
      <c r="I12" s="48"/>
    </row>
    <row r="13" spans="1:9" ht="15.6" x14ac:dyDescent="0.3">
      <c r="C13" s="57">
        <f>SUM(C2:C12)</f>
        <v>1</v>
      </c>
      <c r="E13" s="57">
        <f>SUM(E2:E12)</f>
        <v>0.36500000000000005</v>
      </c>
      <c r="F13" s="56"/>
      <c r="G13" s="56"/>
      <c r="H13" s="51">
        <v>4</v>
      </c>
      <c r="I13" s="50" t="s">
        <v>91</v>
      </c>
    </row>
    <row r="14" spans="1:9" ht="15.6" x14ac:dyDescent="0.3">
      <c r="H14" s="51"/>
      <c r="I14" s="48" t="s">
        <v>90</v>
      </c>
    </row>
    <row r="15" spans="1:9" ht="15.6" x14ac:dyDescent="0.3">
      <c r="A15" s="51"/>
      <c r="B15" s="77"/>
      <c r="C15" s="77"/>
      <c r="H15" s="51"/>
      <c r="I15" s="48" t="s">
        <v>89</v>
      </c>
    </row>
    <row r="16" spans="1:9" ht="15.6" x14ac:dyDescent="0.3">
      <c r="A16" s="51"/>
      <c r="B16" s="78"/>
      <c r="C16" s="78"/>
      <c r="H16" s="51"/>
      <c r="I16" s="53"/>
    </row>
    <row r="17" spans="1:9" ht="15.6" x14ac:dyDescent="0.3">
      <c r="A17" s="51"/>
      <c r="B17" s="79"/>
      <c r="C17" s="79"/>
      <c r="H17" s="51">
        <v>5</v>
      </c>
      <c r="I17" s="50" t="s">
        <v>88</v>
      </c>
    </row>
    <row r="18" spans="1:9" ht="15.6" x14ac:dyDescent="0.3">
      <c r="A18" s="51"/>
      <c r="B18" s="79"/>
      <c r="C18" s="79"/>
      <c r="H18" s="51"/>
      <c r="I18" s="55" t="s">
        <v>87</v>
      </c>
    </row>
    <row r="19" spans="1:9" ht="15.6" x14ac:dyDescent="0.3">
      <c r="A19" s="51"/>
      <c r="B19" s="53"/>
      <c r="C19" s="47"/>
      <c r="H19" s="51"/>
      <c r="I19" s="50"/>
    </row>
    <row r="20" spans="1:9" ht="15.6" x14ac:dyDescent="0.3">
      <c r="A20" s="51"/>
      <c r="B20" s="50"/>
      <c r="C20" s="47"/>
      <c r="H20" s="51">
        <v>6</v>
      </c>
      <c r="I20" s="50" t="s">
        <v>86</v>
      </c>
    </row>
    <row r="21" spans="1:9" ht="16.2" x14ac:dyDescent="0.3">
      <c r="A21" s="54"/>
      <c r="B21" s="48"/>
      <c r="C21" s="47"/>
      <c r="H21" s="52"/>
      <c r="I21" s="48" t="s">
        <v>85</v>
      </c>
    </row>
    <row r="22" spans="1:9" ht="15.6" x14ac:dyDescent="0.3">
      <c r="A22" s="51"/>
      <c r="B22" s="48"/>
      <c r="C22" s="47"/>
      <c r="H22" s="52"/>
      <c r="I22" s="48" t="s">
        <v>84</v>
      </c>
    </row>
    <row r="23" spans="1:9" ht="15.6" x14ac:dyDescent="0.3">
      <c r="A23" s="51"/>
      <c r="B23" s="48"/>
      <c r="C23" s="47"/>
      <c r="H23" s="52"/>
      <c r="I23" s="48"/>
    </row>
    <row r="24" spans="1:9" ht="15.6" x14ac:dyDescent="0.3">
      <c r="A24" s="51"/>
      <c r="B24" s="50"/>
      <c r="C24" s="47"/>
      <c r="H24" s="51">
        <v>7</v>
      </c>
      <c r="I24" s="50" t="s">
        <v>83</v>
      </c>
    </row>
    <row r="25" spans="1:9" ht="15.6" x14ac:dyDescent="0.3">
      <c r="A25" s="52"/>
      <c r="B25" s="48"/>
      <c r="C25" s="47"/>
      <c r="H25" s="51"/>
      <c r="I25" s="48" t="s">
        <v>82</v>
      </c>
    </row>
    <row r="26" spans="1:9" ht="15.6" x14ac:dyDescent="0.3">
      <c r="A26" s="52"/>
      <c r="B26" s="79"/>
      <c r="C26" s="79"/>
      <c r="H26" s="51"/>
      <c r="I26" s="48"/>
    </row>
    <row r="27" spans="1:9" ht="15.6" x14ac:dyDescent="0.3">
      <c r="A27" s="52"/>
      <c r="B27" s="48"/>
      <c r="C27" s="47"/>
      <c r="H27" s="51">
        <v>8</v>
      </c>
      <c r="I27" s="50" t="s">
        <v>81</v>
      </c>
    </row>
    <row r="28" spans="1:9" ht="15.6" x14ac:dyDescent="0.3">
      <c r="A28" s="51"/>
      <c r="B28" s="50"/>
      <c r="C28" s="47"/>
      <c r="H28" s="51"/>
      <c r="I28" s="48" t="s">
        <v>80</v>
      </c>
    </row>
    <row r="29" spans="1:9" ht="15.6" x14ac:dyDescent="0.3">
      <c r="A29" s="51"/>
      <c r="B29" s="79"/>
      <c r="C29" s="79"/>
      <c r="H29" s="51"/>
      <c r="I29" s="48" t="s">
        <v>79</v>
      </c>
    </row>
    <row r="30" spans="1:9" ht="15.6" x14ac:dyDescent="0.3">
      <c r="A30" s="51"/>
      <c r="B30" s="76"/>
      <c r="C30" s="76"/>
      <c r="H30" s="51"/>
      <c r="I30" s="48" t="s">
        <v>78</v>
      </c>
    </row>
    <row r="31" spans="1:9" ht="15.6" x14ac:dyDescent="0.3">
      <c r="A31" s="51"/>
      <c r="B31" s="50"/>
      <c r="C31" s="47"/>
      <c r="H31" s="51"/>
      <c r="I31" s="53"/>
    </row>
    <row r="32" spans="1:9" ht="15.6" x14ac:dyDescent="0.3">
      <c r="A32" s="51"/>
      <c r="B32" s="48"/>
      <c r="C32" s="47"/>
      <c r="H32" s="51">
        <v>9</v>
      </c>
      <c r="I32" s="50" t="s">
        <v>77</v>
      </c>
    </row>
    <row r="33" spans="1:10" ht="15.6" x14ac:dyDescent="0.3">
      <c r="A33" s="51"/>
      <c r="B33" s="79"/>
      <c r="C33" s="79"/>
      <c r="H33" s="52"/>
      <c r="I33" s="48" t="s">
        <v>76</v>
      </c>
    </row>
    <row r="34" spans="1:10" ht="15.6" x14ac:dyDescent="0.3">
      <c r="A34" s="51"/>
      <c r="B34" s="50"/>
      <c r="C34" s="47"/>
      <c r="H34" s="52"/>
      <c r="I34" s="48" t="s">
        <v>75</v>
      </c>
      <c r="J34" s="47"/>
    </row>
    <row r="35" spans="1:10" ht="15.6" x14ac:dyDescent="0.3">
      <c r="A35" s="51"/>
      <c r="B35" s="76"/>
      <c r="C35" s="76"/>
      <c r="H35" s="52"/>
      <c r="I35" s="48"/>
      <c r="J35" s="47"/>
    </row>
    <row r="36" spans="1:10" ht="15.6" x14ac:dyDescent="0.3">
      <c r="A36" s="51"/>
      <c r="B36" s="76"/>
      <c r="C36" s="76"/>
      <c r="H36" s="51">
        <v>10</v>
      </c>
      <c r="I36" s="52" t="s">
        <v>74</v>
      </c>
      <c r="J36" s="48"/>
    </row>
    <row r="37" spans="1:10" ht="15.6" x14ac:dyDescent="0.3">
      <c r="A37" s="51"/>
      <c r="B37" s="76"/>
      <c r="C37" s="76"/>
      <c r="H37" s="51"/>
      <c r="I37" s="75" t="s">
        <v>136</v>
      </c>
      <c r="J37" s="48"/>
    </row>
    <row r="38" spans="1:10" ht="15.6" x14ac:dyDescent="0.3">
      <c r="A38" s="51"/>
      <c r="B38" s="76"/>
      <c r="C38" s="76"/>
      <c r="H38" s="51"/>
      <c r="I38" s="52"/>
      <c r="J38" s="48"/>
    </row>
    <row r="39" spans="1:10" ht="15.6" x14ac:dyDescent="0.3">
      <c r="A39" s="51"/>
      <c r="B39" s="50"/>
      <c r="C39" s="47"/>
      <c r="H39" s="51">
        <v>11</v>
      </c>
      <c r="I39" s="50" t="s">
        <v>73</v>
      </c>
      <c r="J39" s="48"/>
    </row>
    <row r="40" spans="1:10" ht="15.6" x14ac:dyDescent="0.3">
      <c r="A40" s="51"/>
      <c r="B40" s="79"/>
      <c r="C40" s="79"/>
      <c r="H40" s="51"/>
      <c r="I40" s="48" t="s">
        <v>72</v>
      </c>
    </row>
    <row r="41" spans="1:10" ht="15.6" x14ac:dyDescent="0.3">
      <c r="A41" s="51"/>
      <c r="B41" s="79"/>
      <c r="C41" s="79"/>
      <c r="H41" s="51"/>
      <c r="I41" s="53"/>
    </row>
    <row r="42" spans="1:10" ht="15.6" x14ac:dyDescent="0.3">
      <c r="A42" s="51"/>
      <c r="B42" s="48"/>
      <c r="C42" s="47"/>
      <c r="H42" s="51"/>
      <c r="I42" s="50"/>
    </row>
    <row r="43" spans="1:10" ht="15.6" x14ac:dyDescent="0.3">
      <c r="A43" s="51"/>
      <c r="B43" s="50"/>
      <c r="C43" s="47"/>
      <c r="H43" s="52"/>
      <c r="I43" s="48"/>
    </row>
    <row r="44" spans="1:10" ht="15.6" x14ac:dyDescent="0.3">
      <c r="A44" s="51"/>
      <c r="B44" s="79"/>
      <c r="C44" s="79"/>
      <c r="H44" s="52"/>
      <c r="I44" s="48"/>
    </row>
    <row r="45" spans="1:10" ht="15.6" x14ac:dyDescent="0.3">
      <c r="A45" s="51"/>
      <c r="B45" s="76"/>
      <c r="C45" s="76"/>
    </row>
    <row r="46" spans="1:10" ht="15.6" x14ac:dyDescent="0.3">
      <c r="A46" s="51"/>
      <c r="B46" s="50"/>
      <c r="C46" s="47"/>
    </row>
    <row r="47" spans="1:10" ht="15.6" x14ac:dyDescent="0.3">
      <c r="A47" s="49"/>
      <c r="B47" s="79"/>
      <c r="C47" s="79"/>
    </row>
    <row r="48" spans="1:10" ht="15.6" x14ac:dyDescent="0.3">
      <c r="A48" s="49"/>
      <c r="B48" s="48"/>
      <c r="C48" s="47"/>
    </row>
  </sheetData>
  <mergeCells count="17">
    <mergeCell ref="B40:C40"/>
    <mergeCell ref="B41:C41"/>
    <mergeCell ref="B44:C44"/>
    <mergeCell ref="B45:C45"/>
    <mergeCell ref="B47:C47"/>
    <mergeCell ref="B38:C38"/>
    <mergeCell ref="B15:C15"/>
    <mergeCell ref="B16:C16"/>
    <mergeCell ref="B17:C17"/>
    <mergeCell ref="B18:C18"/>
    <mergeCell ref="B26:C26"/>
    <mergeCell ref="B29:C29"/>
    <mergeCell ref="B30:C30"/>
    <mergeCell ref="B33:C33"/>
    <mergeCell ref="B35:C35"/>
    <mergeCell ref="B36:C36"/>
    <mergeCell ref="B37:C3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1D49-FE53-4EEA-A4EF-DBD88978AB79}">
  <dimension ref="A1:G15"/>
  <sheetViews>
    <sheetView showGridLines="0" workbookViewId="0">
      <selection activeCell="A20" sqref="A20"/>
    </sheetView>
  </sheetViews>
  <sheetFormatPr baseColWidth="10" defaultRowHeight="14.4" x14ac:dyDescent="0.3"/>
  <cols>
    <col min="1" max="1" width="17.33203125" customWidth="1"/>
    <col min="2" max="3" width="11.5546875" customWidth="1"/>
    <col min="4" max="5" width="16.77734375" style="66" customWidth="1"/>
    <col min="6" max="6" width="16.21875" customWidth="1"/>
    <col min="7" max="7" width="17.88671875" customWidth="1"/>
  </cols>
  <sheetData>
    <row r="1" spans="1:7" ht="24.6" customHeight="1" x14ac:dyDescent="0.3">
      <c r="A1" s="80" t="s">
        <v>135</v>
      </c>
      <c r="B1" s="80"/>
      <c r="C1" s="80"/>
      <c r="D1" s="80"/>
      <c r="E1" s="80"/>
      <c r="F1" s="80"/>
      <c r="G1" s="80"/>
    </row>
    <row r="2" spans="1:7" ht="15.6" x14ac:dyDescent="0.3">
      <c r="A2" s="74" t="s">
        <v>134</v>
      </c>
      <c r="B2" s="74" t="s">
        <v>133</v>
      </c>
      <c r="C2" s="74" t="s">
        <v>132</v>
      </c>
      <c r="D2" s="74" t="s">
        <v>131</v>
      </c>
      <c r="E2" s="74" t="s">
        <v>130</v>
      </c>
      <c r="F2" s="74" t="s">
        <v>129</v>
      </c>
      <c r="G2" s="74" t="s">
        <v>128</v>
      </c>
    </row>
    <row r="3" spans="1:7" ht="15.6" x14ac:dyDescent="0.3">
      <c r="A3" s="73" t="s">
        <v>32</v>
      </c>
      <c r="B3" s="73" t="s">
        <v>107</v>
      </c>
      <c r="C3" s="73" t="s">
        <v>127</v>
      </c>
      <c r="D3" s="69">
        <v>5</v>
      </c>
      <c r="E3" s="72">
        <f t="shared" ref="E3:E14" si="0">D3/$D$15</f>
        <v>0.10869565217391304</v>
      </c>
      <c r="F3" s="71">
        <f>D3</f>
        <v>5</v>
      </c>
      <c r="G3" s="70">
        <f t="shared" ref="G3:G14" si="1">F3/$D$15</f>
        <v>0.10869565217391304</v>
      </c>
    </row>
    <row r="4" spans="1:7" ht="31.2" x14ac:dyDescent="0.3">
      <c r="A4" s="73" t="s">
        <v>114</v>
      </c>
      <c r="B4" s="73" t="s">
        <v>126</v>
      </c>
      <c r="C4" s="73" t="s">
        <v>125</v>
      </c>
      <c r="D4" s="69">
        <v>5</v>
      </c>
      <c r="E4" s="72">
        <f t="shared" si="0"/>
        <v>0.10869565217391304</v>
      </c>
      <c r="F4" s="71">
        <f t="shared" ref="F4:F14" si="2">D4+F3</f>
        <v>10</v>
      </c>
      <c r="G4" s="70">
        <f t="shared" si="1"/>
        <v>0.21739130434782608</v>
      </c>
    </row>
    <row r="5" spans="1:7" ht="15.6" x14ac:dyDescent="0.3">
      <c r="A5" s="73" t="s">
        <v>108</v>
      </c>
      <c r="B5" s="73" t="s">
        <v>124</v>
      </c>
      <c r="C5" s="73" t="s">
        <v>123</v>
      </c>
      <c r="D5" s="69">
        <v>5</v>
      </c>
      <c r="E5" s="72">
        <f t="shared" si="0"/>
        <v>0.10869565217391304</v>
      </c>
      <c r="F5" s="71">
        <f t="shared" si="2"/>
        <v>15</v>
      </c>
      <c r="G5" s="70">
        <f t="shared" si="1"/>
        <v>0.32608695652173914</v>
      </c>
    </row>
    <row r="6" spans="1:7" ht="15.6" x14ac:dyDescent="0.3">
      <c r="A6" s="73" t="s">
        <v>29</v>
      </c>
      <c r="B6" s="73" t="s">
        <v>122</v>
      </c>
      <c r="C6" s="73" t="s">
        <v>121</v>
      </c>
      <c r="D6" s="69">
        <v>5</v>
      </c>
      <c r="E6" s="72">
        <f t="shared" si="0"/>
        <v>0.10869565217391304</v>
      </c>
      <c r="F6" s="71">
        <f t="shared" si="2"/>
        <v>20</v>
      </c>
      <c r="G6" s="70">
        <f t="shared" si="1"/>
        <v>0.43478260869565216</v>
      </c>
    </row>
    <row r="7" spans="1:7" ht="31.2" x14ac:dyDescent="0.3">
      <c r="A7" s="73" t="s">
        <v>28</v>
      </c>
      <c r="B7" s="73" t="s">
        <v>116</v>
      </c>
      <c r="C7" s="73" t="s">
        <v>120</v>
      </c>
      <c r="D7" s="69">
        <v>5</v>
      </c>
      <c r="E7" s="72">
        <f t="shared" si="0"/>
        <v>0.10869565217391304</v>
      </c>
      <c r="F7" s="71">
        <f t="shared" si="2"/>
        <v>25</v>
      </c>
      <c r="G7" s="70">
        <f t="shared" si="1"/>
        <v>0.54347826086956519</v>
      </c>
    </row>
    <row r="8" spans="1:7" ht="15.6" x14ac:dyDescent="0.3">
      <c r="A8" s="73" t="s">
        <v>32</v>
      </c>
      <c r="B8" s="73" t="s">
        <v>116</v>
      </c>
      <c r="C8" s="73" t="s">
        <v>119</v>
      </c>
      <c r="D8" s="69">
        <v>4</v>
      </c>
      <c r="E8" s="72">
        <f t="shared" si="0"/>
        <v>8.6956521739130432E-2</v>
      </c>
      <c r="F8" s="71">
        <f t="shared" si="2"/>
        <v>29</v>
      </c>
      <c r="G8" s="70">
        <f t="shared" si="1"/>
        <v>0.63043478260869568</v>
      </c>
    </row>
    <row r="9" spans="1:7" ht="31.2" x14ac:dyDescent="0.3">
      <c r="A9" s="73" t="s">
        <v>118</v>
      </c>
      <c r="B9" s="73" t="s">
        <v>111</v>
      </c>
      <c r="C9" s="73" t="s">
        <v>117</v>
      </c>
      <c r="D9" s="69">
        <v>4</v>
      </c>
      <c r="E9" s="72">
        <f t="shared" si="0"/>
        <v>8.6956521739130432E-2</v>
      </c>
      <c r="F9" s="71">
        <f t="shared" si="2"/>
        <v>33</v>
      </c>
      <c r="G9" s="70">
        <f t="shared" si="1"/>
        <v>0.71739130434782605</v>
      </c>
    </row>
    <row r="10" spans="1:7" ht="15.6" x14ac:dyDescent="0.3">
      <c r="A10" s="73" t="s">
        <v>32</v>
      </c>
      <c r="B10" s="73" t="s">
        <v>116</v>
      </c>
      <c r="C10" s="73" t="s">
        <v>115</v>
      </c>
      <c r="D10" s="69">
        <v>3</v>
      </c>
      <c r="E10" s="72">
        <f t="shared" si="0"/>
        <v>6.5217391304347824E-2</v>
      </c>
      <c r="F10" s="71">
        <f t="shared" si="2"/>
        <v>36</v>
      </c>
      <c r="G10" s="70">
        <f t="shared" si="1"/>
        <v>0.78260869565217395</v>
      </c>
    </row>
    <row r="11" spans="1:7" ht="31.2" x14ac:dyDescent="0.3">
      <c r="A11" s="73" t="s">
        <v>114</v>
      </c>
      <c r="B11" s="73" t="s">
        <v>113</v>
      </c>
      <c r="C11" s="73" t="s">
        <v>112</v>
      </c>
      <c r="D11" s="69">
        <v>3</v>
      </c>
      <c r="E11" s="72">
        <f t="shared" si="0"/>
        <v>6.5217391304347824E-2</v>
      </c>
      <c r="F11" s="71">
        <f t="shared" si="2"/>
        <v>39</v>
      </c>
      <c r="G11" s="70">
        <f t="shared" si="1"/>
        <v>0.84782608695652173</v>
      </c>
    </row>
    <row r="12" spans="1:7" ht="31.2" x14ac:dyDescent="0.3">
      <c r="A12" s="73" t="s">
        <v>108</v>
      </c>
      <c r="B12" s="73" t="s">
        <v>111</v>
      </c>
      <c r="C12" s="73" t="s">
        <v>110</v>
      </c>
      <c r="D12" s="69">
        <v>3</v>
      </c>
      <c r="E12" s="72">
        <f t="shared" si="0"/>
        <v>6.5217391304347824E-2</v>
      </c>
      <c r="F12" s="71">
        <f t="shared" si="2"/>
        <v>42</v>
      </c>
      <c r="G12" s="70">
        <f t="shared" si="1"/>
        <v>0.91304347826086951</v>
      </c>
    </row>
    <row r="13" spans="1:7" ht="15.6" x14ac:dyDescent="0.3">
      <c r="A13" s="73" t="s">
        <v>32</v>
      </c>
      <c r="B13" s="73" t="s">
        <v>107</v>
      </c>
      <c r="C13" s="73" t="s">
        <v>109</v>
      </c>
      <c r="D13" s="69">
        <v>2</v>
      </c>
      <c r="E13" s="72">
        <f t="shared" si="0"/>
        <v>4.3478260869565216E-2</v>
      </c>
      <c r="F13" s="71">
        <f t="shared" si="2"/>
        <v>44</v>
      </c>
      <c r="G13" s="70">
        <f t="shared" si="1"/>
        <v>0.95652173913043481</v>
      </c>
    </row>
    <row r="14" spans="1:7" ht="15.6" x14ac:dyDescent="0.3">
      <c r="A14" s="73" t="s">
        <v>108</v>
      </c>
      <c r="B14" s="73" t="s">
        <v>107</v>
      </c>
      <c r="C14" s="73" t="s">
        <v>106</v>
      </c>
      <c r="D14" s="69">
        <v>2</v>
      </c>
      <c r="E14" s="72">
        <f t="shared" si="0"/>
        <v>4.3478260869565216E-2</v>
      </c>
      <c r="F14" s="71">
        <f t="shared" si="2"/>
        <v>46</v>
      </c>
      <c r="G14" s="70">
        <f t="shared" si="1"/>
        <v>1</v>
      </c>
    </row>
    <row r="15" spans="1:7" x14ac:dyDescent="0.3">
      <c r="A15" s="67"/>
      <c r="B15" s="67"/>
      <c r="C15" s="67"/>
      <c r="D15" s="69">
        <f>SUM(D3:D14)</f>
        <v>46</v>
      </c>
      <c r="E15" s="68"/>
      <c r="F15" s="67"/>
      <c r="G15" s="67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FAEA-5338-410F-A4A7-30A7586401D3}">
  <sheetPr codeName="Hoja1"/>
  <dimension ref="A16:F79"/>
  <sheetViews>
    <sheetView showGridLines="0" topLeftCell="A22" zoomScale="117" zoomScaleNormal="117" workbookViewId="0">
      <selection activeCell="D32" sqref="D32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  <col min="4" max="4" width="25.44140625" customWidth="1"/>
  </cols>
  <sheetData>
    <row r="16" spans="1:6" ht="15.6" x14ac:dyDescent="0.3">
      <c r="A16" s="7" t="s">
        <v>0</v>
      </c>
      <c r="B16" s="6">
        <v>5</v>
      </c>
      <c r="C16" s="4"/>
      <c r="D16" s="3"/>
      <c r="E16" s="3"/>
      <c r="F16" s="3"/>
    </row>
    <row r="17" spans="1:6" ht="15.6" x14ac:dyDescent="0.3">
      <c r="A17" s="7" t="s">
        <v>6</v>
      </c>
      <c r="B17" s="6">
        <v>1950</v>
      </c>
      <c r="C17" s="3"/>
      <c r="D17" s="3"/>
      <c r="E17" s="3"/>
      <c r="F17" s="3"/>
    </row>
    <row r="18" spans="1:6" ht="15.6" x14ac:dyDescent="0.3">
      <c r="A18" s="3"/>
      <c r="B18" s="3"/>
      <c r="C18" s="3"/>
      <c r="D18" s="3"/>
      <c r="E18" s="3"/>
    </row>
    <row r="19" spans="1:6" ht="14.4" customHeight="1" x14ac:dyDescent="0.3">
      <c r="A19" s="95" t="s">
        <v>1</v>
      </c>
      <c r="B19" s="106" t="s">
        <v>2</v>
      </c>
      <c r="C19" s="88">
        <f>4*20*B16</f>
        <v>400</v>
      </c>
    </row>
    <row r="20" spans="1:6" ht="16.95" customHeight="1" x14ac:dyDescent="0.3">
      <c r="A20" s="96"/>
      <c r="B20" s="107"/>
      <c r="C20" s="89"/>
    </row>
    <row r="21" spans="1:6" ht="15.6" customHeight="1" x14ac:dyDescent="0.3">
      <c r="A21" s="95" t="s">
        <v>15</v>
      </c>
      <c r="B21" s="88" t="s">
        <v>16</v>
      </c>
      <c r="C21" s="88" t="s">
        <v>16</v>
      </c>
    </row>
    <row r="22" spans="1:6" ht="15.6" customHeight="1" x14ac:dyDescent="0.3">
      <c r="A22" s="108"/>
      <c r="B22" s="89"/>
      <c r="C22" s="89"/>
    </row>
    <row r="23" spans="1:6" x14ac:dyDescent="0.3">
      <c r="B23" s="100" t="s">
        <v>7</v>
      </c>
      <c r="C23" s="100">
        <f>SUM(C19:C22)</f>
        <v>400</v>
      </c>
    </row>
    <row r="24" spans="1:6" x14ac:dyDescent="0.3">
      <c r="A24" s="5"/>
      <c r="B24" s="101"/>
      <c r="C24" s="101"/>
    </row>
    <row r="25" spans="1:6" x14ac:dyDescent="0.3">
      <c r="A25" s="8"/>
      <c r="B25" s="9"/>
      <c r="C25" s="9"/>
    </row>
    <row r="26" spans="1:6" x14ac:dyDescent="0.3">
      <c r="A26" s="83" t="s">
        <v>8</v>
      </c>
      <c r="B26" s="84"/>
      <c r="C26" s="11">
        <f>B17-C23</f>
        <v>1550</v>
      </c>
    </row>
    <row r="27" spans="1:6" x14ac:dyDescent="0.3">
      <c r="A27" s="12"/>
      <c r="B27" s="12"/>
      <c r="C27" s="9"/>
    </row>
    <row r="28" spans="1:6" x14ac:dyDescent="0.3">
      <c r="A28" s="12"/>
      <c r="B28" s="12"/>
      <c r="C28" s="9"/>
    </row>
    <row r="29" spans="1:6" ht="14.4" customHeight="1" x14ac:dyDescent="0.3">
      <c r="A29" s="86" t="s">
        <v>17</v>
      </c>
      <c r="B29" s="88" t="s">
        <v>16</v>
      </c>
      <c r="C29" s="88" t="s">
        <v>16</v>
      </c>
    </row>
    <row r="30" spans="1:6" ht="17.399999999999999" customHeight="1" x14ac:dyDescent="0.3">
      <c r="A30" s="87"/>
      <c r="B30" s="89"/>
      <c r="C30" s="89"/>
    </row>
    <row r="31" spans="1:6" ht="14.4" customHeight="1" x14ac:dyDescent="0.3">
      <c r="A31" s="97" t="s">
        <v>3</v>
      </c>
      <c r="B31" s="102" t="s">
        <v>4</v>
      </c>
      <c r="C31" s="88">
        <f>32*B16</f>
        <v>160</v>
      </c>
    </row>
    <row r="32" spans="1:6" ht="16.95" customHeight="1" x14ac:dyDescent="0.3">
      <c r="A32" s="98"/>
      <c r="B32" s="103"/>
      <c r="C32" s="89"/>
    </row>
    <row r="33" spans="1:3" x14ac:dyDescent="0.3">
      <c r="A33" s="98"/>
      <c r="B33" s="104" t="s">
        <v>5</v>
      </c>
      <c r="C33" s="105">
        <f>28*B16</f>
        <v>140</v>
      </c>
    </row>
    <row r="34" spans="1:3" x14ac:dyDescent="0.3">
      <c r="A34" s="99"/>
      <c r="B34" s="104"/>
      <c r="C34" s="105"/>
    </row>
    <row r="35" spans="1:3" x14ac:dyDescent="0.3">
      <c r="A35" s="2"/>
      <c r="B35" s="81" t="s">
        <v>7</v>
      </c>
      <c r="C35" s="81">
        <f>SUM(C29:C34)</f>
        <v>300</v>
      </c>
    </row>
    <row r="36" spans="1:3" x14ac:dyDescent="0.3">
      <c r="B36" s="82"/>
      <c r="C36" s="82"/>
    </row>
    <row r="38" spans="1:3" x14ac:dyDescent="0.3">
      <c r="A38" s="85" t="s">
        <v>9</v>
      </c>
      <c r="B38" s="85"/>
      <c r="C38" s="10">
        <f>C26-C35</f>
        <v>1250</v>
      </c>
    </row>
    <row r="39" spans="1:3" x14ac:dyDescent="0.3">
      <c r="A39" s="12"/>
      <c r="B39" s="12"/>
      <c r="C39" s="8"/>
    </row>
    <row r="40" spans="1:3" x14ac:dyDescent="0.3">
      <c r="A40" s="12"/>
      <c r="B40" s="12"/>
      <c r="C40" s="8"/>
    </row>
    <row r="41" spans="1:3" x14ac:dyDescent="0.3">
      <c r="A41" s="92" t="s">
        <v>18</v>
      </c>
      <c r="B41" s="88" t="s">
        <v>16</v>
      </c>
      <c r="C41" s="88" t="s">
        <v>16</v>
      </c>
    </row>
    <row r="42" spans="1:3" x14ac:dyDescent="0.3">
      <c r="A42" s="93"/>
      <c r="B42" s="89"/>
      <c r="C42" s="89"/>
    </row>
    <row r="43" spans="1:3" x14ac:dyDescent="0.3">
      <c r="A43" s="92" t="s">
        <v>55</v>
      </c>
      <c r="B43" s="88" t="s">
        <v>16</v>
      </c>
      <c r="C43" s="88" t="s">
        <v>16</v>
      </c>
    </row>
    <row r="44" spans="1:3" x14ac:dyDescent="0.3">
      <c r="A44" s="94"/>
      <c r="B44" s="89"/>
      <c r="C44" s="89"/>
    </row>
    <row r="45" spans="1:3" ht="12.6" customHeight="1" x14ac:dyDescent="0.3">
      <c r="B45" s="90" t="s">
        <v>7</v>
      </c>
      <c r="C45" s="90">
        <f>SUM(C41:C44)</f>
        <v>0</v>
      </c>
    </row>
    <row r="46" spans="1:3" x14ac:dyDescent="0.3">
      <c r="A46" s="5"/>
      <c r="B46" s="91"/>
      <c r="C46" s="91"/>
    </row>
    <row r="47" spans="1:3" ht="14.4" customHeight="1" x14ac:dyDescent="0.3">
      <c r="A47" s="12"/>
      <c r="B47" s="12"/>
      <c r="C47" s="8"/>
    </row>
    <row r="48" spans="1:3" ht="14.4" customHeight="1" x14ac:dyDescent="0.3">
      <c r="A48" s="85" t="s">
        <v>10</v>
      </c>
      <c r="B48" s="85"/>
      <c r="C48" s="10">
        <f>C38</f>
        <v>1250</v>
      </c>
    </row>
    <row r="49" spans="1:2" ht="14.4" customHeight="1" x14ac:dyDescent="0.3"/>
    <row r="50" spans="1:2" x14ac:dyDescent="0.3">
      <c r="A50" s="1" t="s">
        <v>11</v>
      </c>
      <c r="B50" s="13">
        <f>C26/B17</f>
        <v>0.79487179487179482</v>
      </c>
    </row>
    <row r="51" spans="1:2" x14ac:dyDescent="0.3">
      <c r="A51" s="1" t="s">
        <v>12</v>
      </c>
      <c r="B51" s="13">
        <f>C38/C26</f>
        <v>0.80645161290322576</v>
      </c>
    </row>
    <row r="52" spans="1:2" x14ac:dyDescent="0.3">
      <c r="A52" s="1" t="s">
        <v>13</v>
      </c>
      <c r="B52" s="13">
        <f>C38/C48</f>
        <v>1</v>
      </c>
    </row>
    <row r="53" spans="1:2" x14ac:dyDescent="0.3">
      <c r="A53" s="14" t="s">
        <v>14</v>
      </c>
      <c r="B53" s="15">
        <f>B50*B51*B52</f>
        <v>0.64102564102564097</v>
      </c>
    </row>
    <row r="70" spans="1:3" ht="15.6" hidden="1" x14ac:dyDescent="0.3">
      <c r="A70" s="22" t="s">
        <v>32</v>
      </c>
      <c r="B70" s="22" t="s">
        <v>54</v>
      </c>
      <c r="C70" s="22">
        <f>IF(+B17="-",0,+B17)</f>
        <v>1950</v>
      </c>
    </row>
    <row r="71" spans="1:3" ht="15.6" hidden="1" x14ac:dyDescent="0.3">
      <c r="A71" s="22" t="s">
        <v>32</v>
      </c>
      <c r="B71" s="22" t="s">
        <v>22</v>
      </c>
      <c r="C71" s="22">
        <f>+IF(+C19="-",0,+C19)</f>
        <v>400</v>
      </c>
    </row>
    <row r="72" spans="1:3" ht="15.6" hidden="1" x14ac:dyDescent="0.3">
      <c r="A72" s="22" t="s">
        <v>32</v>
      </c>
      <c r="B72" s="22" t="s">
        <v>27</v>
      </c>
      <c r="C72" s="22">
        <f>IF(+C21="-",0,+C21)</f>
        <v>0</v>
      </c>
    </row>
    <row r="73" spans="1:3" ht="15.6" hidden="1" x14ac:dyDescent="0.3">
      <c r="A73" s="22" t="s">
        <v>32</v>
      </c>
      <c r="B73" s="22" t="s">
        <v>53</v>
      </c>
      <c r="C73" s="22">
        <f>IF(+C26="-",0,+C26)</f>
        <v>1550</v>
      </c>
    </row>
    <row r="74" spans="1:3" ht="15.6" hidden="1" x14ac:dyDescent="0.3">
      <c r="A74" s="22" t="s">
        <v>32</v>
      </c>
      <c r="B74" s="22" t="s">
        <v>57</v>
      </c>
      <c r="C74" s="22">
        <f>IF(+C29="-",0,+C29)</f>
        <v>0</v>
      </c>
    </row>
    <row r="75" spans="1:3" ht="15.6" hidden="1" x14ac:dyDescent="0.3">
      <c r="A75" s="22" t="s">
        <v>32</v>
      </c>
      <c r="B75" s="22" t="s">
        <v>3</v>
      </c>
      <c r="C75" s="22">
        <f>IF(+C31="-",0,+C31)+IF(+C33="-",0,+C33)</f>
        <v>300</v>
      </c>
    </row>
    <row r="76" spans="1:3" ht="15.6" hidden="1" x14ac:dyDescent="0.3">
      <c r="A76" s="22" t="s">
        <v>32</v>
      </c>
      <c r="B76" s="22" t="s">
        <v>56</v>
      </c>
      <c r="C76" s="22">
        <f>IF(+C38="-",0,+C38)</f>
        <v>1250</v>
      </c>
    </row>
    <row r="77" spans="1:3" ht="15.6" hidden="1" x14ac:dyDescent="0.3">
      <c r="A77" s="22" t="s">
        <v>32</v>
      </c>
      <c r="B77" s="22" t="s">
        <v>18</v>
      </c>
      <c r="C77" s="22">
        <f>IF(+C41="-",0,+C41)</f>
        <v>0</v>
      </c>
    </row>
    <row r="78" spans="1:3" ht="15.6" hidden="1" x14ac:dyDescent="0.3">
      <c r="A78" s="22" t="s">
        <v>32</v>
      </c>
      <c r="B78" s="22" t="s">
        <v>55</v>
      </c>
      <c r="C78" s="22">
        <f>IF(+C43="-",0,+C43)</f>
        <v>0</v>
      </c>
    </row>
    <row r="79" spans="1:3" ht="15.6" hidden="1" x14ac:dyDescent="0.3">
      <c r="A79" s="22" t="s">
        <v>32</v>
      </c>
      <c r="B79" s="22" t="s">
        <v>58</v>
      </c>
      <c r="C79" s="22">
        <f>IF(+C48="-",0,+C48)</f>
        <v>1250</v>
      </c>
    </row>
  </sheetData>
  <mergeCells count="29">
    <mergeCell ref="A19:A20"/>
    <mergeCell ref="A31:A34"/>
    <mergeCell ref="B23:B24"/>
    <mergeCell ref="C23:C24"/>
    <mergeCell ref="B31:B32"/>
    <mergeCell ref="C31:C32"/>
    <mergeCell ref="B33:B34"/>
    <mergeCell ref="C33:C34"/>
    <mergeCell ref="B19:B20"/>
    <mergeCell ref="C19:C20"/>
    <mergeCell ref="A21:A22"/>
    <mergeCell ref="B21:B22"/>
    <mergeCell ref="C21:C22"/>
    <mergeCell ref="C35:C36"/>
    <mergeCell ref="B35:B36"/>
    <mergeCell ref="A26:B26"/>
    <mergeCell ref="A38:B38"/>
    <mergeCell ref="A48:B48"/>
    <mergeCell ref="A29:A30"/>
    <mergeCell ref="B29:B30"/>
    <mergeCell ref="C29:C30"/>
    <mergeCell ref="B43:B44"/>
    <mergeCell ref="C43:C44"/>
    <mergeCell ref="B45:B46"/>
    <mergeCell ref="C45:C46"/>
    <mergeCell ref="A41:A42"/>
    <mergeCell ref="B41:B42"/>
    <mergeCell ref="C41:C42"/>
    <mergeCell ref="A43:A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97CE-750A-4CC9-9B60-F0271800C1D2}">
  <sheetPr codeName="Hoja2"/>
  <dimension ref="A19:C76"/>
  <sheetViews>
    <sheetView showGridLines="0" topLeftCell="A11" workbookViewId="0">
      <selection activeCell="C39" sqref="C39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9" spans="1:3" ht="15.6" x14ac:dyDescent="0.3">
      <c r="A19" s="7" t="s">
        <v>0</v>
      </c>
      <c r="B19" s="6">
        <v>5</v>
      </c>
      <c r="C19" s="4"/>
    </row>
    <row r="20" spans="1:3" ht="15.6" x14ac:dyDescent="0.3">
      <c r="A20" s="7" t="s">
        <v>6</v>
      </c>
      <c r="B20" s="6">
        <v>1200</v>
      </c>
      <c r="C20" s="3"/>
    </row>
    <row r="21" spans="1:3" ht="15.6" x14ac:dyDescent="0.3">
      <c r="A21" s="3"/>
      <c r="B21" s="3"/>
      <c r="C21" s="3"/>
    </row>
    <row r="22" spans="1:3" x14ac:dyDescent="0.3">
      <c r="A22" s="95" t="s">
        <v>1</v>
      </c>
      <c r="B22" s="106" t="s">
        <v>19</v>
      </c>
      <c r="C22" s="88">
        <f>3.5*60</f>
        <v>210</v>
      </c>
    </row>
    <row r="23" spans="1:3" x14ac:dyDescent="0.3">
      <c r="A23" s="96"/>
      <c r="B23" s="107"/>
      <c r="C23" s="89"/>
    </row>
    <row r="24" spans="1:3" ht="15.6" customHeight="1" x14ac:dyDescent="0.3">
      <c r="A24" s="108" t="s">
        <v>27</v>
      </c>
      <c r="B24" s="88" t="s">
        <v>20</v>
      </c>
      <c r="C24" s="88">
        <f>2*5*5</f>
        <v>50</v>
      </c>
    </row>
    <row r="25" spans="1:3" ht="14.4" customHeight="1" x14ac:dyDescent="0.3">
      <c r="A25" s="108"/>
      <c r="B25" s="111"/>
      <c r="C25" s="111"/>
    </row>
    <row r="26" spans="1:3" ht="14.4" customHeight="1" x14ac:dyDescent="0.3">
      <c r="A26" s="108"/>
      <c r="B26" s="89"/>
      <c r="C26" s="89"/>
    </row>
    <row r="27" spans="1:3" x14ac:dyDescent="0.3">
      <c r="B27" s="100" t="s">
        <v>7</v>
      </c>
      <c r="C27" s="100">
        <f>SUM(C22:C26)</f>
        <v>260</v>
      </c>
    </row>
    <row r="28" spans="1:3" x14ac:dyDescent="0.3">
      <c r="A28" s="5"/>
      <c r="B28" s="101"/>
      <c r="C28" s="101"/>
    </row>
    <row r="29" spans="1:3" x14ac:dyDescent="0.3">
      <c r="A29" s="8"/>
      <c r="B29" s="9"/>
      <c r="C29" s="9"/>
    </row>
    <row r="30" spans="1:3" x14ac:dyDescent="0.3">
      <c r="A30" s="83" t="s">
        <v>8</v>
      </c>
      <c r="B30" s="84"/>
      <c r="C30" s="11">
        <f>B20-C27</f>
        <v>940</v>
      </c>
    </row>
    <row r="31" spans="1:3" x14ac:dyDescent="0.3">
      <c r="A31" s="12"/>
      <c r="B31" s="12"/>
      <c r="C31" s="9"/>
    </row>
    <row r="32" spans="1:3" x14ac:dyDescent="0.3">
      <c r="A32" s="12"/>
      <c r="B32" s="12"/>
      <c r="C32" s="9"/>
    </row>
    <row r="33" spans="1:3" x14ac:dyDescent="0.3">
      <c r="A33" s="86" t="s">
        <v>17</v>
      </c>
      <c r="B33" s="88" t="s">
        <v>16</v>
      </c>
      <c r="C33" s="88" t="s">
        <v>16</v>
      </c>
    </row>
    <row r="34" spans="1:3" x14ac:dyDescent="0.3">
      <c r="A34" s="87"/>
      <c r="B34" s="89"/>
      <c r="C34" s="89"/>
    </row>
    <row r="35" spans="1:3" x14ac:dyDescent="0.3">
      <c r="A35" s="97" t="s">
        <v>3</v>
      </c>
      <c r="B35" s="109" t="s">
        <v>16</v>
      </c>
      <c r="C35" s="88" t="s">
        <v>16</v>
      </c>
    </row>
    <row r="36" spans="1:3" x14ac:dyDescent="0.3">
      <c r="A36" s="98"/>
      <c r="B36" s="110"/>
      <c r="C36" s="89"/>
    </row>
    <row r="37" spans="1:3" x14ac:dyDescent="0.3">
      <c r="A37" s="2"/>
      <c r="B37" s="81" t="s">
        <v>7</v>
      </c>
      <c r="C37" s="81">
        <f>SUM(C33:C36)</f>
        <v>0</v>
      </c>
    </row>
    <row r="38" spans="1:3" x14ac:dyDescent="0.3">
      <c r="B38" s="82"/>
      <c r="C38" s="82"/>
    </row>
    <row r="40" spans="1:3" x14ac:dyDescent="0.3">
      <c r="A40" s="85" t="s">
        <v>9</v>
      </c>
      <c r="B40" s="85"/>
      <c r="C40" s="10">
        <f>C30-C37</f>
        <v>940</v>
      </c>
    </row>
    <row r="41" spans="1:3" x14ac:dyDescent="0.3">
      <c r="A41" s="12"/>
      <c r="B41" s="12"/>
      <c r="C41" s="8"/>
    </row>
    <row r="42" spans="1:3" x14ac:dyDescent="0.3">
      <c r="A42" s="12"/>
      <c r="B42" s="12"/>
      <c r="C42" s="8"/>
    </row>
    <row r="43" spans="1:3" x14ac:dyDescent="0.3">
      <c r="A43" s="92" t="s">
        <v>18</v>
      </c>
      <c r="B43" s="88" t="s">
        <v>16</v>
      </c>
      <c r="C43" s="88" t="s">
        <v>16</v>
      </c>
    </row>
    <row r="44" spans="1:3" x14ac:dyDescent="0.3">
      <c r="A44" s="93"/>
      <c r="B44" s="89"/>
      <c r="C44" s="89"/>
    </row>
    <row r="45" spans="1:3" x14ac:dyDescent="0.3">
      <c r="A45" s="92" t="s">
        <v>55</v>
      </c>
      <c r="B45" s="88" t="s">
        <v>16</v>
      </c>
      <c r="C45" s="88" t="s">
        <v>16</v>
      </c>
    </row>
    <row r="46" spans="1:3" x14ac:dyDescent="0.3">
      <c r="A46" s="94"/>
      <c r="B46" s="89"/>
      <c r="C46" s="89"/>
    </row>
    <row r="47" spans="1:3" x14ac:dyDescent="0.3">
      <c r="B47" s="90" t="s">
        <v>7</v>
      </c>
      <c r="C47" s="90">
        <f>SUM(C43:C46)</f>
        <v>0</v>
      </c>
    </row>
    <row r="48" spans="1:3" x14ac:dyDescent="0.3">
      <c r="A48" s="5"/>
      <c r="B48" s="91"/>
      <c r="C48" s="91"/>
    </row>
    <row r="49" spans="1:3" x14ac:dyDescent="0.3">
      <c r="A49" s="12"/>
      <c r="B49" s="12"/>
      <c r="C49" s="8"/>
    </row>
    <row r="50" spans="1:3" x14ac:dyDescent="0.3">
      <c r="A50" s="85" t="s">
        <v>10</v>
      </c>
      <c r="B50" s="85"/>
      <c r="C50" s="10">
        <f>C40</f>
        <v>940</v>
      </c>
    </row>
    <row r="52" spans="1:3" x14ac:dyDescent="0.3">
      <c r="A52" s="1" t="s">
        <v>11</v>
      </c>
      <c r="B52" s="13">
        <f>C30/B20</f>
        <v>0.78333333333333333</v>
      </c>
    </row>
    <row r="53" spans="1:3" x14ac:dyDescent="0.3">
      <c r="A53" s="1" t="s">
        <v>12</v>
      </c>
      <c r="B53" s="13">
        <f>C40/C30</f>
        <v>1</v>
      </c>
    </row>
    <row r="54" spans="1:3" x14ac:dyDescent="0.3">
      <c r="A54" s="1" t="s">
        <v>13</v>
      </c>
      <c r="B54" s="13">
        <f>C40/C50</f>
        <v>1</v>
      </c>
    </row>
    <row r="55" spans="1:3" x14ac:dyDescent="0.3">
      <c r="A55" s="14" t="s">
        <v>14</v>
      </c>
      <c r="B55" s="15">
        <f>B52*B53*B54</f>
        <v>0.78333333333333333</v>
      </c>
    </row>
    <row r="67" spans="1:3" ht="15.6" hidden="1" x14ac:dyDescent="0.3">
      <c r="A67" s="22" t="s">
        <v>31</v>
      </c>
      <c r="B67" s="22" t="s">
        <v>54</v>
      </c>
      <c r="C67" s="22">
        <f>IF(+B20="-",0,+B20)</f>
        <v>1200</v>
      </c>
    </row>
    <row r="68" spans="1:3" ht="15.6" hidden="1" x14ac:dyDescent="0.3">
      <c r="A68" s="22" t="s">
        <v>31</v>
      </c>
      <c r="B68" s="22" t="s">
        <v>22</v>
      </c>
      <c r="C68" s="22">
        <f>+IF(+C22="-",0,+C22)</f>
        <v>210</v>
      </c>
    </row>
    <row r="69" spans="1:3" ht="15.6" hidden="1" x14ac:dyDescent="0.3">
      <c r="A69" s="22" t="s">
        <v>31</v>
      </c>
      <c r="B69" s="22" t="s">
        <v>27</v>
      </c>
      <c r="C69" s="22">
        <f>IF(+C24="-",0,+C24)</f>
        <v>50</v>
      </c>
    </row>
    <row r="70" spans="1:3" ht="15.6" hidden="1" x14ac:dyDescent="0.3">
      <c r="A70" s="22" t="s">
        <v>31</v>
      </c>
      <c r="B70" s="22" t="s">
        <v>53</v>
      </c>
      <c r="C70" s="22">
        <f>IF(+C30="-",0,+C30)</f>
        <v>940</v>
      </c>
    </row>
    <row r="71" spans="1:3" ht="15.6" hidden="1" x14ac:dyDescent="0.3">
      <c r="A71" s="22" t="s">
        <v>31</v>
      </c>
      <c r="B71" s="22" t="s">
        <v>57</v>
      </c>
      <c r="C71" s="22">
        <f>IF(+C33="-",0,+C33)</f>
        <v>0</v>
      </c>
    </row>
    <row r="72" spans="1:3" ht="15.6" hidden="1" x14ac:dyDescent="0.3">
      <c r="A72" s="22" t="s">
        <v>31</v>
      </c>
      <c r="B72" s="22" t="s">
        <v>3</v>
      </c>
      <c r="C72" s="22">
        <f>IF(+C35="-",0,+C35)</f>
        <v>0</v>
      </c>
    </row>
    <row r="73" spans="1:3" ht="15.6" hidden="1" x14ac:dyDescent="0.3">
      <c r="A73" s="22" t="s">
        <v>31</v>
      </c>
      <c r="B73" s="22" t="s">
        <v>56</v>
      </c>
      <c r="C73" s="22">
        <f>IF(+C40="-",0,+C40)</f>
        <v>940</v>
      </c>
    </row>
    <row r="74" spans="1:3" ht="15.6" hidden="1" x14ac:dyDescent="0.3">
      <c r="A74" s="22" t="s">
        <v>31</v>
      </c>
      <c r="B74" s="22" t="s">
        <v>18</v>
      </c>
      <c r="C74" s="22">
        <f>IF(+C43="-",0,+C43)</f>
        <v>0</v>
      </c>
    </row>
    <row r="75" spans="1:3" ht="15.6" hidden="1" x14ac:dyDescent="0.3">
      <c r="A75" s="22" t="s">
        <v>31</v>
      </c>
      <c r="B75" s="22" t="s">
        <v>55</v>
      </c>
      <c r="C75" s="22">
        <f>IF(+C45="-",0,+C45)</f>
        <v>0</v>
      </c>
    </row>
    <row r="76" spans="1:3" ht="15.6" hidden="1" x14ac:dyDescent="0.3">
      <c r="A76" s="22" t="s">
        <v>31</v>
      </c>
      <c r="B76" s="22" t="s">
        <v>58</v>
      </c>
      <c r="C76" s="22">
        <f>IF(+C50="-",0,+C50)</f>
        <v>940</v>
      </c>
    </row>
  </sheetData>
  <mergeCells count="27">
    <mergeCell ref="A22:A23"/>
    <mergeCell ref="B22:B23"/>
    <mergeCell ref="C22:C23"/>
    <mergeCell ref="B24:B26"/>
    <mergeCell ref="B27:B28"/>
    <mergeCell ref="C27:C28"/>
    <mergeCell ref="A30:B30"/>
    <mergeCell ref="A24:A26"/>
    <mergeCell ref="C24:C26"/>
    <mergeCell ref="A33:A34"/>
    <mergeCell ref="B33:B34"/>
    <mergeCell ref="C33:C34"/>
    <mergeCell ref="A35:A36"/>
    <mergeCell ref="B35:B36"/>
    <mergeCell ref="C35:C36"/>
    <mergeCell ref="A50:B50"/>
    <mergeCell ref="B37:B38"/>
    <mergeCell ref="C37:C38"/>
    <mergeCell ref="A40:B40"/>
    <mergeCell ref="A43:A44"/>
    <mergeCell ref="B43:B44"/>
    <mergeCell ref="C43:C44"/>
    <mergeCell ref="A45:A46"/>
    <mergeCell ref="B45:B46"/>
    <mergeCell ref="C45:C46"/>
    <mergeCell ref="B47:B48"/>
    <mergeCell ref="C47:C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652C-445D-4B8F-B78C-27B8B35C23D0}">
  <sheetPr codeName="Hoja3"/>
  <dimension ref="A17:C69"/>
  <sheetViews>
    <sheetView showGridLines="0" topLeftCell="A31" workbookViewId="0">
      <selection activeCell="A60" sqref="A60:XFD69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7" spans="1:3" ht="15.6" x14ac:dyDescent="0.3">
      <c r="A17" s="7" t="s">
        <v>0</v>
      </c>
      <c r="B17" s="6">
        <v>5</v>
      </c>
      <c r="C17" s="4"/>
    </row>
    <row r="18" spans="1:3" ht="15.6" x14ac:dyDescent="0.3">
      <c r="A18" s="7" t="s">
        <v>6</v>
      </c>
      <c r="B18" s="6">
        <v>2100</v>
      </c>
      <c r="C18" s="3"/>
    </row>
    <row r="19" spans="1:3" ht="15.6" x14ac:dyDescent="0.3">
      <c r="A19" s="3"/>
      <c r="B19" s="3"/>
      <c r="C19" s="3"/>
    </row>
    <row r="20" spans="1:3" x14ac:dyDescent="0.3">
      <c r="A20" s="95" t="s">
        <v>1</v>
      </c>
      <c r="B20" s="106" t="s">
        <v>25</v>
      </c>
      <c r="C20" s="88">
        <v>2</v>
      </c>
    </row>
    <row r="21" spans="1:3" x14ac:dyDescent="0.3">
      <c r="A21" s="96"/>
      <c r="B21" s="107"/>
      <c r="C21" s="89"/>
    </row>
    <row r="22" spans="1:3" ht="14.4" customHeight="1" x14ac:dyDescent="0.3">
      <c r="A22" s="95" t="s">
        <v>15</v>
      </c>
      <c r="B22" s="112" t="s">
        <v>16</v>
      </c>
      <c r="C22" s="88" t="s">
        <v>16</v>
      </c>
    </row>
    <row r="23" spans="1:3" ht="14.4" customHeight="1" x14ac:dyDescent="0.3">
      <c r="A23" s="108"/>
      <c r="B23" s="113"/>
      <c r="C23" s="111"/>
    </row>
    <row r="24" spans="1:3" x14ac:dyDescent="0.3">
      <c r="B24" s="100" t="s">
        <v>7</v>
      </c>
      <c r="C24" s="100">
        <f>SUM(C20:C23)</f>
        <v>2</v>
      </c>
    </row>
    <row r="25" spans="1:3" x14ac:dyDescent="0.3">
      <c r="A25" s="5"/>
      <c r="B25" s="101"/>
      <c r="C25" s="101"/>
    </row>
    <row r="26" spans="1:3" x14ac:dyDescent="0.3">
      <c r="A26" s="8"/>
      <c r="B26" s="9"/>
      <c r="C26" s="9"/>
    </row>
    <row r="27" spans="1:3" x14ac:dyDescent="0.3">
      <c r="A27" s="83" t="s">
        <v>8</v>
      </c>
      <c r="B27" s="84"/>
      <c r="C27" s="11">
        <f>B18-C24</f>
        <v>2098</v>
      </c>
    </row>
    <row r="28" spans="1:3" x14ac:dyDescent="0.3">
      <c r="A28" s="12"/>
      <c r="B28" s="12"/>
      <c r="C28" s="9"/>
    </row>
    <row r="29" spans="1:3" x14ac:dyDescent="0.3">
      <c r="A29" s="12"/>
      <c r="B29" s="12"/>
      <c r="C29" s="9"/>
    </row>
    <row r="30" spans="1:3" x14ac:dyDescent="0.3">
      <c r="A30" s="86" t="s">
        <v>17</v>
      </c>
      <c r="B30" s="88" t="s">
        <v>16</v>
      </c>
      <c r="C30" s="88" t="s">
        <v>16</v>
      </c>
    </row>
    <row r="31" spans="1:3" x14ac:dyDescent="0.3">
      <c r="A31" s="87"/>
      <c r="B31" s="89"/>
      <c r="C31" s="89"/>
    </row>
    <row r="32" spans="1:3" ht="14.4" customHeight="1" x14ac:dyDescent="0.3">
      <c r="A32" s="97" t="s">
        <v>3</v>
      </c>
      <c r="B32" s="114" t="s">
        <v>26</v>
      </c>
      <c r="C32" s="88">
        <f>B18/2</f>
        <v>1050</v>
      </c>
    </row>
    <row r="33" spans="1:3" ht="14.4" customHeight="1" x14ac:dyDescent="0.3">
      <c r="A33" s="98"/>
      <c r="B33" s="115"/>
      <c r="C33" s="89"/>
    </row>
    <row r="34" spans="1:3" x14ac:dyDescent="0.3">
      <c r="A34" s="2"/>
      <c r="B34" s="81" t="s">
        <v>7</v>
      </c>
      <c r="C34" s="81">
        <f>SUM(C30:C33)</f>
        <v>1050</v>
      </c>
    </row>
    <row r="35" spans="1:3" x14ac:dyDescent="0.3">
      <c r="B35" s="82"/>
      <c r="C35" s="82"/>
    </row>
    <row r="37" spans="1:3" x14ac:dyDescent="0.3">
      <c r="A37" s="85" t="s">
        <v>9</v>
      </c>
      <c r="B37" s="85"/>
      <c r="C37" s="10">
        <f>C27-C34</f>
        <v>1048</v>
      </c>
    </row>
    <row r="38" spans="1:3" x14ac:dyDescent="0.3">
      <c r="A38" s="12"/>
      <c r="B38" s="12"/>
      <c r="C38" s="8"/>
    </row>
    <row r="39" spans="1:3" x14ac:dyDescent="0.3">
      <c r="A39" s="12"/>
      <c r="B39" s="12"/>
      <c r="C39" s="8"/>
    </row>
    <row r="40" spans="1:3" x14ac:dyDescent="0.3">
      <c r="A40" s="92" t="s">
        <v>18</v>
      </c>
      <c r="B40" s="88" t="s">
        <v>16</v>
      </c>
      <c r="C40" s="88" t="s">
        <v>16</v>
      </c>
    </row>
    <row r="41" spans="1:3" x14ac:dyDescent="0.3">
      <c r="A41" s="93"/>
      <c r="B41" s="89"/>
      <c r="C41" s="89"/>
    </row>
    <row r="42" spans="1:3" x14ac:dyDescent="0.3">
      <c r="A42" s="92" t="s">
        <v>55</v>
      </c>
      <c r="B42" s="88" t="s">
        <v>16</v>
      </c>
      <c r="C42" s="88" t="s">
        <v>16</v>
      </c>
    </row>
    <row r="43" spans="1:3" x14ac:dyDescent="0.3">
      <c r="A43" s="94"/>
      <c r="B43" s="89"/>
      <c r="C43" s="89"/>
    </row>
    <row r="44" spans="1:3" x14ac:dyDescent="0.3">
      <c r="B44" s="90" t="s">
        <v>7</v>
      </c>
      <c r="C44" s="90">
        <f>SUM(C40:C43)</f>
        <v>0</v>
      </c>
    </row>
    <row r="45" spans="1:3" x14ac:dyDescent="0.3">
      <c r="A45" s="5"/>
      <c r="B45" s="91"/>
      <c r="C45" s="91"/>
    </row>
    <row r="46" spans="1:3" x14ac:dyDescent="0.3">
      <c r="A46" s="12"/>
      <c r="B46" s="12"/>
      <c r="C46" s="8"/>
    </row>
    <row r="47" spans="1:3" x14ac:dyDescent="0.3">
      <c r="A47" s="85" t="s">
        <v>10</v>
      </c>
      <c r="B47" s="85"/>
      <c r="C47" s="10">
        <f>C37</f>
        <v>1048</v>
      </c>
    </row>
    <row r="49" spans="1:3" x14ac:dyDescent="0.3">
      <c r="A49" s="1" t="s">
        <v>11</v>
      </c>
      <c r="B49" s="13">
        <f>C27/B18</f>
        <v>0.99904761904761907</v>
      </c>
    </row>
    <row r="50" spans="1:3" x14ac:dyDescent="0.3">
      <c r="A50" s="1" t="s">
        <v>12</v>
      </c>
      <c r="B50" s="13">
        <f>C37/C27</f>
        <v>0.49952335557673977</v>
      </c>
    </row>
    <row r="51" spans="1:3" x14ac:dyDescent="0.3">
      <c r="A51" s="1" t="s">
        <v>13</v>
      </c>
      <c r="B51" s="13">
        <f>C37/C47</f>
        <v>1</v>
      </c>
    </row>
    <row r="52" spans="1:3" x14ac:dyDescent="0.3">
      <c r="A52" s="14" t="s">
        <v>14</v>
      </c>
      <c r="B52" s="15">
        <f>B49*B50*B51</f>
        <v>0.49904761904761907</v>
      </c>
    </row>
    <row r="60" spans="1:3" ht="15.6" hidden="1" x14ac:dyDescent="0.3">
      <c r="A60" s="22" t="s">
        <v>30</v>
      </c>
      <c r="B60" s="22" t="s">
        <v>54</v>
      </c>
      <c r="C60" s="22">
        <f>IF(+B18="-",0,+B18)</f>
        <v>2100</v>
      </c>
    </row>
    <row r="61" spans="1:3" ht="15.6" hidden="1" x14ac:dyDescent="0.3">
      <c r="A61" s="22" t="s">
        <v>30</v>
      </c>
      <c r="B61" s="22" t="s">
        <v>22</v>
      </c>
      <c r="C61" s="22">
        <f>+IF(+C20="-",0,+C20)</f>
        <v>2</v>
      </c>
    </row>
    <row r="62" spans="1:3" ht="15.6" hidden="1" x14ac:dyDescent="0.3">
      <c r="A62" s="22" t="s">
        <v>30</v>
      </c>
      <c r="B62" s="22" t="s">
        <v>27</v>
      </c>
      <c r="C62" s="22">
        <f>IF(+C22="-",0,+C22)</f>
        <v>0</v>
      </c>
    </row>
    <row r="63" spans="1:3" ht="15.6" hidden="1" x14ac:dyDescent="0.3">
      <c r="A63" s="22" t="s">
        <v>30</v>
      </c>
      <c r="B63" s="22" t="s">
        <v>53</v>
      </c>
      <c r="C63" s="22">
        <f>IF(+C27="-",0,+C27)</f>
        <v>2098</v>
      </c>
    </row>
    <row r="64" spans="1:3" ht="15.6" hidden="1" x14ac:dyDescent="0.3">
      <c r="A64" s="22" t="s">
        <v>30</v>
      </c>
      <c r="B64" s="22" t="s">
        <v>57</v>
      </c>
      <c r="C64" s="22">
        <f>IF(+C30="-",0,+C30)</f>
        <v>0</v>
      </c>
    </row>
    <row r="65" spans="1:3" ht="15.6" hidden="1" x14ac:dyDescent="0.3">
      <c r="A65" s="22" t="s">
        <v>30</v>
      </c>
      <c r="B65" s="22" t="s">
        <v>3</v>
      </c>
      <c r="C65" s="22">
        <f>IF(+C32="-",0,+C32)</f>
        <v>1050</v>
      </c>
    </row>
    <row r="66" spans="1:3" ht="15.6" hidden="1" x14ac:dyDescent="0.3">
      <c r="A66" s="22" t="s">
        <v>30</v>
      </c>
      <c r="B66" s="22" t="s">
        <v>56</v>
      </c>
      <c r="C66" s="22">
        <f>IF(+C37="-",0,+C37)</f>
        <v>1048</v>
      </c>
    </row>
    <row r="67" spans="1:3" ht="15.6" hidden="1" x14ac:dyDescent="0.3">
      <c r="A67" s="22" t="s">
        <v>30</v>
      </c>
      <c r="B67" s="22" t="s">
        <v>18</v>
      </c>
      <c r="C67" s="22">
        <f>IF(+C40="-",0,+C40)</f>
        <v>0</v>
      </c>
    </row>
    <row r="68" spans="1:3" ht="15.6" hidden="1" x14ac:dyDescent="0.3">
      <c r="A68" s="22" t="s">
        <v>30</v>
      </c>
      <c r="B68" s="22" t="s">
        <v>55</v>
      </c>
      <c r="C68" s="22">
        <f>IF(+C42="-",0,+C42)</f>
        <v>0</v>
      </c>
    </row>
    <row r="69" spans="1:3" ht="15.6" hidden="1" x14ac:dyDescent="0.3">
      <c r="A69" s="22" t="s">
        <v>30</v>
      </c>
      <c r="B69" s="22" t="s">
        <v>58</v>
      </c>
      <c r="C69" s="22">
        <f>IF(+C47="-",0,+C47)</f>
        <v>1048</v>
      </c>
    </row>
  </sheetData>
  <mergeCells count="27">
    <mergeCell ref="A20:A21"/>
    <mergeCell ref="B20:B21"/>
    <mergeCell ref="C20:C21"/>
    <mergeCell ref="C22:C23"/>
    <mergeCell ref="C34:C35"/>
    <mergeCell ref="B24:B25"/>
    <mergeCell ref="C24:C25"/>
    <mergeCell ref="A27:B27"/>
    <mergeCell ref="A30:A31"/>
    <mergeCell ref="B30:B31"/>
    <mergeCell ref="C30:C31"/>
    <mergeCell ref="B44:B45"/>
    <mergeCell ref="C44:C45"/>
    <mergeCell ref="A47:B47"/>
    <mergeCell ref="B22:B23"/>
    <mergeCell ref="A22:A23"/>
    <mergeCell ref="A37:B37"/>
    <mergeCell ref="A40:A41"/>
    <mergeCell ref="B40:B41"/>
    <mergeCell ref="C40:C41"/>
    <mergeCell ref="A42:A43"/>
    <mergeCell ref="B42:B43"/>
    <mergeCell ref="C42:C43"/>
    <mergeCell ref="A32:A33"/>
    <mergeCell ref="B32:B33"/>
    <mergeCell ref="C32:C33"/>
    <mergeCell ref="B34:B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C9E5-A5BF-47BC-8BD9-0F34EE049F13}">
  <sheetPr codeName="Hoja4"/>
  <dimension ref="A13:C67"/>
  <sheetViews>
    <sheetView showGridLines="0" zoomScale="112" zoomScaleNormal="112" workbookViewId="0">
      <selection activeCell="A58" sqref="A58:XFD67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3" spans="1:3" ht="15.6" x14ac:dyDescent="0.3">
      <c r="A13" s="7" t="s">
        <v>0</v>
      </c>
      <c r="B13" s="6">
        <v>5</v>
      </c>
      <c r="C13" s="4"/>
    </row>
    <row r="14" spans="1:3" ht="15.6" x14ac:dyDescent="0.3">
      <c r="A14" s="7" t="s">
        <v>6</v>
      </c>
      <c r="B14" s="6">
        <v>240</v>
      </c>
      <c r="C14" s="3"/>
    </row>
    <row r="15" spans="1:3" ht="15.6" x14ac:dyDescent="0.3">
      <c r="A15" s="3"/>
      <c r="B15" s="3"/>
      <c r="C15" s="3"/>
    </row>
    <row r="16" spans="1:3" ht="15.6" customHeight="1" x14ac:dyDescent="0.3">
      <c r="A16" s="108" t="s">
        <v>22</v>
      </c>
      <c r="B16" s="106" t="s">
        <v>21</v>
      </c>
      <c r="C16" s="88">
        <v>90</v>
      </c>
    </row>
    <row r="17" spans="1:3" ht="15.6" customHeight="1" x14ac:dyDescent="0.3">
      <c r="A17" s="96"/>
      <c r="B17" s="107"/>
      <c r="C17" s="89"/>
    </row>
    <row r="18" spans="1:3" x14ac:dyDescent="0.3">
      <c r="A18" s="95" t="s">
        <v>15</v>
      </c>
      <c r="B18" s="112" t="s">
        <v>16</v>
      </c>
      <c r="C18" s="88" t="s">
        <v>16</v>
      </c>
    </row>
    <row r="19" spans="1:3" x14ac:dyDescent="0.3">
      <c r="A19" s="108"/>
      <c r="B19" s="113"/>
      <c r="C19" s="111"/>
    </row>
    <row r="20" spans="1:3" x14ac:dyDescent="0.3">
      <c r="B20" s="100" t="s">
        <v>7</v>
      </c>
      <c r="C20" s="100">
        <f>SUM(C16:C19)</f>
        <v>90</v>
      </c>
    </row>
    <row r="21" spans="1:3" x14ac:dyDescent="0.3">
      <c r="A21" s="5"/>
      <c r="B21" s="101"/>
      <c r="C21" s="101"/>
    </row>
    <row r="22" spans="1:3" x14ac:dyDescent="0.3">
      <c r="A22" s="8"/>
      <c r="B22" s="9"/>
      <c r="C22" s="9"/>
    </row>
    <row r="23" spans="1:3" x14ac:dyDescent="0.3">
      <c r="A23" s="83" t="s">
        <v>8</v>
      </c>
      <c r="B23" s="84"/>
      <c r="C23" s="11">
        <f>B14-C20</f>
        <v>150</v>
      </c>
    </row>
    <row r="24" spans="1:3" x14ac:dyDescent="0.3">
      <c r="A24" s="12"/>
      <c r="B24" s="12"/>
      <c r="C24" s="9"/>
    </row>
    <row r="25" spans="1:3" x14ac:dyDescent="0.3">
      <c r="A25" s="12"/>
      <c r="B25" s="12"/>
      <c r="C25" s="9"/>
    </row>
    <row r="26" spans="1:3" x14ac:dyDescent="0.3">
      <c r="A26" s="86" t="s">
        <v>17</v>
      </c>
      <c r="B26" s="88" t="s">
        <v>16</v>
      </c>
      <c r="C26" s="88" t="s">
        <v>16</v>
      </c>
    </row>
    <row r="27" spans="1:3" x14ac:dyDescent="0.3">
      <c r="A27" s="87"/>
      <c r="B27" s="89"/>
      <c r="C27" s="89"/>
    </row>
    <row r="28" spans="1:3" x14ac:dyDescent="0.3">
      <c r="A28" s="97" t="s">
        <v>3</v>
      </c>
      <c r="B28" s="112" t="s">
        <v>16</v>
      </c>
      <c r="C28" s="88" t="s">
        <v>16</v>
      </c>
    </row>
    <row r="29" spans="1:3" x14ac:dyDescent="0.3">
      <c r="A29" s="98"/>
      <c r="B29" s="113"/>
      <c r="C29" s="89"/>
    </row>
    <row r="30" spans="1:3" x14ac:dyDescent="0.3">
      <c r="A30" s="2"/>
      <c r="B30" s="81" t="s">
        <v>7</v>
      </c>
      <c r="C30" s="81">
        <f>SUM(C26:C29)</f>
        <v>0</v>
      </c>
    </row>
    <row r="31" spans="1:3" x14ac:dyDescent="0.3">
      <c r="B31" s="82"/>
      <c r="C31" s="82"/>
    </row>
    <row r="33" spans="1:3" x14ac:dyDescent="0.3">
      <c r="A33" s="85" t="s">
        <v>9</v>
      </c>
      <c r="B33" s="85"/>
      <c r="C33" s="10">
        <f>C23-C30</f>
        <v>150</v>
      </c>
    </row>
    <row r="34" spans="1:3" x14ac:dyDescent="0.3">
      <c r="A34" s="12"/>
      <c r="B34" s="12"/>
      <c r="C34" s="8"/>
    </row>
    <row r="35" spans="1:3" x14ac:dyDescent="0.3">
      <c r="A35" s="12"/>
      <c r="B35" s="12"/>
      <c r="C35" s="8"/>
    </row>
    <row r="36" spans="1:3" x14ac:dyDescent="0.3">
      <c r="A36" s="92" t="s">
        <v>18</v>
      </c>
      <c r="B36" s="88" t="s">
        <v>16</v>
      </c>
      <c r="C36" s="88" t="s">
        <v>16</v>
      </c>
    </row>
    <row r="37" spans="1:3" x14ac:dyDescent="0.3">
      <c r="A37" s="93"/>
      <c r="B37" s="89"/>
      <c r="C37" s="89"/>
    </row>
    <row r="38" spans="1:3" x14ac:dyDescent="0.3">
      <c r="A38" s="92" t="s">
        <v>55</v>
      </c>
      <c r="B38" s="88" t="s">
        <v>16</v>
      </c>
      <c r="C38" s="88" t="s">
        <v>16</v>
      </c>
    </row>
    <row r="39" spans="1:3" x14ac:dyDescent="0.3">
      <c r="A39" s="94"/>
      <c r="B39" s="89"/>
      <c r="C39" s="89"/>
    </row>
    <row r="40" spans="1:3" x14ac:dyDescent="0.3">
      <c r="B40" s="90" t="s">
        <v>7</v>
      </c>
      <c r="C40" s="90">
        <f>SUM(C36:C39)</f>
        <v>0</v>
      </c>
    </row>
    <row r="41" spans="1:3" x14ac:dyDescent="0.3">
      <c r="A41" s="5"/>
      <c r="B41" s="91"/>
      <c r="C41" s="91"/>
    </row>
    <row r="42" spans="1:3" x14ac:dyDescent="0.3">
      <c r="A42" s="12"/>
      <c r="B42" s="12"/>
      <c r="C42" s="8"/>
    </row>
    <row r="43" spans="1:3" x14ac:dyDescent="0.3">
      <c r="A43" s="85" t="s">
        <v>10</v>
      </c>
      <c r="B43" s="85"/>
      <c r="C43" s="10">
        <f>C33</f>
        <v>150</v>
      </c>
    </row>
    <row r="45" spans="1:3" x14ac:dyDescent="0.3">
      <c r="A45" s="1" t="s">
        <v>11</v>
      </c>
      <c r="B45" s="13">
        <f>C23/B14</f>
        <v>0.625</v>
      </c>
    </row>
    <row r="46" spans="1:3" x14ac:dyDescent="0.3">
      <c r="A46" s="1" t="s">
        <v>12</v>
      </c>
      <c r="B46" s="13">
        <f>C33/C23</f>
        <v>1</v>
      </c>
    </row>
    <row r="47" spans="1:3" x14ac:dyDescent="0.3">
      <c r="A47" s="1" t="s">
        <v>13</v>
      </c>
      <c r="B47" s="13">
        <f>C33/C43</f>
        <v>1</v>
      </c>
    </row>
    <row r="48" spans="1:3" x14ac:dyDescent="0.3">
      <c r="A48" s="14" t="s">
        <v>14</v>
      </c>
      <c r="B48" s="15">
        <f>B45*B46*B47</f>
        <v>0.625</v>
      </c>
    </row>
    <row r="58" spans="1:3" ht="15.6" hidden="1" x14ac:dyDescent="0.3">
      <c r="A58" s="22" t="s">
        <v>29</v>
      </c>
      <c r="B58" s="22" t="s">
        <v>54</v>
      </c>
      <c r="C58" s="22">
        <f>IF(+B14="-",0,+B14)</f>
        <v>240</v>
      </c>
    </row>
    <row r="59" spans="1:3" ht="15.6" hidden="1" x14ac:dyDescent="0.3">
      <c r="A59" s="22" t="s">
        <v>29</v>
      </c>
      <c r="B59" s="22" t="s">
        <v>22</v>
      </c>
      <c r="C59" s="22">
        <f>+IF(+C16="-",0,+C16)</f>
        <v>90</v>
      </c>
    </row>
    <row r="60" spans="1:3" ht="15.6" hidden="1" x14ac:dyDescent="0.3">
      <c r="A60" s="22" t="s">
        <v>29</v>
      </c>
      <c r="B60" s="22" t="s">
        <v>27</v>
      </c>
      <c r="C60" s="22">
        <f>IF(+C18="-",0,+C18)</f>
        <v>0</v>
      </c>
    </row>
    <row r="61" spans="1:3" ht="15.6" hidden="1" x14ac:dyDescent="0.3">
      <c r="A61" s="22" t="s">
        <v>29</v>
      </c>
      <c r="B61" s="22" t="s">
        <v>53</v>
      </c>
      <c r="C61" s="22">
        <f>IF(+C23="-",0,+C23)</f>
        <v>150</v>
      </c>
    </row>
    <row r="62" spans="1:3" ht="15.6" hidden="1" x14ac:dyDescent="0.3">
      <c r="A62" s="22" t="s">
        <v>29</v>
      </c>
      <c r="B62" s="22" t="s">
        <v>57</v>
      </c>
      <c r="C62" s="22">
        <f>IF(+C26="-",0,+C26)</f>
        <v>0</v>
      </c>
    </row>
    <row r="63" spans="1:3" ht="15.6" hidden="1" x14ac:dyDescent="0.3">
      <c r="A63" s="22" t="s">
        <v>29</v>
      </c>
      <c r="B63" s="22" t="s">
        <v>3</v>
      </c>
      <c r="C63" s="22">
        <f>IF(+C28="-",0,+C28)</f>
        <v>0</v>
      </c>
    </row>
    <row r="64" spans="1:3" ht="15.6" hidden="1" x14ac:dyDescent="0.3">
      <c r="A64" s="22" t="s">
        <v>29</v>
      </c>
      <c r="B64" s="22" t="s">
        <v>56</v>
      </c>
      <c r="C64" s="22">
        <f>IF(+C33="-",0,+C33)</f>
        <v>150</v>
      </c>
    </row>
    <row r="65" spans="1:3" ht="15.6" hidden="1" x14ac:dyDescent="0.3">
      <c r="A65" s="22" t="s">
        <v>29</v>
      </c>
      <c r="B65" s="22" t="s">
        <v>18</v>
      </c>
      <c r="C65" s="22">
        <f>IF(+C36="-",0,+C36)</f>
        <v>0</v>
      </c>
    </row>
    <row r="66" spans="1:3" ht="15.6" hidden="1" x14ac:dyDescent="0.3">
      <c r="A66" s="22" t="s">
        <v>29</v>
      </c>
      <c r="B66" s="22" t="s">
        <v>55</v>
      </c>
      <c r="C66" s="22">
        <f>IF(+C38="-",0,+C38)</f>
        <v>0</v>
      </c>
    </row>
    <row r="67" spans="1:3" ht="15.6" hidden="1" x14ac:dyDescent="0.3">
      <c r="A67" s="22" t="s">
        <v>29</v>
      </c>
      <c r="B67" s="22" t="s">
        <v>58</v>
      </c>
      <c r="C67" s="22">
        <f>IF(+C43="-",0,+C43)</f>
        <v>150</v>
      </c>
    </row>
  </sheetData>
  <mergeCells count="27">
    <mergeCell ref="A18:A19"/>
    <mergeCell ref="B18:B19"/>
    <mergeCell ref="C18:C19"/>
    <mergeCell ref="C30:C31"/>
    <mergeCell ref="A33:B33"/>
    <mergeCell ref="B20:B21"/>
    <mergeCell ref="C20:C21"/>
    <mergeCell ref="A23:B23"/>
    <mergeCell ref="A26:A27"/>
    <mergeCell ref="B26:B27"/>
    <mergeCell ref="C26:C27"/>
    <mergeCell ref="B40:B41"/>
    <mergeCell ref="C40:C41"/>
    <mergeCell ref="A43:B43"/>
    <mergeCell ref="A16:A17"/>
    <mergeCell ref="B16:B17"/>
    <mergeCell ref="C16:C17"/>
    <mergeCell ref="A36:A37"/>
    <mergeCell ref="B36:B37"/>
    <mergeCell ref="C36:C37"/>
    <mergeCell ref="A38:A39"/>
    <mergeCell ref="B38:B39"/>
    <mergeCell ref="C38:C39"/>
    <mergeCell ref="A28:A29"/>
    <mergeCell ref="B28:B29"/>
    <mergeCell ref="C28:C29"/>
    <mergeCell ref="B30:B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4BDF-075F-4475-B7C1-102FCC2CE4EB}">
  <sheetPr codeName="Hoja5"/>
  <dimension ref="A19:C72"/>
  <sheetViews>
    <sheetView showGridLines="0" workbookViewId="0">
      <selection activeCell="A63" sqref="A63:XFD72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9" spans="1:3" ht="15.6" x14ac:dyDescent="0.3">
      <c r="A19" s="7" t="s">
        <v>0</v>
      </c>
      <c r="B19" s="6">
        <v>5</v>
      </c>
      <c r="C19" s="4"/>
    </row>
    <row r="20" spans="1:3" ht="15.6" x14ac:dyDescent="0.3">
      <c r="A20" s="7" t="s">
        <v>6</v>
      </c>
      <c r="B20" s="6">
        <v>330</v>
      </c>
      <c r="C20" s="3"/>
    </row>
    <row r="21" spans="1:3" ht="15.6" x14ac:dyDescent="0.3">
      <c r="A21" s="3"/>
      <c r="B21" s="3"/>
      <c r="C21" s="3"/>
    </row>
    <row r="22" spans="1:3" x14ac:dyDescent="0.3">
      <c r="A22" s="108" t="s">
        <v>22</v>
      </c>
      <c r="B22" s="88" t="s">
        <v>16</v>
      </c>
      <c r="C22" s="88" t="s">
        <v>16</v>
      </c>
    </row>
    <row r="23" spans="1:3" x14ac:dyDescent="0.3">
      <c r="A23" s="96"/>
      <c r="B23" s="89"/>
      <c r="C23" s="89"/>
    </row>
    <row r="24" spans="1:3" x14ac:dyDescent="0.3">
      <c r="A24" s="95" t="s">
        <v>15</v>
      </c>
      <c r="B24" s="114" t="s">
        <v>23</v>
      </c>
      <c r="C24" s="88">
        <v>60</v>
      </c>
    </row>
    <row r="25" spans="1:3" x14ac:dyDescent="0.3">
      <c r="A25" s="108"/>
      <c r="B25" s="115"/>
      <c r="C25" s="111"/>
    </row>
    <row r="26" spans="1:3" x14ac:dyDescent="0.3">
      <c r="B26" s="100" t="s">
        <v>7</v>
      </c>
      <c r="C26" s="100">
        <f>SUM(C22:C25)</f>
        <v>60</v>
      </c>
    </row>
    <row r="27" spans="1:3" x14ac:dyDescent="0.3">
      <c r="A27" s="5"/>
      <c r="B27" s="101"/>
      <c r="C27" s="101"/>
    </row>
    <row r="28" spans="1:3" x14ac:dyDescent="0.3">
      <c r="A28" s="8"/>
      <c r="B28" s="9"/>
      <c r="C28" s="9"/>
    </row>
    <row r="29" spans="1:3" x14ac:dyDescent="0.3">
      <c r="A29" s="83" t="s">
        <v>8</v>
      </c>
      <c r="B29" s="84"/>
      <c r="C29" s="11">
        <f>B20-C26</f>
        <v>270</v>
      </c>
    </row>
    <row r="30" spans="1:3" x14ac:dyDescent="0.3">
      <c r="A30" s="12"/>
      <c r="B30" s="12"/>
      <c r="C30" s="9"/>
    </row>
    <row r="31" spans="1:3" x14ac:dyDescent="0.3">
      <c r="A31" s="12"/>
      <c r="B31" s="12"/>
      <c r="C31" s="9"/>
    </row>
    <row r="32" spans="1:3" x14ac:dyDescent="0.3">
      <c r="A32" s="86" t="s">
        <v>17</v>
      </c>
      <c r="B32" s="106" t="s">
        <v>24</v>
      </c>
      <c r="C32" s="88">
        <v>50</v>
      </c>
    </row>
    <row r="33" spans="1:3" x14ac:dyDescent="0.3">
      <c r="A33" s="87"/>
      <c r="B33" s="107"/>
      <c r="C33" s="89"/>
    </row>
    <row r="34" spans="1:3" x14ac:dyDescent="0.3">
      <c r="A34" s="97" t="s">
        <v>3</v>
      </c>
      <c r="B34" s="112" t="s">
        <v>16</v>
      </c>
      <c r="C34" s="88" t="s">
        <v>16</v>
      </c>
    </row>
    <row r="35" spans="1:3" x14ac:dyDescent="0.3">
      <c r="A35" s="98"/>
      <c r="B35" s="113"/>
      <c r="C35" s="89"/>
    </row>
    <row r="36" spans="1:3" x14ac:dyDescent="0.3">
      <c r="A36" s="2"/>
      <c r="B36" s="81" t="s">
        <v>7</v>
      </c>
      <c r="C36" s="81">
        <f>SUM(C32:C35)</f>
        <v>50</v>
      </c>
    </row>
    <row r="37" spans="1:3" x14ac:dyDescent="0.3">
      <c r="B37" s="82"/>
      <c r="C37" s="82"/>
    </row>
    <row r="39" spans="1:3" x14ac:dyDescent="0.3">
      <c r="A39" s="85" t="s">
        <v>9</v>
      </c>
      <c r="B39" s="85"/>
      <c r="C39" s="10">
        <f>C29-C36</f>
        <v>220</v>
      </c>
    </row>
    <row r="40" spans="1:3" x14ac:dyDescent="0.3">
      <c r="A40" s="12"/>
      <c r="B40" s="12"/>
      <c r="C40" s="8"/>
    </row>
    <row r="41" spans="1:3" x14ac:dyDescent="0.3">
      <c r="A41" s="12"/>
      <c r="B41" s="12"/>
      <c r="C41" s="8"/>
    </row>
    <row r="42" spans="1:3" x14ac:dyDescent="0.3">
      <c r="A42" s="92" t="s">
        <v>18</v>
      </c>
      <c r="B42" s="88" t="s">
        <v>16</v>
      </c>
      <c r="C42" s="88" t="s">
        <v>16</v>
      </c>
    </row>
    <row r="43" spans="1:3" x14ac:dyDescent="0.3">
      <c r="A43" s="93"/>
      <c r="B43" s="89"/>
      <c r="C43" s="89"/>
    </row>
    <row r="44" spans="1:3" x14ac:dyDescent="0.3">
      <c r="A44" s="92" t="s">
        <v>55</v>
      </c>
      <c r="B44" s="88" t="s">
        <v>16</v>
      </c>
      <c r="C44" s="88" t="s">
        <v>16</v>
      </c>
    </row>
    <row r="45" spans="1:3" x14ac:dyDescent="0.3">
      <c r="A45" s="94"/>
      <c r="B45" s="89"/>
      <c r="C45" s="89"/>
    </row>
    <row r="46" spans="1:3" x14ac:dyDescent="0.3">
      <c r="B46" s="90" t="s">
        <v>7</v>
      </c>
      <c r="C46" s="90">
        <f>SUM(C42:C45)</f>
        <v>0</v>
      </c>
    </row>
    <row r="47" spans="1:3" x14ac:dyDescent="0.3">
      <c r="A47" s="5"/>
      <c r="B47" s="91"/>
      <c r="C47" s="91"/>
    </row>
    <row r="48" spans="1:3" x14ac:dyDescent="0.3">
      <c r="A48" s="12"/>
      <c r="B48" s="12"/>
      <c r="C48" s="8"/>
    </row>
    <row r="49" spans="1:3" x14ac:dyDescent="0.3">
      <c r="A49" s="85" t="s">
        <v>10</v>
      </c>
      <c r="B49" s="85"/>
      <c r="C49" s="10">
        <f>C39</f>
        <v>220</v>
      </c>
    </row>
    <row r="51" spans="1:3" x14ac:dyDescent="0.3">
      <c r="A51" s="1" t="s">
        <v>11</v>
      </c>
      <c r="B51" s="13">
        <f>C29/B20</f>
        <v>0.81818181818181823</v>
      </c>
    </row>
    <row r="52" spans="1:3" x14ac:dyDescent="0.3">
      <c r="A52" s="1" t="s">
        <v>12</v>
      </c>
      <c r="B52" s="13">
        <f>C39/C29</f>
        <v>0.81481481481481477</v>
      </c>
    </row>
    <row r="53" spans="1:3" x14ac:dyDescent="0.3">
      <c r="A53" s="1" t="s">
        <v>13</v>
      </c>
      <c r="B53" s="13">
        <f>C39/C49</f>
        <v>1</v>
      </c>
    </row>
    <row r="54" spans="1:3" x14ac:dyDescent="0.3">
      <c r="A54" s="14" t="s">
        <v>14</v>
      </c>
      <c r="B54" s="15">
        <f>B51*B52*B53</f>
        <v>0.66666666666666663</v>
      </c>
    </row>
    <row r="63" spans="1:3" ht="15.6" hidden="1" x14ac:dyDescent="0.3">
      <c r="A63" s="22" t="s">
        <v>59</v>
      </c>
      <c r="B63" s="22" t="s">
        <v>54</v>
      </c>
      <c r="C63" s="22">
        <f>IF(+B20="-",0,+B20)</f>
        <v>330</v>
      </c>
    </row>
    <row r="64" spans="1:3" ht="15.6" hidden="1" x14ac:dyDescent="0.3">
      <c r="A64" s="22" t="s">
        <v>59</v>
      </c>
      <c r="B64" s="22" t="s">
        <v>22</v>
      </c>
      <c r="C64" s="22">
        <f>+IF(+C22="-",0,+C22)</f>
        <v>0</v>
      </c>
    </row>
    <row r="65" spans="1:3" ht="15.6" hidden="1" x14ac:dyDescent="0.3">
      <c r="A65" s="22" t="s">
        <v>59</v>
      </c>
      <c r="B65" s="22" t="s">
        <v>27</v>
      </c>
      <c r="C65" s="22">
        <f>IF(+C24="-",0,+C24)</f>
        <v>60</v>
      </c>
    </row>
    <row r="66" spans="1:3" ht="15.6" hidden="1" x14ac:dyDescent="0.3">
      <c r="A66" s="22" t="s">
        <v>59</v>
      </c>
      <c r="B66" s="22" t="s">
        <v>53</v>
      </c>
      <c r="C66" s="22">
        <f>IF(+C29="-",0,+C29)</f>
        <v>270</v>
      </c>
    </row>
    <row r="67" spans="1:3" ht="15.6" hidden="1" x14ac:dyDescent="0.3">
      <c r="A67" s="22" t="s">
        <v>59</v>
      </c>
      <c r="B67" s="22" t="s">
        <v>57</v>
      </c>
      <c r="C67" s="22">
        <f>IF(+C32="-",0,+C32)</f>
        <v>50</v>
      </c>
    </row>
    <row r="68" spans="1:3" ht="15.6" hidden="1" x14ac:dyDescent="0.3">
      <c r="A68" s="22" t="s">
        <v>59</v>
      </c>
      <c r="B68" s="22" t="s">
        <v>3</v>
      </c>
      <c r="C68" s="22">
        <f>IF(+C34="-",0,+C34)</f>
        <v>0</v>
      </c>
    </row>
    <row r="69" spans="1:3" ht="15.6" hidden="1" x14ac:dyDescent="0.3">
      <c r="A69" s="22" t="s">
        <v>59</v>
      </c>
      <c r="B69" s="22" t="s">
        <v>56</v>
      </c>
      <c r="C69" s="22">
        <f>IF(+C39="-",0,+C39)</f>
        <v>220</v>
      </c>
    </row>
    <row r="70" spans="1:3" ht="15.6" hidden="1" x14ac:dyDescent="0.3">
      <c r="A70" s="22" t="s">
        <v>59</v>
      </c>
      <c r="B70" s="22" t="s">
        <v>18</v>
      </c>
      <c r="C70" s="22">
        <f>IF(+C42="-",0,+C42)</f>
        <v>0</v>
      </c>
    </row>
    <row r="71" spans="1:3" ht="15.6" hidden="1" x14ac:dyDescent="0.3">
      <c r="A71" s="22" t="s">
        <v>59</v>
      </c>
      <c r="B71" s="22" t="s">
        <v>55</v>
      </c>
      <c r="C71" s="22">
        <f>IF(+C44="-",0,+C44)</f>
        <v>0</v>
      </c>
    </row>
    <row r="72" spans="1:3" ht="15.6" hidden="1" x14ac:dyDescent="0.3">
      <c r="A72" s="22" t="s">
        <v>59</v>
      </c>
      <c r="B72" s="22" t="s">
        <v>58</v>
      </c>
      <c r="C72" s="22">
        <f>IF(+C49="-",0,+C49)</f>
        <v>220</v>
      </c>
    </row>
  </sheetData>
  <mergeCells count="27">
    <mergeCell ref="A22:A23"/>
    <mergeCell ref="B22:B23"/>
    <mergeCell ref="C22:C23"/>
    <mergeCell ref="A24:A25"/>
    <mergeCell ref="B24:B25"/>
    <mergeCell ref="C24:C25"/>
    <mergeCell ref="A39:B39"/>
    <mergeCell ref="B26:B27"/>
    <mergeCell ref="C26:C27"/>
    <mergeCell ref="A29:B29"/>
    <mergeCell ref="A32:A33"/>
    <mergeCell ref="B32:B33"/>
    <mergeCell ref="C32:C33"/>
    <mergeCell ref="A34:A35"/>
    <mergeCell ref="B34:B35"/>
    <mergeCell ref="C34:C35"/>
    <mergeCell ref="B36:B37"/>
    <mergeCell ref="C36:C37"/>
    <mergeCell ref="B46:B47"/>
    <mergeCell ref="C46:C47"/>
    <mergeCell ref="A49:B49"/>
    <mergeCell ref="A42:A43"/>
    <mergeCell ref="B42:B43"/>
    <mergeCell ref="C42:C43"/>
    <mergeCell ref="A44:A45"/>
    <mergeCell ref="B44:B45"/>
    <mergeCell ref="C44:C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4E08-0BBC-4B23-A43D-3DEFA8B37948}">
  <sheetPr codeName="Hoja6"/>
  <dimension ref="B2:S298"/>
  <sheetViews>
    <sheetView topLeftCell="A19" zoomScale="85" zoomScaleNormal="85" workbookViewId="0">
      <selection activeCell="B31" sqref="B31:C39"/>
    </sheetView>
  </sheetViews>
  <sheetFormatPr baseColWidth="10" defaultRowHeight="14.4" x14ac:dyDescent="0.3"/>
  <cols>
    <col min="1" max="1" width="21.33203125" customWidth="1"/>
    <col min="2" max="2" width="22.5546875" bestFit="1" customWidth="1"/>
    <col min="3" max="3" width="27.109375" style="17" bestFit="1" customWidth="1"/>
    <col min="4" max="4" width="24.6640625" style="17" customWidth="1"/>
    <col min="5" max="5" width="22.5546875" style="17" bestFit="1" customWidth="1"/>
    <col min="6" max="6" width="27.109375" style="17" bestFit="1" customWidth="1"/>
    <col min="7" max="7" width="14.6640625" bestFit="1" customWidth="1"/>
    <col min="8" max="8" width="22.5546875" bestFit="1" customWidth="1"/>
    <col min="9" max="9" width="27.109375" bestFit="1" customWidth="1"/>
    <col min="10" max="10" width="17.5546875" bestFit="1" customWidth="1"/>
    <col min="11" max="11" width="27.109375" bestFit="1" customWidth="1"/>
    <col min="12" max="12" width="22.44140625" bestFit="1" customWidth="1"/>
    <col min="13" max="13" width="9.44140625" bestFit="1" customWidth="1"/>
    <col min="14" max="14" width="27" bestFit="1" customWidth="1"/>
    <col min="15" max="15" width="27.109375" bestFit="1" customWidth="1"/>
    <col min="16" max="16" width="18.109375" bestFit="1" customWidth="1"/>
    <col min="17" max="17" width="22.5546875" bestFit="1" customWidth="1"/>
    <col min="18" max="18" width="27.109375" bestFit="1" customWidth="1"/>
    <col min="19" max="19" width="14.109375" bestFit="1" customWidth="1"/>
    <col min="20" max="20" width="7.5546875" bestFit="1" customWidth="1"/>
    <col min="21" max="21" width="9.109375" bestFit="1" customWidth="1"/>
    <col min="22" max="22" width="20.109375" bestFit="1" customWidth="1"/>
    <col min="23" max="23" width="21.88671875" bestFit="1" customWidth="1"/>
    <col min="24" max="24" width="14.44140625" bestFit="1" customWidth="1"/>
    <col min="25" max="25" width="15.6640625" bestFit="1" customWidth="1"/>
    <col min="26" max="26" width="17.44140625" bestFit="1" customWidth="1"/>
    <col min="27" max="27" width="12.5546875" bestFit="1" customWidth="1"/>
  </cols>
  <sheetData>
    <row r="2" spans="2:9" ht="15.6" x14ac:dyDescent="0.3">
      <c r="B2" s="118" t="s">
        <v>48</v>
      </c>
      <c r="C2" s="118"/>
      <c r="D2" s="118"/>
      <c r="E2" s="118"/>
      <c r="F2" s="118"/>
      <c r="G2" s="18"/>
    </row>
    <row r="3" spans="2:9" ht="15.6" x14ac:dyDescent="0.3">
      <c r="B3" s="118"/>
      <c r="C3" s="118"/>
      <c r="D3" s="118"/>
      <c r="E3" s="118"/>
      <c r="F3" s="118"/>
      <c r="G3" s="18"/>
    </row>
    <row r="4" spans="2:9" ht="31.2" x14ac:dyDescent="0.3">
      <c r="B4" s="41" t="s">
        <v>36</v>
      </c>
      <c r="C4" s="42" t="s">
        <v>47</v>
      </c>
      <c r="D4" s="42" t="s">
        <v>46</v>
      </c>
      <c r="E4" s="42" t="s">
        <v>45</v>
      </c>
      <c r="F4" s="46" t="s">
        <v>62</v>
      </c>
      <c r="G4" s="18"/>
    </row>
    <row r="5" spans="2:9" ht="15.6" x14ac:dyDescent="0.3">
      <c r="B5" s="22" t="s">
        <v>32</v>
      </c>
      <c r="C5" s="1">
        <f>1950/60</f>
        <v>32.5</v>
      </c>
      <c r="D5" s="16">
        <v>3</v>
      </c>
      <c r="E5" s="16">
        <v>1</v>
      </c>
      <c r="F5" s="28">
        <f>(C5-D5-E5)/C5</f>
        <v>0.87692307692307692</v>
      </c>
      <c r="G5" s="18"/>
    </row>
    <row r="6" spans="2:9" ht="15.6" x14ac:dyDescent="0.3">
      <c r="B6" s="22" t="s">
        <v>31</v>
      </c>
      <c r="C6" s="1">
        <f>1200/60</f>
        <v>20</v>
      </c>
      <c r="D6" s="16">
        <v>2</v>
      </c>
      <c r="E6" s="16">
        <v>2</v>
      </c>
      <c r="F6" s="28">
        <f>(C6-D6-E6)/C6</f>
        <v>0.8</v>
      </c>
      <c r="G6" s="18"/>
    </row>
    <row r="7" spans="2:9" ht="15.6" x14ac:dyDescent="0.3">
      <c r="B7" s="22" t="s">
        <v>30</v>
      </c>
      <c r="C7" s="1">
        <f>2100/60</f>
        <v>35</v>
      </c>
      <c r="D7" s="16">
        <v>2</v>
      </c>
      <c r="E7" s="16">
        <v>1</v>
      </c>
      <c r="F7" s="28">
        <f>(C7-D7-E7)/C7</f>
        <v>0.91428571428571426</v>
      </c>
      <c r="G7" s="18"/>
    </row>
    <row r="8" spans="2:9" ht="15.6" x14ac:dyDescent="0.3">
      <c r="B8" s="22" t="s">
        <v>29</v>
      </c>
      <c r="C8" s="1">
        <f>240/60</f>
        <v>4</v>
      </c>
      <c r="D8" s="16">
        <v>1</v>
      </c>
      <c r="E8" s="16">
        <v>1</v>
      </c>
      <c r="F8" s="28">
        <f>(C8-D8-E8)/C8</f>
        <v>0.5</v>
      </c>
      <c r="G8" s="18"/>
    </row>
    <row r="9" spans="2:9" ht="15.6" x14ac:dyDescent="0.3">
      <c r="B9" s="22" t="s">
        <v>28</v>
      </c>
      <c r="C9" s="1">
        <f>330/60</f>
        <v>5.5</v>
      </c>
      <c r="D9" s="16">
        <v>0</v>
      </c>
      <c r="E9" s="16">
        <v>1</v>
      </c>
      <c r="F9" s="28">
        <f>(C9-D9-E9)/C9</f>
        <v>0.81818181818181823</v>
      </c>
      <c r="G9" s="18"/>
    </row>
    <row r="10" spans="2:9" ht="15.6" x14ac:dyDescent="0.3">
      <c r="B10" s="18"/>
      <c r="C10" s="19"/>
      <c r="D10" s="19"/>
      <c r="E10" s="19"/>
      <c r="F10" s="19"/>
      <c r="G10" s="18"/>
    </row>
    <row r="11" spans="2:9" x14ac:dyDescent="0.3">
      <c r="B11" s="119" t="s">
        <v>43</v>
      </c>
      <c r="C11" s="119"/>
      <c r="D11" s="119"/>
      <c r="E11" s="119"/>
      <c r="F11" s="119"/>
      <c r="G11" s="119"/>
    </row>
    <row r="12" spans="2:9" x14ac:dyDescent="0.3">
      <c r="B12" s="119"/>
      <c r="C12" s="119"/>
      <c r="D12" s="119"/>
      <c r="E12" s="119"/>
      <c r="F12" s="119"/>
      <c r="G12" s="119"/>
    </row>
    <row r="13" spans="2:9" x14ac:dyDescent="0.3">
      <c r="B13" s="119" t="s">
        <v>36</v>
      </c>
      <c r="C13" s="123" t="s">
        <v>42</v>
      </c>
      <c r="D13" s="123" t="s">
        <v>41</v>
      </c>
      <c r="E13" s="119" t="s">
        <v>40</v>
      </c>
      <c r="F13" s="123" t="s">
        <v>39</v>
      </c>
      <c r="G13" s="124" t="s">
        <v>38</v>
      </c>
    </row>
    <row r="14" spans="2:9" ht="24.75" customHeight="1" x14ac:dyDescent="0.3">
      <c r="B14" s="119"/>
      <c r="C14" s="123"/>
      <c r="D14" s="123"/>
      <c r="E14" s="119"/>
      <c r="F14" s="123"/>
      <c r="G14" s="124"/>
    </row>
    <row r="15" spans="2:9" ht="15.6" x14ac:dyDescent="0.3">
      <c r="B15" s="22" t="s">
        <v>32</v>
      </c>
      <c r="C15" s="27">
        <v>24.83</v>
      </c>
      <c r="D15" s="16">
        <v>1</v>
      </c>
      <c r="E15" s="26">
        <f>C15/D15</f>
        <v>24.83</v>
      </c>
      <c r="F15" s="25">
        <f>1550/60</f>
        <v>25.833333333333332</v>
      </c>
      <c r="G15" s="24">
        <f>E15/F15</f>
        <v>0.96116129032258057</v>
      </c>
      <c r="I15" s="32"/>
    </row>
    <row r="16" spans="2:9" ht="15.6" x14ac:dyDescent="0.3">
      <c r="B16" s="22" t="s">
        <v>31</v>
      </c>
      <c r="C16" s="27">
        <v>13.5</v>
      </c>
      <c r="D16" s="16">
        <v>1</v>
      </c>
      <c r="E16" s="26">
        <f>C16/D16</f>
        <v>13.5</v>
      </c>
      <c r="F16" s="25">
        <f>940/60</f>
        <v>15.666666666666666</v>
      </c>
      <c r="G16" s="24">
        <f>E16/F16</f>
        <v>0.86170212765957455</v>
      </c>
    </row>
    <row r="17" spans="2:7" ht="15.6" x14ac:dyDescent="0.3">
      <c r="B17" s="22" t="s">
        <v>30</v>
      </c>
      <c r="C17" s="27">
        <v>30.97</v>
      </c>
      <c r="D17" s="16">
        <v>1</v>
      </c>
      <c r="E17" s="26">
        <f>C17/D17</f>
        <v>30.97</v>
      </c>
      <c r="F17" s="25">
        <f>2098/60</f>
        <v>34.966666666666669</v>
      </c>
      <c r="G17" s="24">
        <f>E17/F17</f>
        <v>0.88570066730219243</v>
      </c>
    </row>
    <row r="18" spans="2:7" ht="15.6" x14ac:dyDescent="0.3">
      <c r="B18" s="22" t="s">
        <v>29</v>
      </c>
      <c r="C18" s="27">
        <v>2.2999999999999998</v>
      </c>
      <c r="D18" s="16">
        <v>1</v>
      </c>
      <c r="E18" s="26">
        <f>C18/D18</f>
        <v>2.2999999999999998</v>
      </c>
      <c r="F18" s="25">
        <f>150/60</f>
        <v>2.5</v>
      </c>
      <c r="G18" s="24">
        <f>E18/F18</f>
        <v>0.91999999999999993</v>
      </c>
    </row>
    <row r="19" spans="2:7" ht="15.6" x14ac:dyDescent="0.3">
      <c r="B19" s="22" t="s">
        <v>28</v>
      </c>
      <c r="C19" s="27">
        <v>4.25</v>
      </c>
      <c r="D19" s="16">
        <v>0</v>
      </c>
      <c r="E19" s="26">
        <f>C19</f>
        <v>4.25</v>
      </c>
      <c r="F19" s="25">
        <f>270/60</f>
        <v>4.5</v>
      </c>
      <c r="G19" s="24">
        <f>E19/F19</f>
        <v>0.94444444444444442</v>
      </c>
    </row>
    <row r="20" spans="2:7" ht="15.6" x14ac:dyDescent="0.3">
      <c r="B20" s="18"/>
      <c r="C20" s="19"/>
      <c r="D20" s="19"/>
      <c r="E20" s="19"/>
      <c r="F20" s="19"/>
      <c r="G20" s="18"/>
    </row>
    <row r="21" spans="2:7" ht="15.6" x14ac:dyDescent="0.3">
      <c r="B21" s="120" t="s">
        <v>37</v>
      </c>
      <c r="C21" s="120"/>
      <c r="D21" s="120"/>
      <c r="E21" s="120"/>
      <c r="F21" s="19"/>
      <c r="G21" s="18"/>
    </row>
    <row r="22" spans="2:7" ht="15.6" x14ac:dyDescent="0.3">
      <c r="B22" s="120"/>
      <c r="C22" s="120"/>
      <c r="D22" s="120"/>
      <c r="E22" s="120"/>
      <c r="F22" s="19"/>
      <c r="G22" s="18"/>
    </row>
    <row r="23" spans="2:7" ht="15.6" x14ac:dyDescent="0.3">
      <c r="B23" s="120" t="s">
        <v>36</v>
      </c>
      <c r="C23" s="121" t="s">
        <v>35</v>
      </c>
      <c r="D23" s="121" t="s">
        <v>34</v>
      </c>
      <c r="E23" s="122" t="s">
        <v>33</v>
      </c>
      <c r="F23" s="19"/>
      <c r="G23" s="18"/>
    </row>
    <row r="24" spans="2:7" ht="15.6" x14ac:dyDescent="0.3">
      <c r="B24" s="120"/>
      <c r="C24" s="121"/>
      <c r="D24" s="121"/>
      <c r="E24" s="122"/>
      <c r="F24" s="19"/>
      <c r="G24" s="18"/>
    </row>
    <row r="25" spans="2:7" ht="14.4" customHeight="1" x14ac:dyDescent="0.3">
      <c r="B25" s="22" t="s">
        <v>32</v>
      </c>
      <c r="C25" s="23">
        <f>400/60</f>
        <v>6.666666666666667</v>
      </c>
      <c r="D25" s="16">
        <v>1</v>
      </c>
      <c r="E25" s="20">
        <f>C25/D25</f>
        <v>6.666666666666667</v>
      </c>
      <c r="F25" s="19"/>
      <c r="G25" s="18"/>
    </row>
    <row r="26" spans="2:7" ht="15.6" x14ac:dyDescent="0.3">
      <c r="B26" s="22" t="s">
        <v>31</v>
      </c>
      <c r="C26" s="21">
        <f>210/60</f>
        <v>3.5</v>
      </c>
      <c r="D26" s="16">
        <v>1</v>
      </c>
      <c r="E26" s="20">
        <f>C26/D26</f>
        <v>3.5</v>
      </c>
      <c r="F26" s="19"/>
      <c r="G26" s="18"/>
    </row>
    <row r="27" spans="2:7" ht="15.6" x14ac:dyDescent="0.3">
      <c r="B27" s="22" t="s">
        <v>30</v>
      </c>
      <c r="C27" s="21">
        <f>2/60</f>
        <v>3.3333333333333333E-2</v>
      </c>
      <c r="D27" s="16">
        <v>1</v>
      </c>
      <c r="E27" s="20">
        <f>C27/D27</f>
        <v>3.3333333333333333E-2</v>
      </c>
      <c r="F27" s="19"/>
      <c r="G27" s="18"/>
    </row>
    <row r="28" spans="2:7" ht="15.6" x14ac:dyDescent="0.3">
      <c r="B28" s="22" t="s">
        <v>29</v>
      </c>
      <c r="C28" s="21">
        <f>90/60</f>
        <v>1.5</v>
      </c>
      <c r="D28" s="16">
        <v>1</v>
      </c>
      <c r="E28" s="20">
        <f>C28/D28</f>
        <v>1.5</v>
      </c>
      <c r="F28" s="19"/>
      <c r="G28" s="18"/>
    </row>
    <row r="29" spans="2:7" ht="15.6" x14ac:dyDescent="0.3">
      <c r="B29" s="22" t="s">
        <v>28</v>
      </c>
      <c r="C29" s="21">
        <v>0</v>
      </c>
      <c r="D29" s="16">
        <v>0</v>
      </c>
      <c r="E29" s="20">
        <v>0</v>
      </c>
      <c r="F29" s="19"/>
      <c r="G29" s="18"/>
    </row>
    <row r="30" spans="2:7" ht="15.6" x14ac:dyDescent="0.3">
      <c r="B30" s="18"/>
      <c r="C30" s="19"/>
      <c r="D30" s="19"/>
      <c r="E30" s="19"/>
      <c r="F30" s="19"/>
      <c r="G30" s="18"/>
    </row>
    <row r="31" spans="2:7" x14ac:dyDescent="0.3">
      <c r="B31" s="116" t="s">
        <v>49</v>
      </c>
      <c r="C31" s="116"/>
    </row>
    <row r="32" spans="2:7" x14ac:dyDescent="0.3">
      <c r="B32" s="116"/>
      <c r="C32" s="116"/>
    </row>
    <row r="33" spans="2:3" x14ac:dyDescent="0.3">
      <c r="B33" s="116" t="s">
        <v>36</v>
      </c>
      <c r="C33" s="117" t="s">
        <v>14</v>
      </c>
    </row>
    <row r="34" spans="2:3" x14ac:dyDescent="0.3">
      <c r="B34" s="116"/>
      <c r="C34" s="117"/>
    </row>
    <row r="35" spans="2:3" ht="15.6" x14ac:dyDescent="0.3">
      <c r="B35" s="22" t="s">
        <v>32</v>
      </c>
      <c r="C35" s="30">
        <f>RETROEXCAVADORA!B53</f>
        <v>0.64102564102564097</v>
      </c>
    </row>
    <row r="36" spans="2:3" ht="15.6" x14ac:dyDescent="0.3">
      <c r="B36" s="22" t="s">
        <v>31</v>
      </c>
      <c r="C36" s="31">
        <f>'COMPRESOR NEUMÁTICO'!B55</f>
        <v>0.78333333333333333</v>
      </c>
    </row>
    <row r="37" spans="2:3" ht="15.6" x14ac:dyDescent="0.3">
      <c r="B37" s="22" t="s">
        <v>30</v>
      </c>
      <c r="C37" s="31">
        <f>MINICARGADOR!B52</f>
        <v>0.49904761904761907</v>
      </c>
    </row>
    <row r="38" spans="2:3" ht="15.6" x14ac:dyDescent="0.3">
      <c r="B38" s="22" t="s">
        <v>29</v>
      </c>
      <c r="C38" s="31">
        <f>RODILLOS!B48</f>
        <v>0.625</v>
      </c>
    </row>
    <row r="39" spans="2:3" ht="15.6" x14ac:dyDescent="0.3">
      <c r="B39" s="22" t="s">
        <v>28</v>
      </c>
      <c r="C39" s="31">
        <f>MEZCLADORA!B54</f>
        <v>0.66666666666666663</v>
      </c>
    </row>
    <row r="115" spans="3:6" x14ac:dyDescent="0.3">
      <c r="C115"/>
      <c r="D115"/>
      <c r="E115"/>
    </row>
    <row r="116" spans="3:6" x14ac:dyDescent="0.3">
      <c r="C116"/>
      <c r="D116"/>
      <c r="E116"/>
      <c r="F116"/>
    </row>
    <row r="117" spans="3:6" x14ac:dyDescent="0.3">
      <c r="C117"/>
      <c r="D117"/>
      <c r="E117"/>
      <c r="F117"/>
    </row>
    <row r="118" spans="3:6" x14ac:dyDescent="0.3">
      <c r="C118"/>
      <c r="D118"/>
      <c r="E118"/>
      <c r="F118"/>
    </row>
    <row r="119" spans="3:6" x14ac:dyDescent="0.3">
      <c r="C119"/>
      <c r="D119"/>
      <c r="E119"/>
      <c r="F119"/>
    </row>
    <row r="120" spans="3:6" x14ac:dyDescent="0.3">
      <c r="C120"/>
      <c r="D120"/>
      <c r="E120"/>
      <c r="F120"/>
    </row>
    <row r="121" spans="3:6" x14ac:dyDescent="0.3">
      <c r="C121"/>
      <c r="D121"/>
      <c r="E121"/>
      <c r="F121"/>
    </row>
    <row r="122" spans="3:6" x14ac:dyDescent="0.3">
      <c r="C122"/>
      <c r="D122"/>
      <c r="E122"/>
      <c r="F122"/>
    </row>
    <row r="123" spans="3:6" x14ac:dyDescent="0.3">
      <c r="C123"/>
      <c r="D123"/>
      <c r="E123"/>
      <c r="F123"/>
    </row>
    <row r="124" spans="3:6" x14ac:dyDescent="0.3">
      <c r="C124"/>
      <c r="D124"/>
      <c r="E124"/>
      <c r="F124"/>
    </row>
    <row r="125" spans="3:6" x14ac:dyDescent="0.3">
      <c r="C125"/>
      <c r="D125"/>
      <c r="E125"/>
      <c r="F125"/>
    </row>
    <row r="126" spans="3:6" x14ac:dyDescent="0.3">
      <c r="C126"/>
      <c r="D126"/>
      <c r="E126"/>
      <c r="F126"/>
    </row>
    <row r="127" spans="3:6" x14ac:dyDescent="0.3">
      <c r="C127"/>
      <c r="D127"/>
      <c r="E127"/>
      <c r="F127"/>
    </row>
    <row r="128" spans="3:6" x14ac:dyDescent="0.3">
      <c r="C128"/>
      <c r="D128"/>
      <c r="E128"/>
      <c r="F128"/>
    </row>
    <row r="129" spans="2:6" x14ac:dyDescent="0.3">
      <c r="C129"/>
      <c r="D129"/>
      <c r="E129"/>
      <c r="F129"/>
    </row>
    <row r="130" spans="2:6" x14ac:dyDescent="0.3">
      <c r="C130"/>
      <c r="D130"/>
      <c r="E130"/>
      <c r="F130"/>
    </row>
    <row r="131" spans="2:6" x14ac:dyDescent="0.3">
      <c r="C131"/>
      <c r="D131"/>
      <c r="E131"/>
      <c r="F131"/>
    </row>
    <row r="132" spans="2:6" x14ac:dyDescent="0.3">
      <c r="C132"/>
      <c r="D132"/>
      <c r="E132"/>
      <c r="F132"/>
    </row>
    <row r="133" spans="2:6" x14ac:dyDescent="0.3">
      <c r="C133"/>
      <c r="D133"/>
      <c r="E133"/>
      <c r="F133"/>
    </row>
    <row r="134" spans="2:6" x14ac:dyDescent="0.3">
      <c r="C134"/>
      <c r="D134"/>
      <c r="E134"/>
      <c r="F134"/>
    </row>
    <row r="135" spans="2:6" x14ac:dyDescent="0.3">
      <c r="C135"/>
      <c r="D135"/>
      <c r="E135"/>
      <c r="F135"/>
    </row>
    <row r="136" spans="2:6" x14ac:dyDescent="0.3">
      <c r="C136"/>
      <c r="D136"/>
      <c r="E136"/>
      <c r="F136"/>
    </row>
    <row r="137" spans="2:6" ht="15.6" hidden="1" x14ac:dyDescent="0.3">
      <c r="B137" s="29" t="s">
        <v>36</v>
      </c>
      <c r="C137" s="29" t="s">
        <v>50</v>
      </c>
      <c r="D137" s="29" t="s">
        <v>51</v>
      </c>
    </row>
    <row r="138" spans="2:6" ht="15.6" hidden="1" x14ac:dyDescent="0.3">
      <c r="B138" s="22" t="s">
        <v>32</v>
      </c>
      <c r="C138" s="22" t="s">
        <v>44</v>
      </c>
      <c r="D138" s="28">
        <f>+RETROEXCAVADORA!B50</f>
        <v>0.79487179487179482</v>
      </c>
    </row>
    <row r="139" spans="2:6" ht="15.6" hidden="1" x14ac:dyDescent="0.3">
      <c r="B139" s="22" t="s">
        <v>32</v>
      </c>
      <c r="C139" s="22" t="s">
        <v>63</v>
      </c>
      <c r="D139" s="28">
        <f>1-D138</f>
        <v>0.20512820512820518</v>
      </c>
    </row>
    <row r="140" spans="2:6" ht="15.6" hidden="1" x14ac:dyDescent="0.3">
      <c r="B140" s="22" t="s">
        <v>32</v>
      </c>
      <c r="C140" s="22" t="s">
        <v>64</v>
      </c>
      <c r="D140" s="28">
        <f>+RETROEXCAVADORA!B51</f>
        <v>0.80645161290322576</v>
      </c>
    </row>
    <row r="141" spans="2:6" ht="15.6" hidden="1" x14ac:dyDescent="0.3">
      <c r="B141" s="22" t="s">
        <v>32</v>
      </c>
      <c r="C141" s="22" t="s">
        <v>65</v>
      </c>
      <c r="D141" s="28">
        <f>1-D140</f>
        <v>0.19354838709677424</v>
      </c>
    </row>
    <row r="142" spans="2:6" ht="15.6" hidden="1" x14ac:dyDescent="0.3">
      <c r="B142" s="22" t="s">
        <v>32</v>
      </c>
      <c r="C142" s="22" t="s">
        <v>66</v>
      </c>
      <c r="D142" s="28">
        <f>+RETROEXCAVADORA!B52</f>
        <v>1</v>
      </c>
    </row>
    <row r="143" spans="2:6" ht="15.6" hidden="1" x14ac:dyDescent="0.3">
      <c r="B143" s="22" t="s">
        <v>32</v>
      </c>
      <c r="C143" s="22" t="s">
        <v>67</v>
      </c>
      <c r="D143" s="28">
        <f>1-D142</f>
        <v>0</v>
      </c>
    </row>
    <row r="144" spans="2:6" ht="15.6" hidden="1" x14ac:dyDescent="0.3">
      <c r="B144" s="22" t="s">
        <v>32</v>
      </c>
      <c r="C144" s="22" t="s">
        <v>62</v>
      </c>
      <c r="D144" s="28">
        <f>+F5</f>
        <v>0.87692307692307692</v>
      </c>
    </row>
    <row r="145" spans="2:6" ht="15.6" hidden="1" x14ac:dyDescent="0.3">
      <c r="B145" s="22" t="s">
        <v>32</v>
      </c>
      <c r="C145" s="22" t="s">
        <v>70</v>
      </c>
      <c r="D145" s="28">
        <f>1-D144</f>
        <v>0.12307692307692308</v>
      </c>
    </row>
    <row r="146" spans="2:6" ht="15.6" hidden="1" x14ac:dyDescent="0.3">
      <c r="B146" s="22" t="s">
        <v>32</v>
      </c>
      <c r="C146" s="22" t="s">
        <v>38</v>
      </c>
      <c r="D146" s="24">
        <f>+G15</f>
        <v>0.96116129032258057</v>
      </c>
      <c r="F146"/>
    </row>
    <row r="147" spans="2:6" ht="15.6" hidden="1" x14ac:dyDescent="0.3">
      <c r="B147" s="22" t="s">
        <v>32</v>
      </c>
      <c r="C147" s="22" t="s">
        <v>71</v>
      </c>
      <c r="D147" s="24">
        <f>1-D146</f>
        <v>3.8838709677419425E-2</v>
      </c>
      <c r="F147"/>
    </row>
    <row r="148" spans="2:6" ht="15.6" hidden="1" x14ac:dyDescent="0.3">
      <c r="B148" s="22" t="s">
        <v>32</v>
      </c>
      <c r="C148" s="22" t="s">
        <v>33</v>
      </c>
      <c r="D148" s="20">
        <f>+E25</f>
        <v>6.666666666666667</v>
      </c>
      <c r="F148"/>
    </row>
    <row r="149" spans="2:6" ht="15.6" hidden="1" x14ac:dyDescent="0.3">
      <c r="B149" s="22" t="s">
        <v>32</v>
      </c>
      <c r="C149" s="22" t="s">
        <v>68</v>
      </c>
      <c r="D149" s="35">
        <f>+C35</f>
        <v>0.64102564102564097</v>
      </c>
      <c r="F149"/>
    </row>
    <row r="150" spans="2:6" ht="15.6" hidden="1" x14ac:dyDescent="0.3">
      <c r="B150" s="22" t="s">
        <v>32</v>
      </c>
      <c r="C150" s="22" t="s">
        <v>69</v>
      </c>
      <c r="D150" s="35">
        <f>1-D149</f>
        <v>0.35897435897435903</v>
      </c>
      <c r="F150"/>
    </row>
    <row r="151" spans="2:6" ht="15.6" hidden="1" x14ac:dyDescent="0.3">
      <c r="B151" s="22" t="s">
        <v>32</v>
      </c>
      <c r="C151" s="22" t="s">
        <v>40</v>
      </c>
      <c r="D151" s="26">
        <f>+E15</f>
        <v>24.83</v>
      </c>
      <c r="F151"/>
    </row>
    <row r="152" spans="2:6" ht="15.6" hidden="1" x14ac:dyDescent="0.3">
      <c r="B152" s="22" t="s">
        <v>32</v>
      </c>
      <c r="C152" s="22" t="s">
        <v>54</v>
      </c>
      <c r="D152" s="26">
        <f>+RETROEXCAVADORA!C70</f>
        <v>1950</v>
      </c>
      <c r="F152"/>
    </row>
    <row r="153" spans="2:6" ht="15.6" hidden="1" x14ac:dyDescent="0.3">
      <c r="B153" s="22" t="s">
        <v>32</v>
      </c>
      <c r="C153" s="22" t="s">
        <v>22</v>
      </c>
      <c r="D153" s="26">
        <f>+RETROEXCAVADORA!C71</f>
        <v>400</v>
      </c>
      <c r="F153"/>
    </row>
    <row r="154" spans="2:6" ht="15.6" hidden="1" x14ac:dyDescent="0.3">
      <c r="B154" s="22" t="s">
        <v>32</v>
      </c>
      <c r="C154" s="22" t="s">
        <v>15</v>
      </c>
      <c r="D154" s="26">
        <f>+RETROEXCAVADORA!C72</f>
        <v>0</v>
      </c>
      <c r="F154"/>
    </row>
    <row r="155" spans="2:6" ht="15.6" hidden="1" x14ac:dyDescent="0.3">
      <c r="B155" s="22" t="s">
        <v>32</v>
      </c>
      <c r="C155" s="22" t="s">
        <v>53</v>
      </c>
      <c r="D155" s="26">
        <f>+RETROEXCAVADORA!C73</f>
        <v>1550</v>
      </c>
      <c r="F155"/>
    </row>
    <row r="156" spans="2:6" ht="15.6" hidden="1" x14ac:dyDescent="0.3">
      <c r="B156" s="22" t="s">
        <v>32</v>
      </c>
      <c r="C156" s="22" t="s">
        <v>57</v>
      </c>
      <c r="D156" s="26">
        <f>+RETROEXCAVADORA!C74</f>
        <v>0</v>
      </c>
      <c r="F156"/>
    </row>
    <row r="157" spans="2:6" ht="15.6" hidden="1" x14ac:dyDescent="0.3">
      <c r="B157" s="22" t="s">
        <v>32</v>
      </c>
      <c r="C157" s="22" t="s">
        <v>3</v>
      </c>
      <c r="D157" s="26">
        <f>+RETROEXCAVADORA!C75</f>
        <v>300</v>
      </c>
      <c r="F157"/>
    </row>
    <row r="158" spans="2:6" ht="15.6" hidden="1" x14ac:dyDescent="0.3">
      <c r="B158" s="22" t="s">
        <v>32</v>
      </c>
      <c r="C158" s="22" t="s">
        <v>56</v>
      </c>
      <c r="D158" s="26">
        <f>+RETROEXCAVADORA!C76</f>
        <v>1250</v>
      </c>
      <c r="F158"/>
    </row>
    <row r="159" spans="2:6" ht="15.6" hidden="1" x14ac:dyDescent="0.3">
      <c r="B159" s="22" t="s">
        <v>32</v>
      </c>
      <c r="C159" s="22" t="s">
        <v>18</v>
      </c>
      <c r="D159" s="26">
        <f>+RETROEXCAVADORA!C77</f>
        <v>0</v>
      </c>
      <c r="F159"/>
    </row>
    <row r="160" spans="2:6" ht="15.6" hidden="1" x14ac:dyDescent="0.3">
      <c r="B160" s="22" t="s">
        <v>32</v>
      </c>
      <c r="C160" s="22" t="s">
        <v>55</v>
      </c>
      <c r="D160" s="26">
        <f>+RETROEXCAVADORA!C78</f>
        <v>0</v>
      </c>
      <c r="F160"/>
    </row>
    <row r="161" spans="2:6" ht="15.6" hidden="1" x14ac:dyDescent="0.3">
      <c r="B161" s="22" t="s">
        <v>32</v>
      </c>
      <c r="C161" s="22" t="s">
        <v>58</v>
      </c>
      <c r="D161" s="26">
        <f>+RETROEXCAVADORA!C79</f>
        <v>1250</v>
      </c>
      <c r="F161"/>
    </row>
    <row r="162" spans="2:6" ht="15.6" hidden="1" x14ac:dyDescent="0.3">
      <c r="B162" s="22" t="s">
        <v>31</v>
      </c>
      <c r="C162" s="22" t="s">
        <v>44</v>
      </c>
      <c r="D162" s="28">
        <f>+'COMPRESOR NEUMÁTICO'!B52</f>
        <v>0.78333333333333333</v>
      </c>
      <c r="F162"/>
    </row>
    <row r="163" spans="2:6" ht="15.6" hidden="1" x14ac:dyDescent="0.3">
      <c r="B163" s="22" t="s">
        <v>31</v>
      </c>
      <c r="C163" s="22" t="s">
        <v>63</v>
      </c>
      <c r="D163" s="28">
        <f>1-D162</f>
        <v>0.21666666666666667</v>
      </c>
      <c r="F163"/>
    </row>
    <row r="164" spans="2:6" ht="15.6" hidden="1" x14ac:dyDescent="0.3">
      <c r="B164" s="22" t="s">
        <v>31</v>
      </c>
      <c r="C164" s="22" t="s">
        <v>64</v>
      </c>
      <c r="D164" s="28">
        <f>+'COMPRESOR NEUMÁTICO'!B53</f>
        <v>1</v>
      </c>
      <c r="F164"/>
    </row>
    <row r="165" spans="2:6" ht="15.6" hidden="1" x14ac:dyDescent="0.3">
      <c r="B165" s="22" t="s">
        <v>31</v>
      </c>
      <c r="C165" s="22" t="s">
        <v>65</v>
      </c>
      <c r="D165" s="28">
        <f>1-D164</f>
        <v>0</v>
      </c>
      <c r="F165"/>
    </row>
    <row r="166" spans="2:6" ht="15.6" hidden="1" x14ac:dyDescent="0.3">
      <c r="B166" s="22" t="s">
        <v>31</v>
      </c>
      <c r="C166" s="22" t="s">
        <v>66</v>
      </c>
      <c r="D166" s="28">
        <f>++'COMPRESOR NEUMÁTICO'!B54</f>
        <v>1</v>
      </c>
      <c r="F166"/>
    </row>
    <row r="167" spans="2:6" ht="15.6" hidden="1" x14ac:dyDescent="0.3">
      <c r="B167" s="22" t="s">
        <v>31</v>
      </c>
      <c r="C167" s="22" t="s">
        <v>67</v>
      </c>
      <c r="D167" s="28">
        <f>1-D166</f>
        <v>0</v>
      </c>
      <c r="F167"/>
    </row>
    <row r="168" spans="2:6" ht="15.6" hidden="1" x14ac:dyDescent="0.3">
      <c r="B168" s="22" t="s">
        <v>31</v>
      </c>
      <c r="C168" s="22" t="s">
        <v>62</v>
      </c>
      <c r="D168" s="28">
        <f>+F6</f>
        <v>0.8</v>
      </c>
      <c r="F168"/>
    </row>
    <row r="169" spans="2:6" ht="15.6" hidden="1" x14ac:dyDescent="0.3">
      <c r="B169" s="22" t="s">
        <v>31</v>
      </c>
      <c r="C169" s="22" t="s">
        <v>70</v>
      </c>
      <c r="D169" s="28">
        <f>1-D168</f>
        <v>0.19999999999999996</v>
      </c>
      <c r="F169"/>
    </row>
    <row r="170" spans="2:6" ht="15.6" hidden="1" x14ac:dyDescent="0.3">
      <c r="B170" s="22" t="s">
        <v>31</v>
      </c>
      <c r="C170" s="22" t="s">
        <v>38</v>
      </c>
      <c r="D170" s="24">
        <f>+G16</f>
        <v>0.86170212765957455</v>
      </c>
    </row>
    <row r="171" spans="2:6" ht="15.6" hidden="1" x14ac:dyDescent="0.3">
      <c r="B171" s="22" t="s">
        <v>31</v>
      </c>
      <c r="C171" s="22" t="s">
        <v>71</v>
      </c>
      <c r="D171" s="24">
        <f>1-D170</f>
        <v>0.13829787234042545</v>
      </c>
    </row>
    <row r="172" spans="2:6" ht="15.6" hidden="1" x14ac:dyDescent="0.3">
      <c r="B172" s="22" t="s">
        <v>31</v>
      </c>
      <c r="C172" s="22" t="s">
        <v>33</v>
      </c>
      <c r="D172" s="20">
        <f>+E26</f>
        <v>3.5</v>
      </c>
    </row>
    <row r="173" spans="2:6" ht="15.6" hidden="1" x14ac:dyDescent="0.3">
      <c r="B173" s="22" t="s">
        <v>31</v>
      </c>
      <c r="C173" s="22" t="s">
        <v>68</v>
      </c>
      <c r="D173" s="35">
        <f>+C36</f>
        <v>0.78333333333333333</v>
      </c>
    </row>
    <row r="174" spans="2:6" ht="15.6" hidden="1" x14ac:dyDescent="0.3">
      <c r="B174" s="22" t="s">
        <v>31</v>
      </c>
      <c r="C174" s="22" t="s">
        <v>69</v>
      </c>
      <c r="D174" s="35">
        <f>1-D173</f>
        <v>0.21666666666666667</v>
      </c>
    </row>
    <row r="175" spans="2:6" ht="15.6" hidden="1" x14ac:dyDescent="0.3">
      <c r="B175" s="22" t="s">
        <v>31</v>
      </c>
      <c r="C175" s="22" t="s">
        <v>40</v>
      </c>
      <c r="D175" s="26">
        <f>+E16</f>
        <v>13.5</v>
      </c>
    </row>
    <row r="176" spans="2:6" ht="15.6" hidden="1" x14ac:dyDescent="0.3">
      <c r="B176" s="22" t="s">
        <v>31</v>
      </c>
      <c r="C176" s="22" t="s">
        <v>54</v>
      </c>
      <c r="D176" s="26">
        <f>+'COMPRESOR NEUMÁTICO'!C67</f>
        <v>1200</v>
      </c>
    </row>
    <row r="177" spans="2:4" ht="15.6" hidden="1" x14ac:dyDescent="0.3">
      <c r="B177" s="22" t="s">
        <v>31</v>
      </c>
      <c r="C177" s="22" t="s">
        <v>22</v>
      </c>
      <c r="D177" s="26">
        <f>+'COMPRESOR NEUMÁTICO'!C68</f>
        <v>210</v>
      </c>
    </row>
    <row r="178" spans="2:4" ht="15.6" hidden="1" x14ac:dyDescent="0.3">
      <c r="B178" s="22" t="s">
        <v>31</v>
      </c>
      <c r="C178" s="22" t="s">
        <v>15</v>
      </c>
      <c r="D178" s="26">
        <f>+'COMPRESOR NEUMÁTICO'!C69</f>
        <v>50</v>
      </c>
    </row>
    <row r="179" spans="2:4" ht="15.6" hidden="1" x14ac:dyDescent="0.3">
      <c r="B179" s="22" t="s">
        <v>31</v>
      </c>
      <c r="C179" s="22" t="s">
        <v>53</v>
      </c>
      <c r="D179" s="26">
        <f>+'COMPRESOR NEUMÁTICO'!C70</f>
        <v>940</v>
      </c>
    </row>
    <row r="180" spans="2:4" ht="15.6" hidden="1" x14ac:dyDescent="0.3">
      <c r="B180" s="22" t="s">
        <v>31</v>
      </c>
      <c r="C180" s="22" t="s">
        <v>57</v>
      </c>
      <c r="D180" s="26">
        <f>+'COMPRESOR NEUMÁTICO'!C71</f>
        <v>0</v>
      </c>
    </row>
    <row r="181" spans="2:4" ht="15.6" hidden="1" x14ac:dyDescent="0.3">
      <c r="B181" s="22" t="s">
        <v>31</v>
      </c>
      <c r="C181" s="22" t="s">
        <v>3</v>
      </c>
      <c r="D181" s="26">
        <f>+'COMPRESOR NEUMÁTICO'!C72</f>
        <v>0</v>
      </c>
    </row>
    <row r="182" spans="2:4" ht="15.6" hidden="1" x14ac:dyDescent="0.3">
      <c r="B182" s="22" t="s">
        <v>31</v>
      </c>
      <c r="C182" s="22" t="s">
        <v>56</v>
      </c>
      <c r="D182" s="26">
        <f>+'COMPRESOR NEUMÁTICO'!C73</f>
        <v>940</v>
      </c>
    </row>
    <row r="183" spans="2:4" ht="15.6" hidden="1" x14ac:dyDescent="0.3">
      <c r="B183" s="22" t="s">
        <v>31</v>
      </c>
      <c r="C183" s="22" t="s">
        <v>18</v>
      </c>
      <c r="D183" s="26">
        <f>+'COMPRESOR NEUMÁTICO'!C74</f>
        <v>0</v>
      </c>
    </row>
    <row r="184" spans="2:4" ht="15.6" hidden="1" x14ac:dyDescent="0.3">
      <c r="B184" s="22" t="s">
        <v>31</v>
      </c>
      <c r="C184" s="22" t="s">
        <v>55</v>
      </c>
      <c r="D184" s="26">
        <f>+'COMPRESOR NEUMÁTICO'!C75</f>
        <v>0</v>
      </c>
    </row>
    <row r="185" spans="2:4" ht="15.6" hidden="1" x14ac:dyDescent="0.3">
      <c r="B185" s="22" t="s">
        <v>31</v>
      </c>
      <c r="C185" s="22" t="s">
        <v>58</v>
      </c>
      <c r="D185" s="26">
        <f>+'COMPRESOR NEUMÁTICO'!C76</f>
        <v>940</v>
      </c>
    </row>
    <row r="186" spans="2:4" ht="15.6" hidden="1" x14ac:dyDescent="0.3">
      <c r="B186" s="22" t="s">
        <v>30</v>
      </c>
      <c r="C186" s="22" t="s">
        <v>44</v>
      </c>
      <c r="D186" s="36">
        <f>+MINICARGADOR!B49</f>
        <v>0.99904761904761907</v>
      </c>
    </row>
    <row r="187" spans="2:4" ht="15.6" hidden="1" x14ac:dyDescent="0.3">
      <c r="B187" s="22" t="s">
        <v>30</v>
      </c>
      <c r="C187" s="22" t="s">
        <v>63</v>
      </c>
      <c r="D187" s="36">
        <f>1-D186</f>
        <v>9.5238095238092679E-4</v>
      </c>
    </row>
    <row r="188" spans="2:4" ht="15.6" hidden="1" x14ac:dyDescent="0.3">
      <c r="B188" s="22" t="s">
        <v>30</v>
      </c>
      <c r="C188" s="22" t="s">
        <v>64</v>
      </c>
      <c r="D188" s="36">
        <f>+MINICARGADOR!B50</f>
        <v>0.49952335557673977</v>
      </c>
    </row>
    <row r="189" spans="2:4" ht="15.6" hidden="1" x14ac:dyDescent="0.3">
      <c r="B189" s="22" t="s">
        <v>30</v>
      </c>
      <c r="C189" s="22" t="s">
        <v>65</v>
      </c>
      <c r="D189" s="36">
        <f>1-D188</f>
        <v>0.50047664442326023</v>
      </c>
    </row>
    <row r="190" spans="2:4" ht="15.6" hidden="1" x14ac:dyDescent="0.3">
      <c r="B190" s="22" t="s">
        <v>30</v>
      </c>
      <c r="C190" s="22" t="s">
        <v>66</v>
      </c>
      <c r="D190" s="36">
        <f>++MINICARGADOR!B51</f>
        <v>1</v>
      </c>
    </row>
    <row r="191" spans="2:4" ht="15.6" hidden="1" x14ac:dyDescent="0.3">
      <c r="B191" s="22" t="s">
        <v>30</v>
      </c>
      <c r="C191" s="22" t="s">
        <v>67</v>
      </c>
      <c r="D191" s="36">
        <f>1-D190</f>
        <v>0</v>
      </c>
    </row>
    <row r="192" spans="2:4" ht="15.6" hidden="1" x14ac:dyDescent="0.3">
      <c r="B192" s="22" t="s">
        <v>30</v>
      </c>
      <c r="C192" s="22" t="s">
        <v>62</v>
      </c>
      <c r="D192" s="36">
        <f>+F7</f>
        <v>0.91428571428571426</v>
      </c>
    </row>
    <row r="193" spans="2:4" ht="15.6" hidden="1" x14ac:dyDescent="0.3">
      <c r="B193" s="22" t="s">
        <v>30</v>
      </c>
      <c r="C193" s="22" t="s">
        <v>70</v>
      </c>
      <c r="D193" s="36">
        <f>1-D192</f>
        <v>8.5714285714285743E-2</v>
      </c>
    </row>
    <row r="194" spans="2:4" ht="15.6" hidden="1" x14ac:dyDescent="0.3">
      <c r="B194" s="22" t="s">
        <v>30</v>
      </c>
      <c r="C194" s="22" t="s">
        <v>38</v>
      </c>
      <c r="D194" s="36">
        <f>+G17</f>
        <v>0.88570066730219243</v>
      </c>
    </row>
    <row r="195" spans="2:4" ht="15.6" hidden="1" x14ac:dyDescent="0.3">
      <c r="B195" s="22" t="s">
        <v>30</v>
      </c>
      <c r="C195" s="22" t="s">
        <v>71</v>
      </c>
      <c r="D195" s="36">
        <f>1-D194</f>
        <v>0.11429933269780757</v>
      </c>
    </row>
    <row r="196" spans="2:4" ht="15.6" hidden="1" x14ac:dyDescent="0.3">
      <c r="B196" s="22" t="s">
        <v>30</v>
      </c>
      <c r="C196" s="22" t="s">
        <v>33</v>
      </c>
      <c r="D196" s="37">
        <f>+E27</f>
        <v>3.3333333333333333E-2</v>
      </c>
    </row>
    <row r="197" spans="2:4" ht="15.6" hidden="1" x14ac:dyDescent="0.3">
      <c r="B197" s="22" t="s">
        <v>30</v>
      </c>
      <c r="C197" s="22" t="s">
        <v>68</v>
      </c>
      <c r="D197" s="38">
        <f>+C37</f>
        <v>0.49904761904761907</v>
      </c>
    </row>
    <row r="198" spans="2:4" ht="15.6" hidden="1" x14ac:dyDescent="0.3">
      <c r="B198" s="22" t="s">
        <v>30</v>
      </c>
      <c r="C198" s="22" t="s">
        <v>69</v>
      </c>
      <c r="D198" s="38">
        <f>1-D197</f>
        <v>0.50095238095238093</v>
      </c>
    </row>
    <row r="199" spans="2:4" ht="15.6" hidden="1" x14ac:dyDescent="0.3">
      <c r="B199" s="22" t="s">
        <v>30</v>
      </c>
      <c r="C199" s="22" t="s">
        <v>40</v>
      </c>
      <c r="D199" s="39">
        <f>+E17</f>
        <v>30.97</v>
      </c>
    </row>
    <row r="200" spans="2:4" ht="15.6" hidden="1" x14ac:dyDescent="0.3">
      <c r="B200" s="22" t="s">
        <v>30</v>
      </c>
      <c r="C200" s="22" t="s">
        <v>54</v>
      </c>
      <c r="D200" s="39">
        <f>+MINICARGADOR!C60</f>
        <v>2100</v>
      </c>
    </row>
    <row r="201" spans="2:4" ht="15.6" hidden="1" x14ac:dyDescent="0.3">
      <c r="B201" s="22" t="s">
        <v>30</v>
      </c>
      <c r="C201" s="22" t="s">
        <v>22</v>
      </c>
      <c r="D201" s="39">
        <f>+MINICARGADOR!C61</f>
        <v>2</v>
      </c>
    </row>
    <row r="202" spans="2:4" ht="15.6" hidden="1" x14ac:dyDescent="0.3">
      <c r="B202" s="22" t="s">
        <v>30</v>
      </c>
      <c r="C202" s="22" t="s">
        <v>15</v>
      </c>
      <c r="D202" s="39">
        <f>+MINICARGADOR!C62</f>
        <v>0</v>
      </c>
    </row>
    <row r="203" spans="2:4" ht="15.6" hidden="1" x14ac:dyDescent="0.3">
      <c r="B203" s="22" t="s">
        <v>30</v>
      </c>
      <c r="C203" s="22" t="s">
        <v>53</v>
      </c>
      <c r="D203" s="39">
        <f>+MINICARGADOR!C63</f>
        <v>2098</v>
      </c>
    </row>
    <row r="204" spans="2:4" ht="15.6" hidden="1" x14ac:dyDescent="0.3">
      <c r="B204" s="22" t="s">
        <v>30</v>
      </c>
      <c r="C204" s="22" t="s">
        <v>57</v>
      </c>
      <c r="D204" s="39">
        <f>+MINICARGADOR!C64</f>
        <v>0</v>
      </c>
    </row>
    <row r="205" spans="2:4" ht="15.6" hidden="1" x14ac:dyDescent="0.3">
      <c r="B205" s="22" t="s">
        <v>30</v>
      </c>
      <c r="C205" s="22" t="s">
        <v>3</v>
      </c>
      <c r="D205" s="39">
        <f>+MINICARGADOR!C65</f>
        <v>1050</v>
      </c>
    </row>
    <row r="206" spans="2:4" ht="15.6" hidden="1" x14ac:dyDescent="0.3">
      <c r="B206" s="22" t="s">
        <v>30</v>
      </c>
      <c r="C206" s="22" t="s">
        <v>56</v>
      </c>
      <c r="D206" s="39">
        <f>+MINICARGADOR!C66</f>
        <v>1048</v>
      </c>
    </row>
    <row r="207" spans="2:4" ht="15.6" hidden="1" x14ac:dyDescent="0.3">
      <c r="B207" s="22" t="s">
        <v>30</v>
      </c>
      <c r="C207" s="22" t="s">
        <v>18</v>
      </c>
      <c r="D207" s="39">
        <f>+MINICARGADOR!C67</f>
        <v>0</v>
      </c>
    </row>
    <row r="208" spans="2:4" ht="15.6" hidden="1" x14ac:dyDescent="0.3">
      <c r="B208" s="22" t="s">
        <v>30</v>
      </c>
      <c r="C208" s="22" t="s">
        <v>55</v>
      </c>
      <c r="D208" s="39">
        <f>+MINICARGADOR!C68</f>
        <v>0</v>
      </c>
    </row>
    <row r="209" spans="2:4" ht="15.6" hidden="1" x14ac:dyDescent="0.3">
      <c r="B209" s="22" t="s">
        <v>30</v>
      </c>
      <c r="C209" s="22" t="s">
        <v>58</v>
      </c>
      <c r="D209" s="39">
        <f>+MINICARGADOR!C69</f>
        <v>1048</v>
      </c>
    </row>
    <row r="210" spans="2:4" ht="15.6" hidden="1" x14ac:dyDescent="0.3">
      <c r="B210" s="22" t="s">
        <v>29</v>
      </c>
      <c r="C210" s="22" t="s">
        <v>44</v>
      </c>
      <c r="D210" s="36">
        <f>+RODILLOS!B45</f>
        <v>0.625</v>
      </c>
    </row>
    <row r="211" spans="2:4" ht="15.6" hidden="1" x14ac:dyDescent="0.3">
      <c r="B211" s="22" t="s">
        <v>29</v>
      </c>
      <c r="C211" s="22" t="s">
        <v>63</v>
      </c>
      <c r="D211" s="36">
        <f>1-D210</f>
        <v>0.375</v>
      </c>
    </row>
    <row r="212" spans="2:4" ht="15.6" hidden="1" x14ac:dyDescent="0.3">
      <c r="B212" s="22" t="s">
        <v>29</v>
      </c>
      <c r="C212" s="22" t="s">
        <v>64</v>
      </c>
      <c r="D212" s="36">
        <f>+RODILLOS!B46</f>
        <v>1</v>
      </c>
    </row>
    <row r="213" spans="2:4" ht="15.6" hidden="1" x14ac:dyDescent="0.3">
      <c r="B213" s="22" t="s">
        <v>29</v>
      </c>
      <c r="C213" s="22" t="s">
        <v>65</v>
      </c>
      <c r="D213" s="36">
        <f>1-D212</f>
        <v>0</v>
      </c>
    </row>
    <row r="214" spans="2:4" ht="15.6" hidden="1" x14ac:dyDescent="0.3">
      <c r="B214" s="22" t="s">
        <v>29</v>
      </c>
      <c r="C214" s="22" t="s">
        <v>66</v>
      </c>
      <c r="D214" s="36">
        <f>+RODILLOS!B47</f>
        <v>1</v>
      </c>
    </row>
    <row r="215" spans="2:4" ht="15.6" hidden="1" x14ac:dyDescent="0.3">
      <c r="B215" s="22" t="s">
        <v>29</v>
      </c>
      <c r="C215" s="22" t="s">
        <v>67</v>
      </c>
      <c r="D215" s="36">
        <f>1-D214</f>
        <v>0</v>
      </c>
    </row>
    <row r="216" spans="2:4" ht="15.6" hidden="1" x14ac:dyDescent="0.3">
      <c r="B216" s="22" t="s">
        <v>29</v>
      </c>
      <c r="C216" s="22" t="s">
        <v>62</v>
      </c>
      <c r="D216" s="36">
        <f>+F8</f>
        <v>0.5</v>
      </c>
    </row>
    <row r="217" spans="2:4" ht="15.6" hidden="1" x14ac:dyDescent="0.3">
      <c r="B217" s="22" t="s">
        <v>29</v>
      </c>
      <c r="C217" s="22" t="s">
        <v>70</v>
      </c>
      <c r="D217" s="36">
        <f>1-D216</f>
        <v>0.5</v>
      </c>
    </row>
    <row r="218" spans="2:4" ht="15.6" hidden="1" x14ac:dyDescent="0.3">
      <c r="B218" s="22" t="s">
        <v>29</v>
      </c>
      <c r="C218" s="22" t="s">
        <v>38</v>
      </c>
      <c r="D218" s="36">
        <f>+G18</f>
        <v>0.91999999999999993</v>
      </c>
    </row>
    <row r="219" spans="2:4" ht="15.6" hidden="1" x14ac:dyDescent="0.3">
      <c r="B219" s="22" t="s">
        <v>29</v>
      </c>
      <c r="C219" s="22" t="s">
        <v>71</v>
      </c>
      <c r="D219" s="36">
        <f>1-D218</f>
        <v>8.0000000000000071E-2</v>
      </c>
    </row>
    <row r="220" spans="2:4" ht="15.6" hidden="1" x14ac:dyDescent="0.3">
      <c r="B220" s="22" t="s">
        <v>29</v>
      </c>
      <c r="C220" s="22" t="s">
        <v>33</v>
      </c>
      <c r="D220" s="37">
        <f>+E28</f>
        <v>1.5</v>
      </c>
    </row>
    <row r="221" spans="2:4" ht="15.6" hidden="1" x14ac:dyDescent="0.3">
      <c r="B221" s="22" t="s">
        <v>29</v>
      </c>
      <c r="C221" s="22" t="s">
        <v>68</v>
      </c>
      <c r="D221" s="38">
        <f>+C38</f>
        <v>0.625</v>
      </c>
    </row>
    <row r="222" spans="2:4" ht="15.6" hidden="1" x14ac:dyDescent="0.3">
      <c r="B222" s="22" t="s">
        <v>29</v>
      </c>
      <c r="C222" s="22" t="s">
        <v>69</v>
      </c>
      <c r="D222" s="38">
        <f>1-D221</f>
        <v>0.375</v>
      </c>
    </row>
    <row r="223" spans="2:4" ht="15.6" hidden="1" x14ac:dyDescent="0.3">
      <c r="B223" s="22" t="s">
        <v>29</v>
      </c>
      <c r="C223" s="22" t="s">
        <v>40</v>
      </c>
      <c r="D223" s="39">
        <f>+E18</f>
        <v>2.2999999999999998</v>
      </c>
    </row>
    <row r="224" spans="2:4" ht="15.6" hidden="1" x14ac:dyDescent="0.3">
      <c r="B224" s="22" t="s">
        <v>29</v>
      </c>
      <c r="C224" s="22" t="s">
        <v>54</v>
      </c>
      <c r="D224" s="39">
        <f>+RODILLOS!C58</f>
        <v>240</v>
      </c>
    </row>
    <row r="225" spans="2:4" ht="15.6" hidden="1" x14ac:dyDescent="0.3">
      <c r="B225" s="22" t="s">
        <v>29</v>
      </c>
      <c r="C225" s="22" t="s">
        <v>22</v>
      </c>
      <c r="D225" s="39">
        <f>+RODILLOS!C59</f>
        <v>90</v>
      </c>
    </row>
    <row r="226" spans="2:4" ht="15.6" hidden="1" x14ac:dyDescent="0.3">
      <c r="B226" s="22" t="s">
        <v>29</v>
      </c>
      <c r="C226" s="22" t="s">
        <v>15</v>
      </c>
      <c r="D226" s="39">
        <f>+RODILLOS!C60</f>
        <v>0</v>
      </c>
    </row>
    <row r="227" spans="2:4" ht="15.6" hidden="1" x14ac:dyDescent="0.3">
      <c r="B227" s="22" t="s">
        <v>29</v>
      </c>
      <c r="C227" s="22" t="s">
        <v>53</v>
      </c>
      <c r="D227" s="39">
        <f>+RODILLOS!C61</f>
        <v>150</v>
      </c>
    </row>
    <row r="228" spans="2:4" ht="15.6" hidden="1" x14ac:dyDescent="0.3">
      <c r="B228" s="22" t="s">
        <v>29</v>
      </c>
      <c r="C228" s="22" t="s">
        <v>57</v>
      </c>
      <c r="D228" s="39">
        <f>+RODILLOS!C62</f>
        <v>0</v>
      </c>
    </row>
    <row r="229" spans="2:4" ht="15.6" hidden="1" x14ac:dyDescent="0.3">
      <c r="B229" s="22" t="s">
        <v>29</v>
      </c>
      <c r="C229" s="22" t="s">
        <v>3</v>
      </c>
      <c r="D229" s="39">
        <f>+RODILLOS!C63</f>
        <v>0</v>
      </c>
    </row>
    <row r="230" spans="2:4" ht="15.6" hidden="1" x14ac:dyDescent="0.3">
      <c r="B230" s="22" t="s">
        <v>29</v>
      </c>
      <c r="C230" s="22" t="s">
        <v>56</v>
      </c>
      <c r="D230" s="39">
        <f>+RODILLOS!C64</f>
        <v>150</v>
      </c>
    </row>
    <row r="231" spans="2:4" ht="15.6" hidden="1" x14ac:dyDescent="0.3">
      <c r="B231" s="22" t="s">
        <v>29</v>
      </c>
      <c r="C231" s="22" t="s">
        <v>18</v>
      </c>
      <c r="D231" s="39">
        <f>+RODILLOS!C65</f>
        <v>0</v>
      </c>
    </row>
    <row r="232" spans="2:4" ht="15.6" hidden="1" x14ac:dyDescent="0.3">
      <c r="B232" s="22" t="s">
        <v>29</v>
      </c>
      <c r="C232" s="22" t="s">
        <v>55</v>
      </c>
      <c r="D232" s="39">
        <f>+RODILLOS!C66</f>
        <v>0</v>
      </c>
    </row>
    <row r="233" spans="2:4" ht="15.6" hidden="1" x14ac:dyDescent="0.3">
      <c r="B233" s="22" t="s">
        <v>29</v>
      </c>
      <c r="C233" s="22" t="s">
        <v>58</v>
      </c>
      <c r="D233" s="39">
        <f>+RODILLOS!C67</f>
        <v>150</v>
      </c>
    </row>
    <row r="234" spans="2:4" ht="15.6" hidden="1" x14ac:dyDescent="0.3">
      <c r="B234" s="22" t="s">
        <v>28</v>
      </c>
      <c r="C234" s="22" t="s">
        <v>44</v>
      </c>
      <c r="D234" s="36">
        <f>+MEZCLADORA!B51</f>
        <v>0.81818181818181823</v>
      </c>
    </row>
    <row r="235" spans="2:4" ht="15.6" hidden="1" x14ac:dyDescent="0.3">
      <c r="B235" s="22" t="s">
        <v>28</v>
      </c>
      <c r="C235" s="22" t="s">
        <v>63</v>
      </c>
      <c r="D235" s="36">
        <f>1-D234</f>
        <v>0.18181818181818177</v>
      </c>
    </row>
    <row r="236" spans="2:4" ht="15.6" hidden="1" x14ac:dyDescent="0.3">
      <c r="B236" s="22" t="s">
        <v>28</v>
      </c>
      <c r="C236" s="22" t="s">
        <v>64</v>
      </c>
      <c r="D236" s="36">
        <f>+MEZCLADORA!B52</f>
        <v>0.81481481481481477</v>
      </c>
    </row>
    <row r="237" spans="2:4" ht="15.6" hidden="1" x14ac:dyDescent="0.3">
      <c r="B237" s="22" t="s">
        <v>28</v>
      </c>
      <c r="C237" s="22" t="s">
        <v>65</v>
      </c>
      <c r="D237" s="36">
        <f>1-D236</f>
        <v>0.18518518518518523</v>
      </c>
    </row>
    <row r="238" spans="2:4" ht="15.6" hidden="1" x14ac:dyDescent="0.3">
      <c r="B238" s="22" t="s">
        <v>28</v>
      </c>
      <c r="C238" s="22" t="s">
        <v>66</v>
      </c>
      <c r="D238" s="36">
        <f>++MEZCLADORA!B53</f>
        <v>1</v>
      </c>
    </row>
    <row r="239" spans="2:4" ht="15.6" hidden="1" x14ac:dyDescent="0.3">
      <c r="B239" s="22" t="s">
        <v>28</v>
      </c>
      <c r="C239" s="22" t="s">
        <v>67</v>
      </c>
      <c r="D239" s="36">
        <f>1-D238</f>
        <v>0</v>
      </c>
    </row>
    <row r="240" spans="2:4" ht="15.6" hidden="1" x14ac:dyDescent="0.3">
      <c r="B240" s="22" t="s">
        <v>28</v>
      </c>
      <c r="C240" s="22" t="s">
        <v>62</v>
      </c>
      <c r="D240" s="36">
        <f>+F9</f>
        <v>0.81818181818181823</v>
      </c>
    </row>
    <row r="241" spans="2:4" ht="15.6" hidden="1" x14ac:dyDescent="0.3">
      <c r="B241" s="22" t="s">
        <v>28</v>
      </c>
      <c r="C241" s="22" t="s">
        <v>70</v>
      </c>
      <c r="D241" s="36">
        <f>1-D240</f>
        <v>0.18181818181818177</v>
      </c>
    </row>
    <row r="242" spans="2:4" ht="15.6" hidden="1" x14ac:dyDescent="0.3">
      <c r="B242" s="22" t="s">
        <v>28</v>
      </c>
      <c r="C242" s="22" t="s">
        <v>38</v>
      </c>
      <c r="D242" s="36">
        <f>+G19</f>
        <v>0.94444444444444442</v>
      </c>
    </row>
    <row r="243" spans="2:4" ht="15.6" hidden="1" x14ac:dyDescent="0.3">
      <c r="B243" s="22" t="s">
        <v>28</v>
      </c>
      <c r="C243" s="22" t="s">
        <v>71</v>
      </c>
      <c r="D243" s="36">
        <f>1-D242</f>
        <v>5.555555555555558E-2</v>
      </c>
    </row>
    <row r="244" spans="2:4" ht="15.6" hidden="1" x14ac:dyDescent="0.3">
      <c r="B244" s="22" t="s">
        <v>28</v>
      </c>
      <c r="C244" s="22" t="s">
        <v>33</v>
      </c>
      <c r="D244" s="37">
        <f>+E29</f>
        <v>0</v>
      </c>
    </row>
    <row r="245" spans="2:4" ht="15.6" hidden="1" x14ac:dyDescent="0.3">
      <c r="B245" s="22" t="s">
        <v>28</v>
      </c>
      <c r="C245" s="22" t="s">
        <v>68</v>
      </c>
      <c r="D245" s="38">
        <f>+C39</f>
        <v>0.66666666666666663</v>
      </c>
    </row>
    <row r="246" spans="2:4" ht="15.6" hidden="1" x14ac:dyDescent="0.3">
      <c r="B246" s="22" t="s">
        <v>28</v>
      </c>
      <c r="C246" s="22" t="s">
        <v>69</v>
      </c>
      <c r="D246" s="38">
        <f>1-D245</f>
        <v>0.33333333333333337</v>
      </c>
    </row>
    <row r="247" spans="2:4" ht="15.6" hidden="1" x14ac:dyDescent="0.3">
      <c r="B247" s="22" t="s">
        <v>28</v>
      </c>
      <c r="C247" s="22" t="s">
        <v>40</v>
      </c>
      <c r="D247" s="39">
        <f>+E19</f>
        <v>4.25</v>
      </c>
    </row>
    <row r="248" spans="2:4" ht="15.6" hidden="1" x14ac:dyDescent="0.3">
      <c r="B248" s="22" t="s">
        <v>28</v>
      </c>
      <c r="C248" s="22" t="s">
        <v>54</v>
      </c>
      <c r="D248" s="39">
        <f>+MEZCLADORA!C63</f>
        <v>330</v>
      </c>
    </row>
    <row r="249" spans="2:4" ht="15.6" hidden="1" x14ac:dyDescent="0.3">
      <c r="B249" s="22" t="s">
        <v>28</v>
      </c>
      <c r="C249" s="22" t="s">
        <v>22</v>
      </c>
      <c r="D249" s="39">
        <f>+MEZCLADORA!C64</f>
        <v>0</v>
      </c>
    </row>
    <row r="250" spans="2:4" ht="15.6" hidden="1" x14ac:dyDescent="0.3">
      <c r="B250" s="22" t="s">
        <v>28</v>
      </c>
      <c r="C250" s="22" t="s">
        <v>15</v>
      </c>
      <c r="D250" s="39">
        <f>+MEZCLADORA!C65</f>
        <v>60</v>
      </c>
    </row>
    <row r="251" spans="2:4" ht="15.6" hidden="1" x14ac:dyDescent="0.3">
      <c r="B251" s="22" t="s">
        <v>28</v>
      </c>
      <c r="C251" s="22" t="s">
        <v>53</v>
      </c>
      <c r="D251" s="39">
        <f>+MEZCLADORA!C66</f>
        <v>270</v>
      </c>
    </row>
    <row r="252" spans="2:4" ht="15.6" hidden="1" x14ac:dyDescent="0.3">
      <c r="B252" s="22" t="s">
        <v>28</v>
      </c>
      <c r="C252" s="22" t="s">
        <v>57</v>
      </c>
      <c r="D252" s="39">
        <f>+MEZCLADORA!C67</f>
        <v>50</v>
      </c>
    </row>
    <row r="253" spans="2:4" ht="15.6" hidden="1" x14ac:dyDescent="0.3">
      <c r="B253" s="22" t="s">
        <v>28</v>
      </c>
      <c r="C253" s="22" t="s">
        <v>3</v>
      </c>
      <c r="D253" s="39">
        <f>+MEZCLADORA!C68</f>
        <v>0</v>
      </c>
    </row>
    <row r="254" spans="2:4" ht="15.6" hidden="1" x14ac:dyDescent="0.3">
      <c r="B254" s="22" t="s">
        <v>28</v>
      </c>
      <c r="C254" s="22" t="s">
        <v>56</v>
      </c>
      <c r="D254" s="39">
        <f>+MEZCLADORA!C69</f>
        <v>220</v>
      </c>
    </row>
    <row r="255" spans="2:4" ht="15.6" hidden="1" x14ac:dyDescent="0.3">
      <c r="B255" s="22" t="s">
        <v>28</v>
      </c>
      <c r="C255" s="22" t="s">
        <v>18</v>
      </c>
      <c r="D255" s="39">
        <f>+MEZCLADORA!C70</f>
        <v>0</v>
      </c>
    </row>
    <row r="256" spans="2:4" ht="15.6" hidden="1" x14ac:dyDescent="0.3">
      <c r="B256" s="22" t="s">
        <v>28</v>
      </c>
      <c r="C256" s="22" t="s">
        <v>55</v>
      </c>
      <c r="D256" s="39">
        <f>+MEZCLADORA!C71</f>
        <v>0</v>
      </c>
    </row>
    <row r="257" spans="2:13" ht="15.6" hidden="1" x14ac:dyDescent="0.3">
      <c r="B257" s="22" t="s">
        <v>28</v>
      </c>
      <c r="C257" s="22" t="s">
        <v>58</v>
      </c>
      <c r="D257" s="39">
        <f>+MEZCLADORA!C72</f>
        <v>220</v>
      </c>
    </row>
    <row r="258" spans="2:13" x14ac:dyDescent="0.3">
      <c r="C258"/>
    </row>
    <row r="260" spans="2:13" x14ac:dyDescent="0.3">
      <c r="C260"/>
      <c r="D260"/>
      <c r="E260"/>
      <c r="F260"/>
    </row>
    <row r="261" spans="2:13" x14ac:dyDescent="0.3">
      <c r="C261"/>
      <c r="D261"/>
      <c r="E261"/>
      <c r="F261"/>
    </row>
    <row r="262" spans="2:13" x14ac:dyDescent="0.3">
      <c r="C262"/>
      <c r="D262"/>
      <c r="E262"/>
      <c r="F262"/>
    </row>
    <row r="263" spans="2:13" x14ac:dyDescent="0.3">
      <c r="C263"/>
      <c r="D263"/>
      <c r="E263"/>
      <c r="F263"/>
    </row>
    <row r="264" spans="2:13" x14ac:dyDescent="0.3">
      <c r="C264"/>
      <c r="D264"/>
      <c r="E264"/>
      <c r="F264"/>
    </row>
    <row r="265" spans="2:13" x14ac:dyDescent="0.3">
      <c r="C265"/>
      <c r="D265"/>
      <c r="E265"/>
      <c r="F265"/>
    </row>
    <row r="266" spans="2:13" x14ac:dyDescent="0.3">
      <c r="C266"/>
      <c r="D266"/>
      <c r="E266"/>
      <c r="F266"/>
    </row>
    <row r="267" spans="2:13" x14ac:dyDescent="0.3">
      <c r="C267"/>
      <c r="D267"/>
      <c r="E267"/>
      <c r="F267"/>
    </row>
    <row r="268" spans="2:13" x14ac:dyDescent="0.3">
      <c r="C268"/>
      <c r="D268"/>
      <c r="F268"/>
    </row>
    <row r="269" spans="2:13" x14ac:dyDescent="0.3">
      <c r="B269" s="33" t="s">
        <v>61</v>
      </c>
      <c r="C269" s="33" t="s">
        <v>60</v>
      </c>
      <c r="D269"/>
      <c r="E269" s="33" t="s">
        <v>61</v>
      </c>
      <c r="F269" s="33" t="s">
        <v>60</v>
      </c>
      <c r="H269" s="33" t="s">
        <v>61</v>
      </c>
      <c r="I269" s="33" t="s">
        <v>60</v>
      </c>
      <c r="K269" s="33" t="s">
        <v>61</v>
      </c>
      <c r="L269" s="33" t="s">
        <v>60</v>
      </c>
    </row>
    <row r="270" spans="2:13" x14ac:dyDescent="0.3">
      <c r="B270" s="33" t="s">
        <v>52</v>
      </c>
      <c r="C270" t="s">
        <v>31</v>
      </c>
      <c r="D270"/>
      <c r="E270" s="33" t="s">
        <v>52</v>
      </c>
      <c r="F270" t="s">
        <v>31</v>
      </c>
      <c r="H270" s="33" t="s">
        <v>52</v>
      </c>
      <c r="I270" t="s">
        <v>31</v>
      </c>
      <c r="K270" s="33" t="s">
        <v>52</v>
      </c>
      <c r="L270" t="s">
        <v>31</v>
      </c>
    </row>
    <row r="271" spans="2:13" x14ac:dyDescent="0.3">
      <c r="B271" s="34" t="s">
        <v>53</v>
      </c>
      <c r="C271">
        <v>940</v>
      </c>
      <c r="D271"/>
      <c r="E271" s="34" t="s">
        <v>56</v>
      </c>
      <c r="F271">
        <v>940</v>
      </c>
      <c r="H271" s="34" t="s">
        <v>58</v>
      </c>
      <c r="I271">
        <v>940</v>
      </c>
      <c r="K271" s="34" t="s">
        <v>40</v>
      </c>
      <c r="L271" s="40">
        <v>13.5</v>
      </c>
      <c r="M271" s="40" t="str">
        <f>CONCATENATE(ROUND(+GETPIVOTDATA("Resultado Obtenido",$K$269,"Máquinas",$L$270,"Indicador","MTBF"),2)," horas")</f>
        <v>13.5 horas</v>
      </c>
    </row>
    <row r="272" spans="2:13" x14ac:dyDescent="0.3">
      <c r="B272" s="34" t="s">
        <v>15</v>
      </c>
      <c r="C272">
        <v>50</v>
      </c>
      <c r="D272"/>
      <c r="E272" s="34" t="s">
        <v>3</v>
      </c>
      <c r="F272">
        <v>0</v>
      </c>
      <c r="H272" s="34" t="s">
        <v>55</v>
      </c>
      <c r="I272">
        <v>0</v>
      </c>
      <c r="K272" s="34" t="s">
        <v>33</v>
      </c>
      <c r="L272" s="40">
        <v>3.5</v>
      </c>
      <c r="M272" s="40" t="str">
        <f>CONCATENATE(ROUND(+GETPIVOTDATA("Resultado Obtenido",$K$269,"Máquinas",$L$270,"Indicador","MTTR"),2)," horas")</f>
        <v>3.5 horas</v>
      </c>
    </row>
    <row r="273" spans="2:19" x14ac:dyDescent="0.3">
      <c r="B273" s="34" t="s">
        <v>22</v>
      </c>
      <c r="C273">
        <v>210</v>
      </c>
      <c r="D273"/>
      <c r="E273" s="34" t="s">
        <v>57</v>
      </c>
      <c r="F273">
        <v>0</v>
      </c>
      <c r="H273" s="34" t="s">
        <v>18</v>
      </c>
      <c r="I273">
        <v>0</v>
      </c>
    </row>
    <row r="274" spans="2:19" x14ac:dyDescent="0.3">
      <c r="B274" s="34" t="s">
        <v>54</v>
      </c>
      <c r="C274">
        <v>1200</v>
      </c>
      <c r="D274"/>
      <c r="E274" s="34" t="s">
        <v>53</v>
      </c>
      <c r="F274">
        <v>940</v>
      </c>
      <c r="H274" s="34" t="s">
        <v>56</v>
      </c>
      <c r="I274">
        <v>940</v>
      </c>
    </row>
    <row r="275" spans="2:19" x14ac:dyDescent="0.3">
      <c r="C275"/>
      <c r="D275"/>
      <c r="E275"/>
      <c r="F275"/>
    </row>
    <row r="276" spans="2:19" x14ac:dyDescent="0.3">
      <c r="C276"/>
      <c r="D276"/>
      <c r="E276"/>
      <c r="F276"/>
    </row>
    <row r="277" spans="2:19" x14ac:dyDescent="0.3">
      <c r="C277"/>
      <c r="D277"/>
      <c r="E277"/>
      <c r="F277"/>
    </row>
    <row r="278" spans="2:19" x14ac:dyDescent="0.3">
      <c r="C278"/>
      <c r="D278"/>
      <c r="E278"/>
      <c r="F278"/>
    </row>
    <row r="279" spans="2:19" x14ac:dyDescent="0.3">
      <c r="C279"/>
      <c r="D279"/>
      <c r="E279"/>
      <c r="F279"/>
    </row>
    <row r="280" spans="2:19" x14ac:dyDescent="0.3">
      <c r="C280"/>
      <c r="D280"/>
      <c r="E280"/>
      <c r="F280"/>
    </row>
    <row r="281" spans="2:19" x14ac:dyDescent="0.3">
      <c r="B281" s="33" t="s">
        <v>52</v>
      </c>
      <c r="C281" t="s">
        <v>61</v>
      </c>
      <c r="D281"/>
      <c r="E281" s="33" t="s">
        <v>52</v>
      </c>
      <c r="F281" t="s">
        <v>61</v>
      </c>
      <c r="H281" s="33" t="s">
        <v>52</v>
      </c>
      <c r="I281" t="s">
        <v>61</v>
      </c>
      <c r="K281" s="33" t="s">
        <v>52</v>
      </c>
      <c r="L281" t="s">
        <v>61</v>
      </c>
      <c r="N281" s="33" t="s">
        <v>52</v>
      </c>
      <c r="O281" t="s">
        <v>61</v>
      </c>
      <c r="Q281" s="33" t="s">
        <v>52</v>
      </c>
      <c r="R281" t="s">
        <v>61</v>
      </c>
    </row>
    <row r="282" spans="2:19" x14ac:dyDescent="0.3">
      <c r="B282" s="34" t="s">
        <v>31</v>
      </c>
      <c r="C282" s="32">
        <v>1</v>
      </c>
      <c r="D282"/>
      <c r="E282" s="34" t="s">
        <v>31</v>
      </c>
      <c r="F282" s="32">
        <v>1</v>
      </c>
      <c r="H282" s="34" t="s">
        <v>31</v>
      </c>
      <c r="I282" s="32">
        <v>1</v>
      </c>
      <c r="K282" s="34" t="s">
        <v>31</v>
      </c>
      <c r="L282" s="32">
        <v>1</v>
      </c>
      <c r="N282" s="34" t="s">
        <v>31</v>
      </c>
      <c r="O282" s="32">
        <v>1</v>
      </c>
      <c r="Q282" s="34" t="s">
        <v>31</v>
      </c>
      <c r="R282" s="32">
        <v>1</v>
      </c>
    </row>
    <row r="283" spans="2:19" x14ac:dyDescent="0.3">
      <c r="B283" s="43" t="s">
        <v>44</v>
      </c>
      <c r="C283" s="32">
        <v>0.78333333333333333</v>
      </c>
      <c r="D283" s="32">
        <f>GETPIVOTDATA("Resultado Obtenido",$B$281,"Máquinas",$B$282,"Indicador","Disponibilidad")</f>
        <v>0.78333333333333333</v>
      </c>
      <c r="E283" s="43" t="s">
        <v>64</v>
      </c>
      <c r="F283" s="32">
        <v>1</v>
      </c>
      <c r="G283" s="32">
        <f>+GETPIVOTDATA("Resultado Obtenido",$E$281,"Máquinas",$E$282,"Indicador","Rendimiento")</f>
        <v>1</v>
      </c>
      <c r="H283" s="43" t="s">
        <v>66</v>
      </c>
      <c r="I283" s="32">
        <v>1</v>
      </c>
      <c r="J283" s="32">
        <f>+GETPIVOTDATA("Resultado Obtenido",$H$281,"Máquinas",$H$282,"Indicador","Calidad")</f>
        <v>1</v>
      </c>
      <c r="K283" s="43" t="s">
        <v>68</v>
      </c>
      <c r="L283" s="32">
        <v>0.78333333333333333</v>
      </c>
      <c r="M283" s="32">
        <f>+GETPIVOTDATA("Resultado Obtenido",$K$281,"Máquinas",$K$282,"Indicador","Eficiencia Global")</f>
        <v>0.78333333333333333</v>
      </c>
      <c r="N283" s="43" t="s">
        <v>62</v>
      </c>
      <c r="O283" s="32">
        <v>0.8</v>
      </c>
      <c r="P283" s="32">
        <f>+GETPIVOTDATA("Resultado Obtenido",$N$281,"Máquinas",$N$282,"Indicador","Disponibilidad Propia")</f>
        <v>0.8</v>
      </c>
      <c r="Q283" s="43" t="s">
        <v>38</v>
      </c>
      <c r="R283" s="32">
        <v>0.86170212765957455</v>
      </c>
      <c r="S283" s="32">
        <f>+GETPIVOTDATA("Resultado Obtenido",$Q$281,"Máquinas",$Q$282,"Indicador","Confiabilidad")</f>
        <v>0.86170212765957455</v>
      </c>
    </row>
    <row r="284" spans="2:19" x14ac:dyDescent="0.3">
      <c r="B284" s="43" t="s">
        <v>63</v>
      </c>
      <c r="C284" s="32">
        <v>0.21666666666666667</v>
      </c>
      <c r="D284"/>
      <c r="E284" s="43" t="s">
        <v>65</v>
      </c>
      <c r="F284" s="32">
        <v>0</v>
      </c>
      <c r="H284" s="43" t="s">
        <v>67</v>
      </c>
      <c r="I284" s="32">
        <v>0</v>
      </c>
      <c r="K284" s="43" t="s">
        <v>69</v>
      </c>
      <c r="L284" s="32">
        <v>0.21666666666666667</v>
      </c>
      <c r="N284" s="43" t="s">
        <v>70</v>
      </c>
      <c r="O284" s="32">
        <v>0.19999999999999996</v>
      </c>
      <c r="Q284" s="43" t="s">
        <v>71</v>
      </c>
      <c r="R284" s="32">
        <v>0.13829787234042545</v>
      </c>
    </row>
    <row r="285" spans="2:19" x14ac:dyDescent="0.3">
      <c r="C285"/>
      <c r="D285"/>
      <c r="E285"/>
      <c r="F285"/>
    </row>
    <row r="286" spans="2:19" x14ac:dyDescent="0.3">
      <c r="C286"/>
      <c r="D286"/>
      <c r="E286"/>
      <c r="F286"/>
    </row>
    <row r="287" spans="2:19" x14ac:dyDescent="0.3">
      <c r="C287"/>
      <c r="D287"/>
      <c r="E287"/>
      <c r="F287"/>
    </row>
    <row r="288" spans="2:19" x14ac:dyDescent="0.3">
      <c r="C288"/>
      <c r="D288"/>
      <c r="E288"/>
      <c r="F288"/>
    </row>
    <row r="289" spans="3:4" x14ac:dyDescent="0.3">
      <c r="C289"/>
      <c r="D289"/>
    </row>
    <row r="290" spans="3:4" x14ac:dyDescent="0.3">
      <c r="C290"/>
      <c r="D290"/>
    </row>
    <row r="291" spans="3:4" x14ac:dyDescent="0.3">
      <c r="C291"/>
      <c r="D291"/>
    </row>
    <row r="292" spans="3:4" x14ac:dyDescent="0.3">
      <c r="C292"/>
      <c r="D292"/>
    </row>
    <row r="293" spans="3:4" x14ac:dyDescent="0.3">
      <c r="C293"/>
      <c r="D293"/>
    </row>
    <row r="294" spans="3:4" x14ac:dyDescent="0.3">
      <c r="C294"/>
      <c r="D294"/>
    </row>
    <row r="295" spans="3:4" x14ac:dyDescent="0.3">
      <c r="C295"/>
      <c r="D295"/>
    </row>
    <row r="296" spans="3:4" x14ac:dyDescent="0.3">
      <c r="C296"/>
      <c r="D296"/>
    </row>
    <row r="297" spans="3:4" x14ac:dyDescent="0.3">
      <c r="C297"/>
      <c r="D297"/>
    </row>
    <row r="298" spans="3:4" x14ac:dyDescent="0.3">
      <c r="C298"/>
      <c r="D298"/>
    </row>
  </sheetData>
  <mergeCells count="16">
    <mergeCell ref="B31:C32"/>
    <mergeCell ref="B33:B34"/>
    <mergeCell ref="C33:C34"/>
    <mergeCell ref="B2:F3"/>
    <mergeCell ref="B11:G12"/>
    <mergeCell ref="B21:E22"/>
    <mergeCell ref="B23:B24"/>
    <mergeCell ref="C23:C24"/>
    <mergeCell ref="D23:D24"/>
    <mergeCell ref="E23:E24"/>
    <mergeCell ref="D13:D14"/>
    <mergeCell ref="E13:E14"/>
    <mergeCell ref="B13:B14"/>
    <mergeCell ref="C13:C14"/>
    <mergeCell ref="F13:F14"/>
    <mergeCell ref="G13:G14"/>
  </mergeCells>
  <pageMargins left="0.7" right="0.7" top="0.75" bottom="0.75" header="0.3" footer="0.3"/>
  <pageSetup paperSize="9" orientation="portrait" horizontalDpi="300" verticalDpi="300" r:id="rId11"/>
  <ignoredErrors>
    <ignoredError sqref="F15:F1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77B5-B43C-4FD3-BF2D-B80809839EE3}">
  <sheetPr>
    <tabColor rgb="FF217346"/>
  </sheetPr>
  <dimension ref="M18:AE52"/>
  <sheetViews>
    <sheetView showGridLines="0" tabSelected="1" zoomScale="40" zoomScaleNormal="40" workbookViewId="0">
      <selection activeCell="AE16" sqref="AE16"/>
    </sheetView>
  </sheetViews>
  <sheetFormatPr baseColWidth="10" defaultColWidth="12.5546875" defaultRowHeight="15.6" x14ac:dyDescent="0.3"/>
  <cols>
    <col min="1" max="16384" width="12.5546875" style="44"/>
  </cols>
  <sheetData>
    <row r="18" spans="13:25" x14ac:dyDescent="0.3">
      <c r="Y18" s="45"/>
    </row>
    <row r="30" spans="13:25" x14ac:dyDescent="0.3">
      <c r="M30" s="45"/>
    </row>
    <row r="38" spans="31:31" x14ac:dyDescent="0.3">
      <c r="AE38" s="45"/>
    </row>
    <row r="52" spans="27:27" x14ac:dyDescent="0.3">
      <c r="AA52" s="45"/>
    </row>
  </sheetData>
  <sheetProtection algorithmName="SHA-512" hashValue="Dx9LtsT3LbDo8Aq2qk5/6ECW4FYUNX3VGpSZ6/1eidc9NGn6/oQG8UlK/MhRyoL9mbd+Jtlh3FIYL4adjad63g==" saltValue="tgjMLpnirOtCzcOVYXTZPQ==" spinCount="100000" scenarios="1" selectLockedCells="1" pivotTables="0"/>
  <pageMargins left="0.7" right="0.7" top="0.75" bottom="0.75" header="0.3" footer="0.3"/>
  <pageSetup orientation="portrait" horizontalDpi="300" verticalDpi="300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AUDITORIA</vt:lpstr>
      <vt:lpstr>CRITICIDAD</vt:lpstr>
      <vt:lpstr>RETROEXCAVADORA</vt:lpstr>
      <vt:lpstr>COMPRESOR NEUMÁTICO</vt:lpstr>
      <vt:lpstr>MINICARGADOR</vt:lpstr>
      <vt:lpstr>RODILLOS</vt:lpstr>
      <vt:lpstr>MEZCLADORA</vt:lpstr>
      <vt:lpstr>KPI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ALMENDRA</dc:creator>
  <cp:lastModifiedBy>Usuario</cp:lastModifiedBy>
  <dcterms:created xsi:type="dcterms:W3CDTF">2021-03-31T00:36:25Z</dcterms:created>
  <dcterms:modified xsi:type="dcterms:W3CDTF">2023-01-30T23:11:26Z</dcterms:modified>
</cp:coreProperties>
</file>