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anielb"/>
  <workbookPr/>
  <bookViews>
    <workbookView activeTab="3" xWindow="240" yWindow="60" windowWidth="23250" windowHeight="12450" tabRatio="500"/>
  </bookViews>
  <sheets>
    <sheet name="CASO I" sheetId="1" state="hidden" r:id="rId4"/>
    <sheet name="TIR-VAN" sheetId="2" r:id="rId5"/>
    <sheet name="Hoja1" sheetId="3" state="hidden" r:id="rId6"/>
    <sheet name="CLASE" sheetId="4" r:id="rId7"/>
  </sheets>
  <calcPr/>
  <extLst>
    <ext uri="smNativeData">
      <pm:revision xmlns:pm="smNativeData" day="1728619189" val="1218" rev="124" rev64="64" revOS="3" revMin="124" revMax="0"/>
      <pm:docPrefs xmlns:pm="smNativeData" id="1728619189" fixedDigits="0" showNotice="1" showFrameBounds="1" autoChart="1" recalcOnPrint="1" recalcOnCopy="1" finalRounding="1" compatTextArt="1" tab="567" useDefinedPrintRange="1" printArea="currentSheet"/>
      <pm:compatibility xmlns:pm="smNativeData" id="1728619189" overlapCells="1"/>
      <pm:defCurrency xmlns:pm="smNativeData" id="1728619189"/>
    </ext>
  </extLst>
</workbook>
</file>

<file path=xl/sharedStrings.xml><?xml version="1.0" encoding="utf-8"?>
<sst xmlns="http://schemas.openxmlformats.org/spreadsheetml/2006/main" count="277" uniqueCount="64">
  <si>
    <t xml:space="preserve">CASO I </t>
  </si>
  <si>
    <t>ALTERNATIVA A</t>
  </si>
  <si>
    <t>Inversión Inicial =</t>
  </si>
  <si>
    <t xml:space="preserve">i = </t>
  </si>
  <si>
    <t>n =</t>
  </si>
  <si>
    <t>5 años</t>
  </si>
  <si>
    <t>DESCRIPCION</t>
  </si>
  <si>
    <t>PERIODOS</t>
  </si>
  <si>
    <t>TOTAL</t>
  </si>
  <si>
    <t>Ventas anuales</t>
  </si>
  <si>
    <t>Gastos operativos</t>
  </si>
  <si>
    <t>Gastos de mantenimiento</t>
  </si>
  <si>
    <t>Depreciación 10% anual</t>
  </si>
  <si>
    <t>Utilidad anual</t>
  </si>
  <si>
    <t>(+) Depreciación</t>
  </si>
  <si>
    <t>Utilidad ajustada</t>
  </si>
  <si>
    <t>Inversión Inicial</t>
  </si>
  <si>
    <t>Valor de rescate</t>
  </si>
  <si>
    <t>Flujo de Caja</t>
  </si>
  <si>
    <t>VAN =</t>
  </si>
  <si>
    <r>
      <t>(1.14)</t>
    </r>
    <r>
      <rPr>
        <rFont val="Calibri"/>
        <charset val="0"/>
        <family val="2"/>
        <sz val="12"/>
        <b val="0"/>
        <i val="0"/>
      </rPr>
      <t>¹</t>
    </r>
  </si>
  <si>
    <r>
      <t>(1.14)</t>
    </r>
    <r>
      <rPr>
        <rFont val="Calibri"/>
        <charset val="0"/>
        <family val="2"/>
        <sz val="12"/>
        <b val="0"/>
        <i val="0"/>
      </rPr>
      <t>²</t>
    </r>
  </si>
  <si>
    <r>
      <t>(1.14)</t>
    </r>
    <r>
      <rPr>
        <rFont val="Calibri"/>
        <charset val="0"/>
        <family val="2"/>
        <sz val="12"/>
        <b val="0"/>
        <i val="0"/>
      </rPr>
      <t>³</t>
    </r>
  </si>
  <si>
    <r>
      <t>(1.14)</t>
    </r>
    <r>
      <rPr>
        <rFont val="Calibri"/>
        <charset val="0"/>
        <family val="2"/>
        <sz val="12"/>
        <b val="0"/>
        <i val="0"/>
      </rPr>
      <t>⁴</t>
    </r>
  </si>
  <si>
    <r>
      <t>(1.14)</t>
    </r>
    <r>
      <rPr>
        <rFont val="Calibri"/>
        <charset val="0"/>
        <family val="2"/>
        <sz val="12"/>
        <b val="0"/>
        <i val="0"/>
      </rPr>
      <t>⁵</t>
    </r>
  </si>
  <si>
    <t>FLUJOS DE CAJA</t>
  </si>
  <si>
    <t>TIR =</t>
  </si>
  <si>
    <t>VPN =</t>
  </si>
  <si>
    <t>Años</t>
  </si>
  <si>
    <t>i =</t>
  </si>
  <si>
    <t>Tasa de Descuento</t>
  </si>
  <si>
    <t>ALTERNATIVA B</t>
  </si>
  <si>
    <t>Depreciación 15% anual</t>
  </si>
  <si>
    <r>
      <t>(1.09)</t>
    </r>
    <r>
      <rPr>
        <rFont val="Calibri"/>
        <charset val="0"/>
        <family val="2"/>
        <sz val="12"/>
        <b val="0"/>
        <i val="0"/>
      </rPr>
      <t>¹</t>
    </r>
  </si>
  <si>
    <r>
      <t>(1.09)</t>
    </r>
    <r>
      <rPr>
        <rFont val="Calibri"/>
        <charset val="0"/>
        <family val="2"/>
        <sz val="12"/>
        <b val="0"/>
        <i val="0"/>
      </rPr>
      <t>²</t>
    </r>
  </si>
  <si>
    <r>
      <t>(1.09)</t>
    </r>
    <r>
      <rPr>
        <rFont val="Calibri"/>
        <charset val="0"/>
        <family val="2"/>
        <sz val="12"/>
        <b val="0"/>
        <i val="0"/>
      </rPr>
      <t>³</t>
    </r>
  </si>
  <si>
    <r>
      <t>(1.09)</t>
    </r>
    <r>
      <rPr>
        <rFont val="Calibri"/>
        <charset val="0"/>
        <family val="2"/>
        <sz val="12"/>
        <b val="0"/>
        <i val="0"/>
      </rPr>
      <t>⁴</t>
    </r>
  </si>
  <si>
    <r>
      <t>(1.09)</t>
    </r>
    <r>
      <rPr>
        <rFont val="Calibri"/>
        <charset val="0"/>
        <family val="2"/>
        <sz val="12"/>
        <b val="0"/>
        <i val="0"/>
      </rPr>
      <t>⁵</t>
    </r>
  </si>
  <si>
    <t>FLUJO DE CAJA</t>
  </si>
  <si>
    <t>VAN/VPN =</t>
  </si>
  <si>
    <t>PARA EL DIAGRAMA, DEBEMOS HACERLO MANUAL</t>
  </si>
  <si>
    <t>TIR</t>
  </si>
  <si>
    <t>TIR &gt; RT</t>
  </si>
  <si>
    <t>SI ES RENTABLE INVERTIR</t>
  </si>
  <si>
    <t>n</t>
  </si>
  <si>
    <t>i</t>
  </si>
  <si>
    <t>RESPUESTA FINAL</t>
  </si>
  <si>
    <t>La mejor opcion es la A porque ambas son rentables pero esta me da mayor TIR</t>
  </si>
  <si>
    <t>La segunda opcion a considerar es la B, pues el TIR es mayor a la TD, pero es inferior al plan A</t>
  </si>
  <si>
    <t>Ventas Anuales</t>
  </si>
  <si>
    <t>Depreciación 10%</t>
  </si>
  <si>
    <t>Utilidad Anual</t>
  </si>
  <si>
    <t>Utilidad Ajustada</t>
  </si>
  <si>
    <t>Depreciación 15%</t>
  </si>
  <si>
    <t>6 años</t>
  </si>
  <si>
    <t>CASO 2</t>
  </si>
  <si>
    <t>ALTERNATIVA C</t>
  </si>
  <si>
    <t>LA MEJOR ALTERNATIVA ES EL PLAN A, ORDENANDO DE MENOR A PEOR SERIA</t>
  </si>
  <si>
    <t>PLAN</t>
  </si>
  <si>
    <t>VAN</t>
  </si>
  <si>
    <t>COMENTARIO</t>
  </si>
  <si>
    <t>Es la única con un TIR &gt; VD, por ende, es la mejor opcion, nos genera ganancia</t>
  </si>
  <si>
    <t>Dentro de las peores, es la mejor, sigue generando perdida, pero es la qu emenos perdida genera</t>
  </si>
  <si>
    <t>La peor opcion, genera mayores perdidas</t>
  </si>
</sst>
</file>

<file path=xl/styles.xml><?xml version="1.0" encoding="utf-8"?>
<styleSheet xmlns="http://schemas.openxmlformats.org/spreadsheetml/2006/main">
  <numFmts count="24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#,##0.00\ &quot;€&quot;;[Red]\-#,##0.00\ &quot;€&quot;"/>
    <numFmt numFmtId="165" formatCode="_-* #,##0.00_-;\-* #,##0.00_-;_-* &quot;-&quot;??_-;_-@_-"/>
    <numFmt numFmtId="166" formatCode="#,##0.00_ ;[Red]\-#,##0.00\ "/>
    <numFmt numFmtId="167" formatCode="#,##0_ ;[Red]\-#,##0\ "/>
    <numFmt numFmtId="9" formatCode="0%"/>
    <numFmt numFmtId="49" formatCode="@"/>
    <numFmt numFmtId="2" formatCode="0.00"/>
    <numFmt numFmtId="168" formatCode="#,##0.00%"/>
    <numFmt numFmtId="169" formatCode="[$$-409]#,##0.00"/>
    <numFmt numFmtId="170" formatCode="#,##0.00\ [$GTQ]"/>
    <numFmt numFmtId="171" formatCode="#,##0.00\ [$GTQ];[Red]\-#,##0.00\ [$GTQ]"/>
    <numFmt numFmtId="172" formatCode="[$Q]\ #,##0.00 "/>
    <numFmt numFmtId="173" formatCode="[$Q]\ #,##0.00\ ;[Red]\-\ [$Q]\ #,##0.00\ "/>
    <numFmt numFmtId="4" formatCode="#,##0.00"/>
    <numFmt numFmtId="174" formatCode="0.0%"/>
    <numFmt numFmtId="10" formatCode="0.00%"/>
  </numFmts>
  <fonts count="15">
    <font>
      <name val="Calibri"/>
      <family val="2"/>
      <color rgb="FF000000"/>
      <sz val="11"/>
      <extLst>
        <ext uri="smNativeData">
          <pm:charSpec xmlns:pm="smNativeData" id="1728619189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728619189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2"/>
      <extLst>
        <ext uri="smNativeData">
          <pm:charSpec xmlns:pm="smNativeData" id="1728619189" ulstyle="none" kern="1">
            <pm:latin face="Arial" sz="240" lang="default"/>
            <pm:cs face="Basic Roman" sz="240" lang="default"/>
            <pm:ea face="Basic Roman" sz="240" lang="default"/>
          </pm:charSpec>
        </ext>
      </extLst>
    </font>
    <font>
      <name val="Arial"/>
      <family val="2"/>
      <b/>
      <color rgb="FF000000"/>
      <sz val="12"/>
      <extLst>
        <ext uri="smNativeData">
          <pm:charSpec xmlns:pm="smNativeData" id="1728619189" ulstyle="none" kern="1">
            <pm:latin face="Arial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728619189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728619189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 Black"/>
      <family val="2"/>
      <b/>
      <color rgb="FF0070C0"/>
      <sz val="12"/>
      <extLst>
        <ext uri="smNativeData">
          <pm:charSpec xmlns:pm="smNativeData" id="1728619189" fgClr="0070C0" ulstyle="none" kern="1">
            <pm:latin face="Arial Black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Arial Black"/>
      <family val="2"/>
      <b/>
      <color rgb="FF00B050"/>
      <sz val="12"/>
      <extLst>
        <ext uri="smNativeData">
          <pm:charSpec xmlns:pm="smNativeData" id="1728619189" fgClr="00B050" ulstyle="none" kern="1">
            <pm:latin face="Arial Black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728619189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000000"/>
      <sz val="12"/>
      <extLst>
        <ext uri="smNativeData">
          <pm:charSpec xmlns:pm="smNativeData" id="1728619189" ulstyle="none" kern="1">
            <pm:latin face="Arial" sz="240" lang="default" weight="bold"/>
            <pm:cs face="Basic Roman" sz="240" lang="default"/>
            <pm:ea face="Basic Roman" sz="240" lang="default"/>
          </pm:charSpec>
        </ext>
      </extLst>
    </font>
    <font>
      <name val="Arial"/>
      <family val="2"/>
      <b/>
      <color rgb="FF000000"/>
      <sz val="18"/>
      <extLst>
        <ext uri="smNativeData">
          <pm:charSpec xmlns:pm="smNativeData" id="1728619189" ulstyle="none" kern="1">
            <pm:latin face="Arial" sz="360" lang="default" weight="bold"/>
            <pm:cs face="Basic Roman" sz="240" lang="default"/>
            <pm:ea face="Basic Roman" sz="240" lang="default"/>
          </pm:charSpec>
        </ext>
      </extLst>
    </font>
    <font>
      <name val="Arial"/>
      <family val="2"/>
      <color rgb="FF000000"/>
      <sz val="18"/>
      <extLst>
        <ext uri="smNativeData">
          <pm:charSpec xmlns:pm="smNativeData" id="1728619189" ulstyle="none" kern="1">
            <pm:latin face="Arial" sz="36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728619189" ulstyle="none" kern="1">
            <pm:latin face="Calibri" sz="24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color rgb="FF000000"/>
      <sz val="12"/>
      <extLst>
        <ext uri="smNativeData">
          <pm:charSpec xmlns:pm="smNativeData" id="1728619189" ulstyle="none" kern="1">
            <pm:latin face="Arial" sz="24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728619189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728619189" type="1" fgLvl="100" fgClr="00BDD7EE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A8D08C"/>
        <bgColor rgb="FFFFFFFF"/>
        <extLst>
          <ext uri="smNativeData">
            <pm:shade xmlns:pm="smNativeData" id="1728619189" type="1" fgLvl="100" fgClr="00A8D08C" bgLvl="0" bgClr="0000000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728619189" type="1" fgLvl="100" fgClr="00B4C6E7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728619189" type="1" fgLvl="100" fgClr="00BDD7EE" bgLvl="0" bgClr="00000000"/>
          </ext>
        </extLst>
      </patternFill>
    </fill>
    <fill>
      <patternFill patternType="solid">
        <fgColor rgb="FFA8D08C"/>
        <bgColor rgb="FFFFFFFF"/>
        <extLst>
          <ext uri="smNativeData">
            <pm:shade xmlns:pm="smNativeData" id="1728619189" type="1" fgLvl="100" fgClr="00A8D08C" bgLvl="0" bgClr="0000000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728619189" type="1" fgLvl="100" fgClr="00B4C6E7" bgLvl="0" bgClr="00000000"/>
          </ext>
        </extLst>
      </patternFill>
    </fill>
    <fill>
      <patternFill patternType="solid">
        <fgColor rgb="FF00FFFF"/>
        <bgColor rgb="FFFFFFFF"/>
        <extLst>
          <ext uri="smNativeData">
            <pm:shade xmlns:pm="smNativeData" id="1728619189" type="1" fgLvl="100" fgClr="0000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28619189" type="1" fgLvl="100" fgClr="00FFFFFF" bgLvl="0" bgClr="00000000"/>
          </ext>
        </extLst>
      </patternFill>
    </fill>
  </fills>
  <borders count="19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861918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861918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28619189"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28619189"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8619189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28619189"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28619189"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double">
        <color rgb="FF000000"/>
      </bottom>
      <extLst>
        <ext uri="smNativeData">
          <pm:border xmlns:pm="smNativeData" id="1728619189">
            <pm:line position="top" type="1" style="0" width="20" dist="20" width2="20" rgb="000000"/>
            <pm:line position="bottom" type="2" style="0" width="2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728619189">
            <pm:line position="top" type="1" style="0" width="30" dist="20" width2="20" rgb="000000"/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28619189"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728619189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728619189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728619189">
            <pm:line position="top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28619189"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861918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861918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861918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861918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728619189">
            <pm:line position="bottom" type="1" style="0" width="40" dist="20" width2="20" rgb="000000"/>
          </pm:border>
        </ext>
      </extLst>
    </border>
  </borders>
  <cellStyleXfs count="3">
    <xf numFmtId="0" fontId="0" fillId="0" borderId="0" applyNumberFormat="1" applyFont="1" applyFill="1" applyBorder="1" applyAlignment="1" applyProtection="1"/>
    <xf numFmtId="165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</cellStyleXfs>
  <cellXfs count="84">
    <xf numFmtId="0" fontId="0" fillId="0" borderId="0" xfId="0"/>
    <xf numFmtId="165" fontId="0" fillId="0" borderId="0" xfId="1"/>
    <xf numFmtId="9" fontId="0" fillId="0" borderId="0" xfId="2"/>
    <xf numFmtId="0" fontId="2" fillId="2" borderId="1" xfId="0" applyFont="1" applyFill="1"/>
    <xf numFmtId="166" fontId="2" fillId="2" borderId="1" xfId="1" applyNumberFormat="1" applyFont="1" applyFill="1" applyAlignment="1">
      <alignment horizontal="center"/>
    </xf>
    <xf numFmtId="0" fontId="3" fillId="2" borderId="1" xfId="0" applyFont="1" applyFill="1"/>
    <xf numFmtId="166" fontId="3" fillId="2" borderId="1" xfId="1" applyNumberFormat="1" applyFont="1" applyFill="1" applyAlignment="1">
      <alignment horizontal="center"/>
    </xf>
    <xf numFmtId="167" fontId="3" fillId="3" borderId="2" xfId="1" applyNumberFormat="1" applyFont="1" applyFill="1" applyBorder="1" applyAlignment="1">
      <alignment horizontal="center" vertical="center"/>
    </xf>
    <xf numFmtId="0" fontId="2" fillId="2" borderId="1" xfId="0" applyFont="1" applyFill="1" applyAlignment="1">
      <alignment vertical="center"/>
    </xf>
    <xf numFmtId="166" fontId="2" fillId="2" borderId="1" xfId="1" applyNumberFormat="1" applyFont="1" applyFill="1" applyAlignment="1">
      <alignment horizontal="center" vertical="center"/>
    </xf>
    <xf numFmtId="0" fontId="3" fillId="2" borderId="1" xfId="0" applyFont="1" applyFill="1" applyAlignment="1">
      <alignment vertical="center"/>
    </xf>
    <xf numFmtId="166" fontId="3" fillId="2" borderId="1" xfId="1" applyNumberFormat="1" applyFont="1" applyFill="1" applyAlignment="1">
      <alignment horizontal="center" vertical="center"/>
    </xf>
    <xf numFmtId="0" fontId="2" fillId="4" borderId="3" xfId="0" applyFont="1" applyFill="1" applyBorder="1" applyAlignment="1">
      <alignment vertical="center"/>
    </xf>
    <xf numFmtId="166" fontId="2" fillId="4" borderId="3" xfId="1" applyNumberFormat="1" applyFont="1" applyFill="1" applyBorder="1" applyAlignment="1">
      <alignment horizontal="center" vertical="center"/>
    </xf>
    <xf numFmtId="165" fontId="2" fillId="5" borderId="4" xfId="1" applyFont="1" applyFill="1" applyBorder="1"/>
    <xf numFmtId="49" fontId="2" fillId="2" borderId="1" xfId="0" applyNumberFormat="1" applyFont="1" applyFill="1" applyAlignment="1">
      <alignment horizontal="center"/>
    </xf>
    <xf numFmtId="166" fontId="2" fillId="5" borderId="4" xfId="1" applyNumberFormat="1" applyFont="1" applyFill="1" applyBorder="1" applyAlignment="1">
      <alignment horizontal="center"/>
    </xf>
    <xf numFmtId="2" fontId="2" fillId="5" borderId="4" xfId="1" applyNumberFormat="1" applyFont="1" applyFill="1" applyBorder="1" applyAlignment="1">
      <alignment horizontal="center"/>
    </xf>
    <xf numFmtId="0" fontId="3" fillId="2" borderId="1" xfId="0" applyFont="1" applyFill="1" applyAlignment="1">
      <alignment horizontal="center"/>
    </xf>
    <xf numFmtId="0" fontId="2" fillId="2" borderId="1" xfId="0" applyFont="1" applyFill="1" applyAlignment="1">
      <alignment horizontal="center"/>
    </xf>
    <xf numFmtId="9" fontId="2" fillId="2" borderId="1" xfId="2" applyFont="1" applyFill="1" applyAlignment="1">
      <alignment horizontal="center"/>
    </xf>
    <xf numFmtId="9" fontId="3" fillId="2" borderId="1" xfId="2" applyFont="1" applyFill="1" applyAlignment="1">
      <alignment horizontal="center"/>
    </xf>
    <xf numFmtId="0" fontId="6" fillId="2" borderId="1" xfId="0" applyFont="1" applyFill="1"/>
    <xf numFmtId="0" fontId="7" fillId="2" borderId="1" xfId="0" applyFont="1" applyFill="1"/>
    <xf numFmtId="167" fontId="3" fillId="6" borderId="5" xfId="1" applyNumberFormat="1" applyFont="1" applyFill="1" applyBorder="1" applyAlignment="1">
      <alignment horizontal="center" vertical="center"/>
    </xf>
    <xf numFmtId="0" fontId="0" fillId="2" borderId="1" xfId="0" applyFill="1"/>
    <xf numFmtId="167" fontId="3" fillId="7" borderId="6" xfId="1" applyNumberFormat="1" applyFont="1" applyFill="1" applyBorder="1" applyAlignment="1">
      <alignment horizontal="center" vertical="center"/>
    </xf>
    <xf numFmtId="166" fontId="0" fillId="2" borderId="1" xfId="0" applyNumberFormat="1" applyFill="1" applyAlignment="1">
      <alignment horizontal="center"/>
    </xf>
    <xf numFmtId="0" fontId="5" fillId="2" borderId="1" xfId="0" applyFont="1" applyFill="1"/>
    <xf numFmtId="166" fontId="0" fillId="5" borderId="4" xfId="0" applyNumberFormat="1" applyFill="1" applyBorder="1" applyAlignment="1">
      <alignment horizontal="center"/>
    </xf>
    <xf numFmtId="166" fontId="5" fillId="2" borderId="1" xfId="0" applyNumberFormat="1" applyFont="1" applyFill="1" applyAlignment="1">
      <alignment horizontal="center"/>
    </xf>
    <xf numFmtId="166" fontId="5" fillId="8" borderId="7" xfId="0" applyNumberFormat="1" applyFont="1" applyFill="1" applyBorder="1" applyAlignment="1">
      <alignment horizontal="center"/>
    </xf>
    <xf numFmtId="166" fontId="3" fillId="2" borderId="1" xfId="0" applyNumberFormat="1" applyFont="1" applyFill="1" applyAlignment="1">
      <alignment vertical="center"/>
    </xf>
    <xf numFmtId="166" fontId="3" fillId="4" borderId="3" xfId="0" applyNumberFormat="1" applyFont="1" applyFill="1" applyBorder="1" applyAlignment="1">
      <alignment vertical="center"/>
    </xf>
    <xf numFmtId="165" fontId="8" fillId="2" borderId="1" xfId="1" applyFont="1" applyFill="1" applyAlignment="1">
      <alignment horizontal="center"/>
    </xf>
    <xf numFmtId="165" fontId="3" fillId="2" borderId="1" xfId="0" applyNumberFormat="1" applyFont="1" applyFill="1"/>
    <xf numFmtId="166" fontId="3" fillId="2" borderId="1" xfId="0" applyNumberFormat="1" applyFont="1" applyFill="1"/>
    <xf numFmtId="166" fontId="3" fillId="9" borderId="8" xfId="1" applyNumberFormat="1" applyFont="1" applyFill="1" applyBorder="1" applyAlignment="1">
      <alignment horizontal="center"/>
    </xf>
    <xf numFmtId="166" fontId="3" fillId="10" borderId="9" xfId="1" applyNumberFormat="1" applyFont="1" applyFill="1" applyBorder="1" applyAlignment="1">
      <alignment horizontal="center"/>
    </xf>
    <xf numFmtId="166" fontId="3" fillId="11" borderId="10" xfId="1" applyNumberFormat="1" applyFont="1" applyFill="1" applyBorder="1" applyAlignment="1">
      <alignment horizontal="center"/>
    </xf>
    <xf numFmtId="9" fontId="3" fillId="12" borderId="11" xfId="2" applyFont="1" applyFill="1" applyBorder="1" applyAlignment="1">
      <alignment horizontal="center"/>
    </xf>
    <xf numFmtId="166" fontId="2" fillId="2" borderId="1" xfId="1" applyNumberFormat="1" applyFont="1" applyFill="1" applyAlignment="1">
      <alignment horizontal="left"/>
    </xf>
    <xf numFmtId="166" fontId="3" fillId="13" borderId="12" xfId="1" applyNumberFormat="1" applyFont="1" applyFill="1" applyBorder="1" applyAlignment="1">
      <alignment horizontal="center" vertical="center"/>
    </xf>
    <xf numFmtId="166" fontId="3" fillId="14" borderId="13" xfId="1" applyNumberFormat="1" applyFont="1" applyFill="1" applyBorder="1" applyAlignment="1">
      <alignment horizontal="center" vertical="center"/>
    </xf>
    <xf numFmtId="0" fontId="3" fillId="15" borderId="14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66" fontId="3" fillId="15" borderId="14" xfId="1" applyNumberFormat="1" applyFont="1" applyFill="1" applyAlignment="1">
      <alignment horizontal="center" vertical="center"/>
    </xf>
    <xf numFmtId="0" fontId="3" fillId="16" borderId="15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6" fontId="3" fillId="16" borderId="15" xfId="1" applyNumberFormat="1" applyFont="1" applyFill="1" applyAlignment="1">
      <alignment horizontal="center" vertical="center"/>
    </xf>
    <xf numFmtId="0" fontId="3" fillId="17" borderId="16" xfId="0" applyFont="1" applyFill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166" fontId="3" fillId="17" borderId="16" xfId="1" applyNumberFormat="1" applyFont="1" applyFill="1" applyAlignment="1">
      <alignment horizontal="center" vertical="center"/>
    </xf>
    <xf numFmtId="164" fontId="2" fillId="2" borderId="1" xfId="0" applyNumberFormat="1" applyFont="1" applyFill="1"/>
    <xf numFmtId="168" fontId="3" fillId="2" borderId="1" xfId="1" applyNumberFormat="1" applyFont="1" applyFill="1" applyAlignment="1">
      <alignment horizontal="center"/>
    </xf>
    <xf numFmtId="166" fontId="9" fillId="2" borderId="1" xfId="1" applyNumberFormat="1" applyFont="1" applyFill="1" applyAlignment="1">
      <alignment horizontal="left"/>
    </xf>
    <xf numFmtId="0" fontId="3" fillId="18" borderId="17" xfId="0" applyFont="1" applyFill="1" applyAlignment="1">
      <alignment horizontal="center"/>
    </xf>
    <xf numFmtId="165" fontId="8" fillId="18" borderId="17" xfId="1" applyFont="1" applyFill="1" applyAlignment="1">
      <alignment horizontal="center"/>
    </xf>
    <xf numFmtId="0" fontId="2" fillId="18" borderId="17" xfId="0" applyFont="1" applyFill="1" applyAlignment="1">
      <alignment horizontal="right"/>
    </xf>
    <xf numFmtId="166" fontId="10" fillId="2" borderId="1" xfId="1" applyNumberFormat="1" applyFont="1" applyFill="1" applyAlignment="1">
      <alignment horizontal="center"/>
    </xf>
    <xf numFmtId="166" fontId="11" fillId="2" borderId="1" xfId="1" applyNumberFormat="1" applyFont="1" applyFill="1" applyAlignment="1">
      <alignment horizontal="center"/>
    </xf>
    <xf numFmtId="173" fontId="2" fillId="2" borderId="1" xfId="1" applyNumberFormat="1" applyFont="1" applyFill="1" applyAlignment="1">
      <alignment horizontal="right" vertical="center"/>
    </xf>
    <xf numFmtId="173" fontId="12" fillId="0" borderId="0" xfId="0" applyNumberFormat="1" applyFont="1" applyAlignment="1">
      <alignment horizontal="right" vertical="center"/>
    </xf>
    <xf numFmtId="173" fontId="3" fillId="2" borderId="1" xfId="0" applyNumberFormat="1" applyFont="1" applyFill="1" applyAlignment="1">
      <alignment horizontal="right" vertical="center"/>
    </xf>
    <xf numFmtId="173" fontId="2" fillId="4" borderId="3" xfId="1" applyNumberFormat="1" applyFont="1" applyFill="1" applyBorder="1" applyAlignment="1">
      <alignment horizontal="right" vertical="center"/>
    </xf>
    <xf numFmtId="173" fontId="3" fillId="19" borderId="18" xfId="0" applyNumberFormat="1" applyFont="1" applyFill="1" applyBorder="1" applyAlignment="1">
      <alignment horizontal="right" vertical="center"/>
    </xf>
    <xf numFmtId="173" fontId="3" fillId="2" borderId="1" xfId="1" applyNumberFormat="1" applyFont="1" applyFill="1" applyAlignment="1">
      <alignment horizontal="right" vertical="center"/>
    </xf>
    <xf numFmtId="173" fontId="2" fillId="2" borderId="1" xfId="0" applyNumberFormat="1" applyFont="1" applyFill="1" applyAlignment="1">
      <alignment horizontal="right" vertical="center"/>
    </xf>
    <xf numFmtId="173" fontId="2" fillId="5" borderId="4" xfId="1" applyNumberFormat="1" applyFont="1" applyFill="1" applyBorder="1" applyAlignment="1">
      <alignment horizontal="center" vertical="center"/>
    </xf>
    <xf numFmtId="173" fontId="2" fillId="5" borderId="4" xfId="1" applyNumberFormat="1" applyFont="1" applyFill="1" applyBorder="1" applyAlignment="1">
      <alignment horizontal="center" vertical="center"/>
    </xf>
    <xf numFmtId="173" fontId="2" fillId="2" borderId="1" xfId="0" applyNumberFormat="1" applyFont="1" applyFill="1" applyAlignment="1">
      <alignment horizontal="right" vertical="center"/>
    </xf>
    <xf numFmtId="173" fontId="3" fillId="2" borderId="1" xfId="0" applyNumberFormat="1" applyFont="1" applyFill="1" applyAlignment="1">
      <alignment horizontal="right" vertical="center"/>
    </xf>
    <xf numFmtId="173" fontId="2" fillId="2" borderId="1" xfId="1" applyNumberFormat="1" applyFont="1" applyFill="1" applyAlignment="1">
      <alignment horizontal="center"/>
    </xf>
    <xf numFmtId="173" fontId="3" fillId="2" borderId="1" xfId="0" applyNumberFormat="1" applyFont="1" applyFill="1"/>
    <xf numFmtId="173" fontId="2" fillId="2" borderId="1" xfId="0" applyNumberFormat="1" applyFont="1" applyFill="1"/>
    <xf numFmtId="173" fontId="2" fillId="2" borderId="1" xfId="1" applyNumberFormat="1" applyFont="1" applyFill="1" applyAlignment="1">
      <alignment horizontal="right"/>
    </xf>
    <xf numFmtId="173" fontId="13" fillId="0" borderId="0" xfId="0" applyNumberFormat="1" applyFont="1" applyAlignment="1">
      <alignment horizontal="right"/>
    </xf>
    <xf numFmtId="4" fontId="2" fillId="2" borderId="1" xfId="1" applyNumberFormat="1" applyFont="1" applyFill="1" applyAlignment="1">
      <alignment horizontal="center"/>
    </xf>
    <xf numFmtId="168" fontId="2" fillId="2" borderId="1" xfId="2" applyNumberFormat="1" applyFont="1" applyFill="1" applyAlignment="1">
      <alignment horizontal="center"/>
    </xf>
    <xf numFmtId="4" fontId="2" fillId="2" borderId="1" xfId="0" applyNumberFormat="1" applyFont="1" applyFill="1" applyAlignment="1">
      <alignment horizontal="center" vertical="center"/>
    </xf>
    <xf numFmtId="0" fontId="14" fillId="0" borderId="0" xfId="0" applyFont="1" applyAlignment="1">
      <alignment horizontal="center"/>
    </xf>
    <xf numFmtId="173" fontId="12" fillId="0" borderId="0" xfId="0" applyNumberFormat="1" applyFont="1"/>
    <xf numFmtId="10" fontId="4" fillId="0" borderId="0" xfId="0" applyNumberFormat="1" applyFont="1" applyAlignment="1">
      <alignment horizontal="center"/>
    </xf>
    <xf numFmtId="0" fontId="0" fillId="0" borderId="0" xfId="0" applyAlignment="1">
      <alignment horizontal="left"/>
    </xf>
  </cellXfs>
  <cellStyles count="3">
    <cellStyle name="Normal" xfId="0" builtinId="0" customBuiltin="1"/>
    <cellStyle name="Comma" xfId="1" builtinId="3" customBuiltin="1"/>
    <cellStyle name="Percent" xfId="2" builtinId="5" customBuiltin="1"/>
  </cellStyles>
  <tableStyles count="0"/>
  <extLst>
    <ext uri="smNativeData">
      <pm:charStyles xmlns:pm="smNativeData" id="1728619189" count="1">
        <pm:charStyle name="Normal" fontId="0" Id="1"/>
      </pm:charStyles>
      <pm:colors xmlns:pm="smNativeData" id="1728619189" count="6">
        <pm:color name="Color 24" rgb="0070C0"/>
        <pm:color name="Color 25" rgb="00B050"/>
        <pm:color name="Color 26" rgb="BDD7EE"/>
        <pm:color name="Color 27" rgb="A8D08C"/>
        <pm:color name="Color 28" rgb="B4C6E7"/>
        <pm:color name="Color 29" rgb="7030A0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101600</xdr:colOff>
      <xdr:row>11</xdr:row>
      <xdr:rowOff>70485</xdr:rowOff>
    </xdr:from>
    <xdr:to>
      <xdr:col>19</xdr:col>
      <xdr:colOff>73025</xdr:colOff>
      <xdr:row>27</xdr:row>
      <xdr:rowOff>18415</xdr:rowOff>
    </xdr:to>
    <xdr:pic macro="">
      <xdr:nvPicPr>
        <xdr:cNvPr id="3" name="Picture1"/>
        <xdr:cNvPicPr>
          <a:picLocks noChangeAspect="1"/>
          <a:extLst>
            <a:ext uri="smNativeData">
              <pm:smNativeData xmlns:pm="smNativeData" val="SMDATA_15_taIIZx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LAAAACgAAAFoBkgAbAAAAEwAAAFYAaQCAYAAAqA4AADMnAACNFAAAAAAAAA==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87040" y="2382520"/>
          <a:ext cx="6372225" cy="334073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10</xdr:col>
      <xdr:colOff>497840</xdr:colOff>
      <xdr:row>47</xdr:row>
      <xdr:rowOff>50165</xdr:rowOff>
    </xdr:from>
    <xdr:to>
      <xdr:col>23</xdr:col>
      <xdr:colOff>492125</xdr:colOff>
      <xdr:row>69</xdr:row>
      <xdr:rowOff>150495</xdr:rowOff>
    </xdr:to>
    <xdr:pic macro="">
      <xdr:nvPicPr>
        <xdr:cNvPr id="2" name="Picture2"/>
        <xdr:cNvPicPr>
          <a:picLocks noChangeAspect="1"/>
          <a:extLst>
            <a:ext uri="smNativeData">
              <pm:smNativeData xmlns:pm="smNativeData" val="SMDATA_15_taIIZx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vAAAACgAAAPUAzQJFAAAAFwAAAMsCxQLwYgAAXz0AANc4AABqHQAAAAAAAA==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3280" y="9976485"/>
          <a:ext cx="9239885" cy="47815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4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Pr>
    <tabColor rgb="FFFF00"/>
  </sheetPr>
  <dimension ref="A1:I70"/>
  <sheetViews>
    <sheetView view="normal" topLeftCell="B19" zoomScale="120" workbookViewId="0">
      <selection activeCell="B26" sqref="B26"/>
    </sheetView>
  </sheetViews>
  <sheetFormatPr baseColWidth="10" defaultColWidth="11.571429" defaultRowHeight="15.80"/>
  <cols>
    <col min="1" max="1" width="11.571429" style="3"/>
    <col min="2" max="2" width="38.285714" customWidth="1" style="3"/>
    <col min="3" max="8" width="17.285714" customWidth="1" style="4"/>
    <col min="9" max="9" width="13.571429" customWidth="1" style="3"/>
    <col min="10" max="16384" width="11.571429" style="3"/>
  </cols>
  <sheetData>
    <row r="1" spans="1:2">
      <c r="A1"/>
      <c r="B1" s="22" t="s">
        <v>0</v>
      </c>
    </row>
    <row r="2" spans="2:2">
      <c r="B2" s="22" t="s">
        <v>1</v>
      </c>
    </row>
    <row r="3" spans="2:3">
      <c r="B3" s="18" t="s">
        <v>2</v>
      </c>
      <c r="C3" s="6" t="n">
        <v>225000</v>
      </c>
    </row>
    <row r="4" spans="2:5">
      <c r="B4" s="18" t="s">
        <v>3</v>
      </c>
      <c r="C4" s="21" t="n">
        <v>0.140000000000000018</v>
      </c>
      <c r="D4" s="6" t="s">
        <v>4</v>
      </c>
      <c r="E4" s="6" t="s">
        <v>5</v>
      </c>
    </row>
    <row r="6" spans="2:9">
      <c r="B6" s="44" t="s">
        <v>6</v>
      </c>
      <c r="C6" s="46" t="s">
        <v>7</v>
      </c>
      <c r="D6" s="46"/>
      <c r="E6" s="46"/>
      <c r="F6" s="46"/>
      <c r="G6" s="46"/>
      <c r="H6" s="46"/>
      <c r="I6" s="44" t="s">
        <v>8</v>
      </c>
    </row>
    <row r="7" spans="2:9">
      <c r="B7" s="45"/>
      <c r="C7" s="7" t="n">
        <v>0</v>
      </c>
      <c r="D7" s="7" t="n">
        <v>1</v>
      </c>
      <c r="E7" s="7" t="n">
        <v>2</v>
      </c>
      <c r="F7" s="7" t="n">
        <v>3</v>
      </c>
      <c r="G7" s="7" t="n">
        <v>4</v>
      </c>
      <c r="H7" s="7" t="n">
        <v>5</v>
      </c>
      <c r="I7" s="45"/>
    </row>
    <row r="8" spans="1:9" s="8" customFormat="1" ht="19.90" customHeight="1">
      <c r="A8" s="3"/>
      <c r="B8" s="8" t="s">
        <v>9</v>
      </c>
      <c r="C8" s="9" t="n">
        <v>0</v>
      </c>
      <c r="D8" s="9" t="n">
        <v>75000</v>
      </c>
      <c r="E8" s="9" t="n">
        <v>75000</v>
      </c>
      <c r="F8" s="9" t="n">
        <v>75000</v>
      </c>
      <c r="G8" s="9" t="n">
        <v>90000</v>
      </c>
      <c r="H8" s="9" t="n">
        <v>90000</v>
      </c>
      <c r="I8" s="32">
        <f>SUM(C8:H8)</f>
        <v>405000</v>
      </c>
    </row>
    <row r="9" spans="2:9" s="8" customFormat="1" ht="19.90" customHeight="1">
      <c r="B9" s="8" t="s">
        <v>10</v>
      </c>
      <c r="C9" s="9" t="n">
        <v>0</v>
      </c>
      <c r="D9" s="9" t="n">
        <v>-15000</v>
      </c>
      <c r="E9" s="9" t="n">
        <v>-15000</v>
      </c>
      <c r="F9" s="9" t="n">
        <v>-15000</v>
      </c>
      <c r="G9" s="9" t="n">
        <v>-15000</v>
      </c>
      <c r="H9" s="9" t="n">
        <v>-15000</v>
      </c>
      <c r="I9" s="32">
        <f>SUM(C9:H9)</f>
        <v>-75000</v>
      </c>
    </row>
    <row r="10" spans="2:9" s="8" customFormat="1" ht="19.90" customHeight="1">
      <c r="B10" s="8" t="s">
        <v>11</v>
      </c>
      <c r="C10" s="9" t="n">
        <v>0</v>
      </c>
      <c r="D10" s="9">
        <f>-600*2</f>
        <v>-1200</v>
      </c>
      <c r="E10" s="9">
        <f>-600*2</f>
        <v>-1200</v>
      </c>
      <c r="F10" s="9">
        <f>-600*2</f>
        <v>-1200</v>
      </c>
      <c r="G10" s="9">
        <f>-600*2</f>
        <v>-1200</v>
      </c>
      <c r="H10" s="9">
        <f>-600*2</f>
        <v>-1200</v>
      </c>
      <c r="I10" s="32">
        <f>SUM(C10:H10)</f>
        <v>-6000</v>
      </c>
    </row>
    <row r="11" spans="2:9" s="8" customFormat="1" ht="19.90" customHeight="1">
      <c r="B11" s="12" t="s">
        <v>12</v>
      </c>
      <c r="C11" s="13" t="n">
        <v>0</v>
      </c>
      <c r="D11" s="13">
        <f>-$C$3*10%</f>
        <v>-22500</v>
      </c>
      <c r="E11" s="13">
        <f>-$C$3*10%</f>
        <v>-22500</v>
      </c>
      <c r="F11" s="13">
        <f>-$C$3*10%</f>
        <v>-22500</v>
      </c>
      <c r="G11" s="13">
        <f>-$C$3*10%</f>
        <v>-22500</v>
      </c>
      <c r="H11" s="13">
        <f>-$C$3*10%</f>
        <v>-22500</v>
      </c>
      <c r="I11" s="33">
        <f>SUM(C11:H11)</f>
        <v>-112500</v>
      </c>
    </row>
    <row r="12" spans="2:9" s="8" customFormat="1" ht="19.90" customHeight="1">
      <c r="B12" s="10" t="s">
        <v>13</v>
      </c>
      <c r="C12" s="11">
        <f>C8-(SUM(C9:C11))</f>
        <v>0</v>
      </c>
      <c r="D12" s="11">
        <f>D8+(SUM(D9:D11))</f>
        <v>36300</v>
      </c>
      <c r="E12" s="11">
        <f>E8+(SUM(E9:E11))</f>
        <v>36300</v>
      </c>
      <c r="F12" s="11">
        <f>F8+(SUM(F9:F11))</f>
        <v>36300</v>
      </c>
      <c r="G12" s="11">
        <f>G8+(SUM(G9:G11))</f>
        <v>51300</v>
      </c>
      <c r="H12" s="11">
        <f>H8+(SUM(H9:H11))</f>
        <v>51300</v>
      </c>
      <c r="I12" s="32">
        <f>SUM(C12:H12)</f>
        <v>211500</v>
      </c>
    </row>
    <row r="13" spans="2:9" s="8" customFormat="1" ht="19.90" customHeight="1">
      <c r="B13" s="12" t="s">
        <v>14</v>
      </c>
      <c r="C13" s="13" t="n">
        <v>0</v>
      </c>
      <c r="D13" s="13">
        <f>-D11</f>
        <v>22500</v>
      </c>
      <c r="E13" s="13">
        <f>-E11</f>
        <v>22500</v>
      </c>
      <c r="F13" s="13">
        <f>-F11</f>
        <v>22500</v>
      </c>
      <c r="G13" s="13">
        <f>-G11</f>
        <v>22500</v>
      </c>
      <c r="H13" s="13">
        <f>-H11</f>
        <v>22500</v>
      </c>
      <c r="I13" s="33">
        <f>SUM(C13:H13)</f>
        <v>112500</v>
      </c>
    </row>
    <row r="14" spans="2:9" s="8" customFormat="1" ht="19.90" customHeight="1">
      <c r="B14" s="10" t="s">
        <v>15</v>
      </c>
      <c r="C14" s="11">
        <f>SUM(C12:C13)</f>
        <v>0</v>
      </c>
      <c r="D14" s="11">
        <f>SUM(D12:D13)</f>
        <v>58800</v>
      </c>
      <c r="E14" s="11">
        <f>SUM(E12:E13)</f>
        <v>58800</v>
      </c>
      <c r="F14" s="11">
        <f>SUM(F12:F13)</f>
        <v>58800</v>
      </c>
      <c r="G14" s="11">
        <f>SUM(G12:G13)</f>
        <v>73800</v>
      </c>
      <c r="H14" s="11">
        <f>SUM(H12:H13)</f>
        <v>73800</v>
      </c>
      <c r="I14" s="32">
        <f>SUM(C14:H14)</f>
        <v>324000</v>
      </c>
    </row>
    <row r="15" spans="2:9" s="8" customFormat="1" ht="19.90" customHeight="1">
      <c r="B15" s="8" t="s">
        <v>16</v>
      </c>
      <c r="C15" s="9">
        <f>-C3</f>
        <v>-225000</v>
      </c>
      <c r="D15" s="9" t="n">
        <v>0</v>
      </c>
      <c r="E15" s="9" t="n">
        <v>0</v>
      </c>
      <c r="F15" s="9" t="n">
        <v>0</v>
      </c>
      <c r="G15" s="9" t="n">
        <v>0</v>
      </c>
      <c r="H15" s="9" t="n">
        <v>0</v>
      </c>
      <c r="I15" s="32">
        <f>SUM(C15:H15)</f>
        <v>-225000</v>
      </c>
    </row>
    <row r="16" spans="2:9" s="8" customFormat="1" ht="19.90" customHeight="1">
      <c r="B16" s="12" t="s">
        <v>17</v>
      </c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0</v>
      </c>
      <c r="H16" s="13" t="n">
        <v>95000</v>
      </c>
      <c r="I16" s="33">
        <f>SUM(C16:H16)</f>
        <v>95000</v>
      </c>
    </row>
    <row r="17" spans="2:9" s="8" customFormat="1" ht="19.90" customHeight="1">
      <c r="B17" s="10" t="s">
        <v>18</v>
      </c>
      <c r="C17" s="11">
        <f>SUM(C14:C16)</f>
        <v>-225000</v>
      </c>
      <c r="D17" s="11">
        <f>SUM(D14:D16)</f>
        <v>58800</v>
      </c>
      <c r="E17" s="11">
        <f>SUM(E14:E16)</f>
        <v>58800</v>
      </c>
      <c r="F17" s="11">
        <f>SUM(F14:F16)</f>
        <v>58800</v>
      </c>
      <c r="G17" s="11">
        <f>SUM(G14:G16)</f>
        <v>73800</v>
      </c>
      <c r="H17" s="11">
        <f>SUM(H14:H16)</f>
        <v>168800</v>
      </c>
      <c r="I17" s="32">
        <f>SUM(C17:H17)</f>
        <v>194000</v>
      </c>
    </row>
    <row r="18" spans="3:8" s="8" customFormat="1" ht="19.90" customHeight="1">
      <c r="C18" s="9"/>
      <c r="D18" s="9"/>
      <c r="E18" s="9"/>
      <c r="F18" s="9"/>
      <c r="G18" s="9"/>
      <c r="H18" s="9"/>
    </row>
    <row r="19" spans="1:8">
      <c r="A19" s="8"/>
      <c r="B19" s="5" t="s">
        <v>19</v>
      </c>
      <c r="C19" s="4">
        <f>C17</f>
        <v>-225000</v>
      </c>
      <c r="D19" s="16">
        <f>D17</f>
        <v>58800</v>
      </c>
      <c r="E19" s="14">
        <f>E17</f>
        <v>58800</v>
      </c>
      <c r="F19" s="17">
        <f>F17</f>
        <v>58800</v>
      </c>
      <c r="G19" s="17">
        <f>G17</f>
        <v>73800</v>
      </c>
      <c r="H19" s="14">
        <f>H17</f>
        <v>168800</v>
      </c>
    </row>
    <row r="20" spans="4:8">
      <c r="D20" s="15" t="s">
        <v>20</v>
      </c>
      <c r="E20" s="15" t="s">
        <v>21</v>
      </c>
      <c r="F20" s="15" t="s">
        <v>22</v>
      </c>
      <c r="G20" s="15" t="s">
        <v>23</v>
      </c>
      <c r="H20" s="15" t="s">
        <v>24</v>
      </c>
    </row>
    <row r="22" spans="2:9">
      <c r="B22" s="5" t="s">
        <v>19</v>
      </c>
      <c r="C22" s="4">
        <f>C19</f>
        <v>-225000</v>
      </c>
      <c r="D22" s="4">
        <f>D19/(1.14)</f>
        <v>51578.9473684210971</v>
      </c>
      <c r="E22" s="4">
        <f>E19/(1.14)^2</f>
        <v>45244.6906740535997</v>
      </c>
      <c r="F22" s="4">
        <f>F19/(1.14)^3</f>
        <v>39688.3251526785971</v>
      </c>
      <c r="G22" s="4">
        <f>G19/(1.14)^4</f>
        <v>43695.5244699199975</v>
      </c>
      <c r="H22" s="4">
        <f>H19/(1.14)^5</f>
        <v>87669.4305439369055</v>
      </c>
      <c r="I22" s="36">
        <f>SUM(C22:H22)</f>
        <v>42876.9182090101967</v>
      </c>
    </row>
    <row r="23" spans="2:9">
      <c r="B23" s="5"/>
      <c r="I23" s="36"/>
    </row>
    <row r="24" spans="2:3">
      <c r="B24" s="5" t="s">
        <v>19</v>
      </c>
      <c r="C24" s="35">
        <f>C22+(D19/(1.14))+(E19/(1.14^2))+(F19/(1.14^3))+(G19/(1.14^4))+(H19/(1.14^5))</f>
        <v>42876.9182090105023</v>
      </c>
    </row>
    <row r="25" spans="2:3">
      <c r="B25" s="5"/>
      <c r="C25" s="35"/>
    </row>
    <row r="26" spans="2:7">
      <c r="B26" s="18" t="s">
        <v>7</v>
      </c>
      <c r="C26" s="34" t="s">
        <v>25</v>
      </c>
      <c r="D26" s="3"/>
      <c r="E26" s="3"/>
      <c r="F26" s="39" t="s">
        <v>26</v>
      </c>
      <c r="G26" s="40">
        <f>IRR(C27:C32,)</f>
        <v>0.203874754905700994</v>
      </c>
    </row>
    <row r="27" spans="2:7">
      <c r="B27" s="19" t="n">
        <v>0</v>
      </c>
      <c r="C27" s="4">
        <f>C17</f>
        <v>-225000</v>
      </c>
      <c r="D27" s="3"/>
      <c r="E27" s="3"/>
      <c r="F27" s="37" t="s">
        <v>27</v>
      </c>
      <c r="G27" s="42">
        <f>(NPV(C34,C28:C32))+C27</f>
        <v>42876.9182090100003</v>
      </c>
    </row>
    <row r="28" spans="2:7">
      <c r="B28" s="19" t="n">
        <v>1</v>
      </c>
      <c r="C28" s="4">
        <f>D17</f>
        <v>58800</v>
      </c>
      <c r="D28" s="3"/>
      <c r="E28" s="3"/>
      <c r="F28" s="38" t="s">
        <v>19</v>
      </c>
      <c r="G28" s="43"/>
    </row>
    <row r="29" spans="2:3">
      <c r="B29" s="19" t="n">
        <v>2</v>
      </c>
      <c r="C29" s="4">
        <f>E17</f>
        <v>58800</v>
      </c>
    </row>
    <row r="30" spans="2:3">
      <c r="B30" s="19" t="n">
        <v>3</v>
      </c>
      <c r="C30" s="4">
        <f>F17</f>
        <v>58800</v>
      </c>
    </row>
    <row r="31" spans="2:3">
      <c r="B31" s="19" t="n">
        <v>4</v>
      </c>
      <c r="C31" s="4">
        <f>G17</f>
        <v>73800</v>
      </c>
    </row>
    <row r="32" spans="2:3">
      <c r="B32" s="19" t="n">
        <v>5</v>
      </c>
      <c r="C32" s="4">
        <f>H17</f>
        <v>168800</v>
      </c>
    </row>
    <row r="33" spans="2:4">
      <c r="B33" s="19" t="s">
        <v>4</v>
      </c>
      <c r="C33" s="4" t="n">
        <v>5</v>
      </c>
      <c r="D33" s="41" t="s">
        <v>28</v>
      </c>
    </row>
    <row r="34" spans="2:4">
      <c r="B34" s="19" t="s">
        <v>29</v>
      </c>
      <c r="C34" s="20" t="n">
        <v>0.140000000000000018</v>
      </c>
      <c r="D34" s="41" t="s">
        <v>30</v>
      </c>
    </row>
    <row r="35" spans="2:2">
      <c r="B35" s="19"/>
    </row>
    <row r="37" spans="2:2">
      <c r="B37" s="23" t="s">
        <v>31</v>
      </c>
    </row>
    <row r="38" spans="2:3">
      <c r="B38" s="18" t="s">
        <v>2</v>
      </c>
      <c r="C38" s="6" t="n">
        <v>300000</v>
      </c>
    </row>
    <row r="39" spans="2:5">
      <c r="B39" s="18" t="s">
        <v>3</v>
      </c>
      <c r="C39" s="21" t="n">
        <v>0.09</v>
      </c>
      <c r="D39" s="6" t="s">
        <v>4</v>
      </c>
      <c r="E39" s="6" t="s">
        <v>5</v>
      </c>
    </row>
    <row r="41" spans="2:9">
      <c r="B41" s="47" t="s">
        <v>6</v>
      </c>
      <c r="C41" s="49" t="s">
        <v>7</v>
      </c>
      <c r="D41" s="49"/>
      <c r="E41" s="49"/>
      <c r="F41" s="49"/>
      <c r="G41" s="49"/>
      <c r="H41" s="49"/>
      <c r="I41" s="47" t="s">
        <v>8</v>
      </c>
    </row>
    <row r="42" spans="2:9">
      <c r="B42" s="48"/>
      <c r="C42" s="24" t="n">
        <v>0</v>
      </c>
      <c r="D42" s="24" t="n">
        <v>1</v>
      </c>
      <c r="E42" s="24" t="n">
        <v>2</v>
      </c>
      <c r="F42" s="24" t="n">
        <v>3</v>
      </c>
      <c r="G42" s="24" t="n">
        <v>4</v>
      </c>
      <c r="H42" s="24" t="n">
        <v>5</v>
      </c>
      <c r="I42" s="48"/>
    </row>
    <row r="43" spans="1:9" s="8" customFormat="1" ht="19.90" customHeight="1">
      <c r="A43" s="3"/>
      <c r="B43" s="8" t="s">
        <v>9</v>
      </c>
      <c r="C43" s="9" t="n">
        <v>0</v>
      </c>
      <c r="D43" s="9" t="n">
        <v>70000</v>
      </c>
      <c r="E43" s="9" t="n">
        <v>70000</v>
      </c>
      <c r="F43" s="9" t="n">
        <v>75000</v>
      </c>
      <c r="G43" s="9" t="n">
        <v>95000</v>
      </c>
      <c r="H43" s="9" t="n">
        <v>95000</v>
      </c>
      <c r="I43" s="32">
        <f>SUM(C43:H43)</f>
        <v>405000</v>
      </c>
    </row>
    <row r="44" spans="2:9" s="8" customFormat="1" ht="19.90" customHeight="1">
      <c r="B44" s="8" t="s">
        <v>10</v>
      </c>
      <c r="C44" s="9" t="n">
        <v>0</v>
      </c>
      <c r="D44" s="9" t="n">
        <v>-14000</v>
      </c>
      <c r="E44" s="9" t="n">
        <v>-14000</v>
      </c>
      <c r="F44" s="9" t="n">
        <v>-14000</v>
      </c>
      <c r="G44" s="9" t="n">
        <v>-14000</v>
      </c>
      <c r="H44" s="9" t="n">
        <v>-14000</v>
      </c>
      <c r="I44" s="32">
        <f>SUM(C44:H44)</f>
        <v>-70000</v>
      </c>
    </row>
    <row r="45" spans="2:9" s="8" customFormat="1" ht="19.90" customHeight="1">
      <c r="B45" s="8" t="s">
        <v>11</v>
      </c>
      <c r="C45" s="9" t="n">
        <v>0</v>
      </c>
      <c r="D45" s="9">
        <f>-700*2</f>
        <v>-1400</v>
      </c>
      <c r="E45" s="9">
        <f>-700*2</f>
        <v>-1400</v>
      </c>
      <c r="F45" s="9">
        <f>-700*2</f>
        <v>-1400</v>
      </c>
      <c r="G45" s="9">
        <f>-700*2</f>
        <v>-1400</v>
      </c>
      <c r="H45" s="9">
        <f>-700*2</f>
        <v>-1400</v>
      </c>
      <c r="I45" s="32">
        <f>SUM(C45:H45)</f>
        <v>-7000</v>
      </c>
    </row>
    <row r="46" spans="2:9" s="8" customFormat="1" ht="19.90" customHeight="1">
      <c r="B46" s="12" t="s">
        <v>32</v>
      </c>
      <c r="C46" s="13" t="n">
        <v>0</v>
      </c>
      <c r="D46" s="13">
        <f>-$C$38*15%</f>
        <v>-45000</v>
      </c>
      <c r="E46" s="13">
        <f>-$C$38*15%</f>
        <v>-45000</v>
      </c>
      <c r="F46" s="13">
        <f>-$C$38*15%</f>
        <v>-45000</v>
      </c>
      <c r="G46" s="13">
        <f>-$C$38*15%</f>
        <v>-45000</v>
      </c>
      <c r="H46" s="13">
        <f>-$C$38*15%</f>
        <v>-45000</v>
      </c>
      <c r="I46" s="33">
        <f>SUM(C46:H46)</f>
        <v>-225000</v>
      </c>
    </row>
    <row r="47" spans="2:9" s="8" customFormat="1" ht="19.90" customHeight="1">
      <c r="B47" s="10" t="s">
        <v>13</v>
      </c>
      <c r="C47" s="11">
        <f>C43-(SUM(C44:C46))</f>
        <v>0</v>
      </c>
      <c r="D47" s="11">
        <f>D43+(SUM(D44:D46))</f>
        <v>9600</v>
      </c>
      <c r="E47" s="11">
        <f>E43+(SUM(E44:E46))</f>
        <v>9600</v>
      </c>
      <c r="F47" s="11">
        <f>F43+(SUM(F44:F46))</f>
        <v>14600</v>
      </c>
      <c r="G47" s="11">
        <f>G43+(SUM(G44:G46))</f>
        <v>34600</v>
      </c>
      <c r="H47" s="11">
        <f>H43+(SUM(H44:H46))</f>
        <v>34600</v>
      </c>
      <c r="I47" s="32">
        <f>SUM(C47:H47)</f>
        <v>103000</v>
      </c>
    </row>
    <row r="48" spans="2:9" s="8" customFormat="1" ht="19.90" customHeight="1">
      <c r="B48" s="12" t="s">
        <v>14</v>
      </c>
      <c r="C48" s="13" t="n">
        <v>0</v>
      </c>
      <c r="D48" s="13">
        <f>-D46</f>
        <v>45000</v>
      </c>
      <c r="E48" s="13">
        <f>-E46</f>
        <v>45000</v>
      </c>
      <c r="F48" s="13">
        <f>-F46</f>
        <v>45000</v>
      </c>
      <c r="G48" s="13">
        <f>-G46</f>
        <v>45000</v>
      </c>
      <c r="H48" s="13">
        <f>-H46</f>
        <v>45000</v>
      </c>
      <c r="I48" s="33">
        <f>SUM(C48:H48)</f>
        <v>225000</v>
      </c>
    </row>
    <row r="49" spans="2:9" s="8" customFormat="1" ht="19.90" customHeight="1">
      <c r="B49" s="10" t="s">
        <v>15</v>
      </c>
      <c r="C49" s="11">
        <f>SUM(C47:C48)</f>
        <v>0</v>
      </c>
      <c r="D49" s="11">
        <f>SUM(D47:D48)</f>
        <v>54600</v>
      </c>
      <c r="E49" s="11">
        <f>SUM(E47:E48)</f>
        <v>54600</v>
      </c>
      <c r="F49" s="11">
        <f>SUM(F47:F48)</f>
        <v>59600</v>
      </c>
      <c r="G49" s="11">
        <f>SUM(G47:G48)</f>
        <v>79600</v>
      </c>
      <c r="H49" s="11">
        <f>SUM(H47:H48)</f>
        <v>79600</v>
      </c>
      <c r="I49" s="32">
        <f>SUM(C49:H49)</f>
        <v>328000</v>
      </c>
    </row>
    <row r="50" spans="2:9" s="8" customFormat="1" ht="19.90" customHeight="1">
      <c r="B50" s="8" t="s">
        <v>16</v>
      </c>
      <c r="C50" s="9">
        <f>-C38</f>
        <v>-300000</v>
      </c>
      <c r="D50" s="9" t="n">
        <v>0</v>
      </c>
      <c r="E50" s="9" t="n">
        <v>0</v>
      </c>
      <c r="F50" s="9" t="n">
        <v>0</v>
      </c>
      <c r="G50" s="9" t="n">
        <v>0</v>
      </c>
      <c r="H50" s="9" t="n">
        <v>0</v>
      </c>
      <c r="I50" s="32">
        <f>SUM(C50:H50)</f>
        <v>-300000</v>
      </c>
    </row>
    <row r="51" spans="2:9" s="8" customFormat="1" ht="19.90" customHeight="1">
      <c r="B51" s="12" t="s">
        <v>17</v>
      </c>
      <c r="C51" s="13" t="n">
        <v>0</v>
      </c>
      <c r="D51" s="13" t="n">
        <v>0</v>
      </c>
      <c r="E51" s="13" t="n">
        <v>0</v>
      </c>
      <c r="F51" s="13" t="n">
        <v>0</v>
      </c>
      <c r="G51" s="13" t="n">
        <v>0</v>
      </c>
      <c r="H51" s="13" t="n">
        <v>95000</v>
      </c>
      <c r="I51" s="33">
        <f>SUM(C51:H51)</f>
        <v>95000</v>
      </c>
    </row>
    <row r="52" spans="2:9" s="8" customFormat="1" ht="19.90" customHeight="1">
      <c r="B52" s="10" t="s">
        <v>18</v>
      </c>
      <c r="C52" s="11">
        <f>SUM(C49:C51)</f>
        <v>-300000</v>
      </c>
      <c r="D52" s="11">
        <f>SUM(D49:D51)</f>
        <v>54600</v>
      </c>
      <c r="E52" s="11">
        <f>SUM(E49:E51)</f>
        <v>54600</v>
      </c>
      <c r="F52" s="11">
        <f>SUM(F49:F51)</f>
        <v>59600</v>
      </c>
      <c r="G52" s="11">
        <f>SUM(G49:G51)</f>
        <v>79600</v>
      </c>
      <c r="H52" s="11">
        <f>SUM(H49:H51)</f>
        <v>174600</v>
      </c>
      <c r="I52" s="32">
        <f>SUM(C52:H52)</f>
        <v>123000</v>
      </c>
    </row>
    <row r="53" spans="3:8" s="8" customFormat="1" ht="19.90" customHeight="1">
      <c r="C53" s="9"/>
      <c r="D53" s="9"/>
      <c r="E53" s="9"/>
      <c r="F53" s="9"/>
      <c r="G53" s="9"/>
      <c r="H53" s="9"/>
    </row>
    <row r="54" spans="1:8">
      <c r="A54" s="8"/>
      <c r="B54" s="5" t="s">
        <v>19</v>
      </c>
      <c r="C54" s="4">
        <f>C52</f>
        <v>-300000</v>
      </c>
      <c r="D54" s="16">
        <f>D52</f>
        <v>54600</v>
      </c>
      <c r="E54" s="14">
        <f>E52</f>
        <v>54600</v>
      </c>
      <c r="F54" s="17">
        <f>F52</f>
        <v>59600</v>
      </c>
      <c r="G54" s="17">
        <f>G52</f>
        <v>79600</v>
      </c>
      <c r="H54" s="14">
        <f>H52</f>
        <v>174600</v>
      </c>
    </row>
    <row r="55" spans="4:8">
      <c r="D55" s="15" t="s">
        <v>33</v>
      </c>
      <c r="E55" s="15" t="s">
        <v>34</v>
      </c>
      <c r="F55" s="15" t="s">
        <v>35</v>
      </c>
      <c r="G55" s="15" t="s">
        <v>36</v>
      </c>
      <c r="H55" s="15" t="s">
        <v>37</v>
      </c>
    </row>
    <row r="57" spans="2:9">
      <c r="B57" s="5" t="s">
        <v>19</v>
      </c>
      <c r="C57" s="4">
        <f>C54</f>
        <v>-300000</v>
      </c>
      <c r="D57" s="4">
        <f>D54/(1.09)</f>
        <v>50091.7431192661024</v>
      </c>
      <c r="E57" s="4">
        <f>E54/(1.09)^2</f>
        <v>45955.7276323542028</v>
      </c>
      <c r="F57" s="4">
        <f>F54/(1.09)^3</f>
        <v>46022.1354116393995</v>
      </c>
      <c r="G57" s="4">
        <f>G54/(1.09)^4</f>
        <v>56390.6468007896983</v>
      </c>
      <c r="H57" s="4">
        <f>H54/(1.09)^5</f>
        <v>113478.020047690996</v>
      </c>
      <c r="I57" s="36">
        <f>SUM(C57:H57)</f>
        <v>11938.2730117404008</v>
      </c>
    </row>
    <row r="58" spans="2:2">
      <c r="B58" s="19"/>
    </row>
    <row r="59" spans="2:3">
      <c r="B59" s="5" t="s">
        <v>19</v>
      </c>
      <c r="C59" s="35">
        <f>C57+(D54/(1.09))+(E54/(1.09^2))+(F54/(1.09^3))+(G54/(1.09^4))+(H54/(1.09^5))</f>
        <v>11938.2730117400006</v>
      </c>
    </row>
    <row r="62" spans="2:7">
      <c r="B62" s="18" t="s">
        <v>7</v>
      </c>
      <c r="C62" s="34" t="s">
        <v>25</v>
      </c>
      <c r="D62" s="3"/>
      <c r="E62" s="3"/>
      <c r="F62" s="39" t="s">
        <v>26</v>
      </c>
      <c r="G62" s="40">
        <f>IRR(C63:C68,)</f>
        <v>0.102482199668884988</v>
      </c>
    </row>
    <row r="63" spans="2:7">
      <c r="B63" s="19" t="n">
        <v>0</v>
      </c>
      <c r="C63" s="4">
        <f>C52</f>
        <v>-300000</v>
      </c>
      <c r="D63" s="3"/>
      <c r="E63" s="3"/>
      <c r="F63" s="37" t="s">
        <v>27</v>
      </c>
      <c r="G63" s="42">
        <f>(NPV(C70,C64:C68))+C63</f>
        <v>11938.2730117400006</v>
      </c>
    </row>
    <row r="64" spans="2:7">
      <c r="B64" s="19" t="n">
        <v>1</v>
      </c>
      <c r="C64" s="4">
        <f>D52</f>
        <v>54600</v>
      </c>
      <c r="D64" s="3"/>
      <c r="E64" s="3"/>
      <c r="F64" s="38" t="s">
        <v>19</v>
      </c>
      <c r="G64" s="43"/>
    </row>
    <row r="65" spans="2:3">
      <c r="B65" s="19" t="n">
        <v>2</v>
      </c>
      <c r="C65" s="4">
        <f>E52</f>
        <v>54600</v>
      </c>
    </row>
    <row r="66" spans="2:3">
      <c r="B66" s="19" t="n">
        <v>3</v>
      </c>
      <c r="C66" s="4">
        <f>F52</f>
        <v>59600</v>
      </c>
    </row>
    <row r="67" spans="2:3">
      <c r="B67" s="19" t="n">
        <v>4</v>
      </c>
      <c r="C67" s="4">
        <f>G52</f>
        <v>79600</v>
      </c>
    </row>
    <row r="68" spans="2:3">
      <c r="B68" s="19" t="n">
        <v>5</v>
      </c>
      <c r="C68" s="4">
        <f>H52</f>
        <v>174600</v>
      </c>
    </row>
    <row r="69" spans="2:4">
      <c r="B69" s="19" t="s">
        <v>4</v>
      </c>
      <c r="C69" s="4" t="n">
        <v>5</v>
      </c>
      <c r="D69" s="41" t="s">
        <v>28</v>
      </c>
    </row>
    <row r="70" spans="2:4">
      <c r="B70" s="19" t="s">
        <v>29</v>
      </c>
      <c r="C70" s="20" t="n">
        <v>0.09</v>
      </c>
      <c r="D70" s="41" t="s">
        <v>30</v>
      </c>
    </row>
  </sheetData>
  <mergeCells count="8">
    <mergeCell ref="C6:H6"/>
    <mergeCell ref="B6:B7"/>
    <mergeCell ref="I6:I7"/>
    <mergeCell ref="G27:G28"/>
    <mergeCell ref="C41:H41"/>
    <mergeCell ref="B41:B42"/>
    <mergeCell ref="I41:I42"/>
    <mergeCell ref="G63:G64"/>
  </mergeCells>
  <printOptions>
    <extLst>
      <ext uri="smNativeData">
        <pm:pageFlags xmlns:pm="smNativeData" id="172861918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/>
  <headerFooter>
    <extLst>
      <ext uri="smNativeData">
        <pm:header xmlns:pm="smNativeData" id="1728619189" l="56" r="56" t="56" b="56" borderId="0" fillId="0" vertical="0"/>
        <pm:footer xmlns:pm="smNativeData" id="1728619189" l="56" r="56" t="56" b="56" borderId="0" fillId="0" vertical="2"/>
      </ext>
    </extLst>
  </headerFooter>
  <extLst>
    <ext uri="smNativeData">
      <pm:sheetPrefs xmlns:pm="smNativeData" day="172861918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sheetPr>
    <tabColor rgb="7030A0"/>
  </sheetPr>
  <dimension ref="A1:J76"/>
  <sheetViews>
    <sheetView view="normal" workbookViewId="0">
      <selection activeCell="F27" sqref="F27"/>
    </sheetView>
  </sheetViews>
  <sheetFormatPr baseColWidth="10" defaultColWidth="11.571429" defaultRowHeight="15.80"/>
  <cols>
    <col min="1" max="1" width="11.571429" style="3"/>
    <col min="2" max="2" width="38.285714" customWidth="1" style="3"/>
    <col min="3" max="8" width="17.285714" customWidth="1" style="4"/>
    <col min="9" max="9" width="13.571429" customWidth="1" style="3"/>
    <col min="10" max="16384" width="11.571429" style="3"/>
  </cols>
  <sheetData>
    <row r="1" spans="1:2">
      <c r="A1"/>
      <c r="B1" s="22" t="s">
        <v>0</v>
      </c>
    </row>
    <row r="2" spans="2:2">
      <c r="B2" s="22" t="s">
        <v>1</v>
      </c>
    </row>
    <row r="3" spans="2:3">
      <c r="B3" s="18" t="s">
        <v>2</v>
      </c>
      <c r="C3" s="6" t="n">
        <v>225000</v>
      </c>
    </row>
    <row r="4" spans="2:5">
      <c r="B4" s="18" t="s">
        <v>3</v>
      </c>
      <c r="C4" s="21" t="n">
        <v>0.140000000000000018</v>
      </c>
      <c r="D4" s="6" t="s">
        <v>4</v>
      </c>
      <c r="E4" s="6" t="s">
        <v>5</v>
      </c>
    </row>
    <row r="6" spans="2:9">
      <c r="B6" s="44" t="s">
        <v>6</v>
      </c>
      <c r="C6" s="46" t="s">
        <v>7</v>
      </c>
      <c r="D6" s="46"/>
      <c r="E6" s="46"/>
      <c r="F6" s="46"/>
      <c r="G6" s="46"/>
      <c r="H6" s="46"/>
      <c r="I6" s="44" t="s">
        <v>8</v>
      </c>
    </row>
    <row r="7" spans="2:9">
      <c r="B7" s="45"/>
      <c r="C7" s="7" t="n">
        <v>0</v>
      </c>
      <c r="D7" s="7" t="n">
        <v>1</v>
      </c>
      <c r="E7" s="7" t="n">
        <v>2</v>
      </c>
      <c r="F7" s="7" t="n">
        <v>3</v>
      </c>
      <c r="G7" s="7" t="n">
        <v>4</v>
      </c>
      <c r="H7" s="7" t="n">
        <v>5</v>
      </c>
      <c r="I7" s="45"/>
    </row>
    <row r="8" spans="1:9" s="8" customFormat="1" ht="19.90" customHeight="1">
      <c r="A8" s="3"/>
      <c r="B8" s="8" t="s">
        <v>9</v>
      </c>
      <c r="C8" s="9" t="n">
        <v>0</v>
      </c>
      <c r="D8" s="9" t="n">
        <v>75000</v>
      </c>
      <c r="E8" s="9" t="n">
        <v>75000</v>
      </c>
      <c r="F8" s="9" t="n">
        <v>75000</v>
      </c>
      <c r="G8" s="9" t="n">
        <v>90000</v>
      </c>
      <c r="H8" s="9" t="n">
        <v>90000</v>
      </c>
      <c r="I8" s="32">
        <f>SUM(C8:H8)</f>
        <v>405000</v>
      </c>
    </row>
    <row r="9" spans="2:9" s="8" customFormat="1" ht="19.90" customHeight="1">
      <c r="B9" s="8" t="s">
        <v>10</v>
      </c>
      <c r="C9" s="9" t="n">
        <v>0</v>
      </c>
      <c r="D9" s="9" t="n">
        <v>-15000</v>
      </c>
      <c r="E9" s="9" t="n">
        <v>-15000</v>
      </c>
      <c r="F9" s="9" t="n">
        <v>-15000</v>
      </c>
      <c r="G9" s="9" t="n">
        <v>-15000</v>
      </c>
      <c r="H9" s="9" t="n">
        <v>-15000</v>
      </c>
      <c r="I9" s="32">
        <f>SUM(C9:H9)</f>
        <v>-75000</v>
      </c>
    </row>
    <row r="10" spans="2:9" s="8" customFormat="1" ht="19.90" customHeight="1">
      <c r="B10" s="8" t="s">
        <v>11</v>
      </c>
      <c r="C10" s="9" t="n">
        <v>0</v>
      </c>
      <c r="D10" s="9">
        <f>-600*2</f>
        <v>-1200</v>
      </c>
      <c r="E10" s="9">
        <f>-600*2</f>
        <v>-1200</v>
      </c>
      <c r="F10" s="9">
        <f>-600*2</f>
        <v>-1200</v>
      </c>
      <c r="G10" s="9">
        <f>-600*2</f>
        <v>-1200</v>
      </c>
      <c r="H10" s="9">
        <f>-600*2</f>
        <v>-1200</v>
      </c>
      <c r="I10" s="32">
        <f>SUM(C10:H10)</f>
        <v>-6000</v>
      </c>
    </row>
    <row r="11" spans="2:9" s="8" customFormat="1" ht="19.90" customHeight="1">
      <c r="B11" s="12" t="s">
        <v>12</v>
      </c>
      <c r="C11" s="13" t="n">
        <v>0</v>
      </c>
      <c r="D11" s="13">
        <f>-$C$3*10%</f>
        <v>-22500</v>
      </c>
      <c r="E11" s="13">
        <f>-$C$3*10%</f>
        <v>-22500</v>
      </c>
      <c r="F11" s="13">
        <f>-$C$3*10%</f>
        <v>-22500</v>
      </c>
      <c r="G11" s="13">
        <f>-$C$3*10%</f>
        <v>-22500</v>
      </c>
      <c r="H11" s="13">
        <f>-$C$3*10%</f>
        <v>-22500</v>
      </c>
      <c r="I11" s="33">
        <f>SUM(C11:H11)</f>
        <v>-112500</v>
      </c>
    </row>
    <row r="12" spans="2:9" s="8" customFormat="1" ht="19.90" customHeight="1">
      <c r="B12" s="10" t="s">
        <v>13</v>
      </c>
      <c r="C12" s="11">
        <f>C8-(SUM(C9:C11))</f>
        <v>0</v>
      </c>
      <c r="D12" s="11">
        <f>D8+(SUM(D9:D11))</f>
        <v>36300</v>
      </c>
      <c r="E12" s="11">
        <f>E8+(SUM(E9:E11))</f>
        <v>36300</v>
      </c>
      <c r="F12" s="11">
        <f>F8+(SUM(F9:F11))</f>
        <v>36300</v>
      </c>
      <c r="G12" s="11">
        <f>G8+(SUM(G9:G11))</f>
        <v>51300</v>
      </c>
      <c r="H12" s="11">
        <f>H8+(SUM(H9:H11))</f>
        <v>51300</v>
      </c>
      <c r="I12" s="32">
        <f>SUM(C12:H12)</f>
        <v>211500</v>
      </c>
    </row>
    <row r="13" spans="2:9" s="8" customFormat="1" ht="19.90" customHeight="1">
      <c r="B13" s="12" t="s">
        <v>14</v>
      </c>
      <c r="C13" s="13" t="n">
        <v>0</v>
      </c>
      <c r="D13" s="13">
        <f>-D11</f>
        <v>22500</v>
      </c>
      <c r="E13" s="13">
        <f>-E11</f>
        <v>22500</v>
      </c>
      <c r="F13" s="13">
        <f>-F11</f>
        <v>22500</v>
      </c>
      <c r="G13" s="13">
        <f>-G11</f>
        <v>22500</v>
      </c>
      <c r="H13" s="13">
        <f>-H11</f>
        <v>22500</v>
      </c>
      <c r="I13" s="33">
        <f>SUM(C13:H13)</f>
        <v>112500</v>
      </c>
    </row>
    <row r="14" spans="2:9" s="8" customFormat="1" ht="19.90" customHeight="1">
      <c r="B14" s="10" t="s">
        <v>15</v>
      </c>
      <c r="C14" s="11">
        <f>SUM(C12:C13)</f>
        <v>0</v>
      </c>
      <c r="D14" s="11">
        <f>SUM(D12:D13)</f>
        <v>58800</v>
      </c>
      <c r="E14" s="11">
        <f>SUM(E12:E13)</f>
        <v>58800</v>
      </c>
      <c r="F14" s="11">
        <f>SUM(F12:F13)</f>
        <v>58800</v>
      </c>
      <c r="G14" s="11">
        <f>SUM(G12:G13)</f>
        <v>73800</v>
      </c>
      <c r="H14" s="11">
        <f>SUM(H12:H13)</f>
        <v>73800</v>
      </c>
      <c r="I14" s="32">
        <f>SUM(C14:H14)</f>
        <v>324000</v>
      </c>
    </row>
    <row r="15" spans="2:9" s="8" customFormat="1" ht="19.90" customHeight="1">
      <c r="B15" s="8" t="s">
        <v>16</v>
      </c>
      <c r="C15" s="9">
        <f>-C3</f>
        <v>-225000</v>
      </c>
      <c r="D15" s="9" t="n">
        <v>0</v>
      </c>
      <c r="E15" s="9" t="n">
        <v>0</v>
      </c>
      <c r="F15" s="9" t="n">
        <v>0</v>
      </c>
      <c r="G15" s="9" t="n">
        <v>0</v>
      </c>
      <c r="H15" s="9" t="n">
        <v>0</v>
      </c>
      <c r="I15" s="32">
        <f>SUM(C15:H15)</f>
        <v>-225000</v>
      </c>
    </row>
    <row r="16" spans="2:9" s="8" customFormat="1" ht="19.90" customHeight="1">
      <c r="B16" s="12" t="s">
        <v>17</v>
      </c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0</v>
      </c>
      <c r="H16" s="13" t="n">
        <v>95000</v>
      </c>
      <c r="I16" s="33">
        <f>SUM(C16:H16)</f>
        <v>95000</v>
      </c>
    </row>
    <row r="17" spans="2:9" s="8" customFormat="1" ht="19.90" customHeight="1">
      <c r="B17" s="10" t="s">
        <v>18</v>
      </c>
      <c r="C17" s="11">
        <f>SUM(C14:C16)</f>
        <v>-225000</v>
      </c>
      <c r="D17" s="11">
        <f>SUM(D14:D16)</f>
        <v>58800</v>
      </c>
      <c r="E17" s="11">
        <f>SUM(E14:E16)</f>
        <v>58800</v>
      </c>
      <c r="F17" s="11">
        <f>SUM(F14:F16)</f>
        <v>58800</v>
      </c>
      <c r="G17" s="11">
        <f>SUM(G14:G16)</f>
        <v>73800</v>
      </c>
      <c r="H17" s="11">
        <f>SUM(H14:H16)</f>
        <v>168800</v>
      </c>
      <c r="I17" s="32">
        <f>SUM(C17:H17)</f>
        <v>194000</v>
      </c>
    </row>
    <row r="18" spans="3:8" s="8" customFormat="1" ht="19.90" customHeight="1">
      <c r="C18" s="9"/>
      <c r="D18" s="9"/>
      <c r="E18" s="9"/>
      <c r="F18" s="9"/>
      <c r="G18" s="9"/>
      <c r="H18" s="9"/>
    </row>
    <row r="19" spans="1:8">
      <c r="A19" s="8"/>
      <c r="B19" s="5" t="s">
        <v>19</v>
      </c>
      <c r="C19" s="4">
        <f>C17</f>
        <v>-225000</v>
      </c>
      <c r="D19" s="16">
        <f>D17</f>
        <v>58800</v>
      </c>
      <c r="E19" s="14">
        <f>E17</f>
        <v>58800</v>
      </c>
      <c r="F19" s="17">
        <f>F17</f>
        <v>58800</v>
      </c>
      <c r="G19" s="17">
        <f>G17</f>
        <v>73800</v>
      </c>
      <c r="H19" s="14">
        <f>H17</f>
        <v>168800</v>
      </c>
    </row>
    <row r="20" spans="4:8">
      <c r="D20" s="15" t="s">
        <v>20</v>
      </c>
      <c r="E20" s="15" t="s">
        <v>21</v>
      </c>
      <c r="F20" s="15" t="s">
        <v>22</v>
      </c>
      <c r="G20" s="15" t="s">
        <v>23</v>
      </c>
      <c r="H20" s="15" t="s">
        <v>24</v>
      </c>
    </row>
    <row r="22" spans="2:9">
      <c r="B22" s="5" t="s">
        <v>19</v>
      </c>
      <c r="C22" s="4">
        <f>C19</f>
        <v>-225000</v>
      </c>
      <c r="D22" s="4">
        <f>D19/(1.14)</f>
        <v>51578.9473684210971</v>
      </c>
      <c r="E22" s="4">
        <f>E19/(1.14)^2</f>
        <v>45244.6906740535997</v>
      </c>
      <c r="F22" s="4">
        <f>F19/(1.14)^3</f>
        <v>39688.3251526785971</v>
      </c>
      <c r="G22" s="4">
        <f>G19/(1.14)^4</f>
        <v>43695.5244699199975</v>
      </c>
      <c r="H22" s="4">
        <f>H19/(1.14)^5</f>
        <v>87669.4305439369055</v>
      </c>
      <c r="I22" s="36">
        <f>SUM(C22:H22)</f>
        <v>42876.9182090101967</v>
      </c>
    </row>
    <row r="23" spans="2:9">
      <c r="B23" s="5"/>
      <c r="I23" s="36"/>
    </row>
    <row r="24" spans="2:3">
      <c r="B24" s="5" t="s">
        <v>19</v>
      </c>
      <c r="C24" s="35">
        <f>C22+(D19/(1.14))+(E19/(1.14^2))+(F19/(1.14^3))+(G19/(1.14^4))+(H19/(1.14^5))</f>
        <v>42876.9182090105023</v>
      </c>
    </row>
    <row r="25" spans="2:3">
      <c r="B25" s="5"/>
      <c r="C25" s="35"/>
    </row>
    <row r="26" spans="2:10">
      <c r="B26" s="56" t="s">
        <v>7</v>
      </c>
      <c r="C26" s="57" t="s">
        <v>38</v>
      </c>
      <c r="D26" s="3"/>
      <c r="E26" s="58" t="s">
        <v>39</v>
      </c>
      <c r="F26" s="53">
        <f>NPV(C34,C28:C32)+C27</f>
        <v>42876.9182090100003</v>
      </c>
      <c r="G26" s="3"/>
      <c r="H26" s="3"/>
      <c r="J26" s="21" t="s">
        <v>40</v>
      </c>
    </row>
    <row r="27" spans="2:7">
      <c r="B27" s="19" t="n">
        <v>0</v>
      </c>
      <c r="C27" s="4">
        <f>C17</f>
        <v>-225000</v>
      </c>
      <c r="D27" s="3"/>
      <c r="E27" s="58" t="s">
        <v>41</v>
      </c>
      <c r="F27" s="54">
        <f>IRR(C27:C32)</f>
        <v>0.203874731063842995</v>
      </c>
      <c r="G27" s="11"/>
    </row>
    <row r="28" spans="2:7">
      <c r="B28" s="19" t="n">
        <v>1</v>
      </c>
      <c r="C28" s="4">
        <f>D17</f>
        <v>58800</v>
      </c>
      <c r="D28" s="3"/>
      <c r="E28" s="3"/>
      <c r="F28" s="6"/>
      <c r="G28" s="11"/>
    </row>
    <row r="29" spans="2:3">
      <c r="B29" s="19" t="n">
        <v>2</v>
      </c>
      <c r="C29" s="4" t="n">
        <v>58800</v>
      </c>
    </row>
    <row r="30" spans="2:3">
      <c r="B30" s="19" t="n">
        <v>3</v>
      </c>
      <c r="C30" s="4" t="n">
        <v>58800</v>
      </c>
    </row>
    <row r="31" spans="2:7">
      <c r="B31" s="19" t="n">
        <v>4</v>
      </c>
      <c r="C31" s="4" t="n">
        <v>73800</v>
      </c>
      <c r="E31" s="4" t="s">
        <v>42</v>
      </c>
      <c r="F31" s="4" t="b">
        <f>F27&gt;C34</f>
        <v>1</v>
      </c>
      <c r="G31" s="55" t="s">
        <v>43</v>
      </c>
    </row>
    <row r="32" spans="2:3">
      <c r="B32" s="19" t="n">
        <v>5</v>
      </c>
      <c r="C32" s="4">
        <f>H17</f>
        <v>168800</v>
      </c>
    </row>
    <row r="33" spans="2:4">
      <c r="B33" s="19" t="s">
        <v>44</v>
      </c>
      <c r="C33" s="4">
        <f>B32</f>
        <v>5</v>
      </c>
      <c r="D33" s="41"/>
    </row>
    <row r="34" spans="2:4">
      <c r="B34" s="19" t="s">
        <v>45</v>
      </c>
      <c r="C34" s="20">
        <f>C4</f>
        <v>0.140000000000000018</v>
      </c>
      <c r="D34" s="41"/>
    </row>
    <row r="35" spans="2:2">
      <c r="B35" s="19"/>
    </row>
    <row r="37" spans="2:2">
      <c r="B37" s="23" t="s">
        <v>31</v>
      </c>
    </row>
    <row r="38" spans="2:3">
      <c r="B38" s="18" t="s">
        <v>2</v>
      </c>
      <c r="C38" s="6" t="n">
        <v>300000</v>
      </c>
    </row>
    <row r="39" spans="2:5">
      <c r="B39" s="18" t="s">
        <v>3</v>
      </c>
      <c r="C39" s="21" t="n">
        <v>0.09</v>
      </c>
      <c r="D39" s="6" t="s">
        <v>4</v>
      </c>
      <c r="E39" s="6" t="s">
        <v>5</v>
      </c>
    </row>
    <row r="41" spans="2:9">
      <c r="B41" s="47" t="s">
        <v>6</v>
      </c>
      <c r="C41" s="49" t="s">
        <v>7</v>
      </c>
      <c r="D41" s="49"/>
      <c r="E41" s="49"/>
      <c r="F41" s="49"/>
      <c r="G41" s="49"/>
      <c r="H41" s="49"/>
      <c r="I41" s="47" t="s">
        <v>8</v>
      </c>
    </row>
    <row r="42" spans="2:9">
      <c r="B42" s="48"/>
      <c r="C42" s="24" t="n">
        <v>0</v>
      </c>
      <c r="D42" s="24" t="n">
        <v>1</v>
      </c>
      <c r="E42" s="24" t="n">
        <v>2</v>
      </c>
      <c r="F42" s="24" t="n">
        <v>3</v>
      </c>
      <c r="G42" s="24" t="n">
        <v>4</v>
      </c>
      <c r="H42" s="24" t="n">
        <v>5</v>
      </c>
      <c r="I42" s="48"/>
    </row>
    <row r="43" spans="1:9" s="8" customFormat="1" ht="19.90" customHeight="1">
      <c r="A43" s="3"/>
      <c r="B43" s="8" t="s">
        <v>9</v>
      </c>
      <c r="C43" s="9" t="n">
        <v>0</v>
      </c>
      <c r="D43" s="9" t="n">
        <v>70000</v>
      </c>
      <c r="E43" s="9" t="n">
        <v>70000</v>
      </c>
      <c r="F43" s="9" t="n">
        <v>75000</v>
      </c>
      <c r="G43" s="9" t="n">
        <v>95000</v>
      </c>
      <c r="H43" s="9" t="n">
        <v>95000</v>
      </c>
      <c r="I43" s="32">
        <f>SUM(C43:H43)</f>
        <v>405000</v>
      </c>
    </row>
    <row r="44" spans="2:9" s="8" customFormat="1" ht="19.90" customHeight="1">
      <c r="B44" s="8" t="s">
        <v>10</v>
      </c>
      <c r="C44" s="9" t="n">
        <v>0</v>
      </c>
      <c r="D44" s="9" t="n">
        <v>-14000</v>
      </c>
      <c r="E44" s="9" t="n">
        <v>-14000</v>
      </c>
      <c r="F44" s="9" t="n">
        <v>-14000</v>
      </c>
      <c r="G44" s="9" t="n">
        <v>-14000</v>
      </c>
      <c r="H44" s="9" t="n">
        <v>-14000</v>
      </c>
      <c r="I44" s="32">
        <f>SUM(C44:H44)</f>
        <v>-70000</v>
      </c>
    </row>
    <row r="45" spans="2:9" s="8" customFormat="1" ht="19.90" customHeight="1">
      <c r="B45" s="8" t="s">
        <v>11</v>
      </c>
      <c r="C45" s="9" t="n">
        <v>0</v>
      </c>
      <c r="D45" s="9">
        <f>-700*2</f>
        <v>-1400</v>
      </c>
      <c r="E45" s="9">
        <f>-700*2</f>
        <v>-1400</v>
      </c>
      <c r="F45" s="9">
        <f>-700*2</f>
        <v>-1400</v>
      </c>
      <c r="G45" s="9">
        <f>-700*2</f>
        <v>-1400</v>
      </c>
      <c r="H45" s="9">
        <f>-700*2</f>
        <v>-1400</v>
      </c>
      <c r="I45" s="32">
        <f>SUM(C45:H45)</f>
        <v>-7000</v>
      </c>
    </row>
    <row r="46" spans="2:9" s="8" customFormat="1" ht="19.90" customHeight="1">
      <c r="B46" s="12" t="s">
        <v>32</v>
      </c>
      <c r="C46" s="13" t="n">
        <v>0</v>
      </c>
      <c r="D46" s="13">
        <f>-$C$38*15%</f>
        <v>-45000</v>
      </c>
      <c r="E46" s="13">
        <f>-$C$38*15%</f>
        <v>-45000</v>
      </c>
      <c r="F46" s="13">
        <f>-$C$38*15%</f>
        <v>-45000</v>
      </c>
      <c r="G46" s="13">
        <f>-$C$38*15%</f>
        <v>-45000</v>
      </c>
      <c r="H46" s="13">
        <f>-$C$38*15%</f>
        <v>-45000</v>
      </c>
      <c r="I46" s="33">
        <f>SUM(C46:H46)</f>
        <v>-225000</v>
      </c>
    </row>
    <row r="47" spans="2:9" s="8" customFormat="1" ht="19.90" customHeight="1">
      <c r="B47" s="10" t="s">
        <v>13</v>
      </c>
      <c r="C47" s="11">
        <f>C43-(SUM(C44:C46))</f>
        <v>0</v>
      </c>
      <c r="D47" s="11">
        <f>D43+(SUM(D44:D46))</f>
        <v>9600</v>
      </c>
      <c r="E47" s="11">
        <f>E43+(SUM(E44:E46))</f>
        <v>9600</v>
      </c>
      <c r="F47" s="11">
        <f>F43+(SUM(F44:F46))</f>
        <v>14600</v>
      </c>
      <c r="G47" s="11">
        <f>G43+(SUM(G44:G46))</f>
        <v>34600</v>
      </c>
      <c r="H47" s="11">
        <f>H43+(SUM(H44:H46))</f>
        <v>34600</v>
      </c>
      <c r="I47" s="32">
        <f>SUM(C47:H47)</f>
        <v>103000</v>
      </c>
    </row>
    <row r="48" spans="2:9" s="8" customFormat="1" ht="19.90" customHeight="1">
      <c r="B48" s="12" t="s">
        <v>14</v>
      </c>
      <c r="C48" s="13" t="n">
        <v>0</v>
      </c>
      <c r="D48" s="13">
        <f>-D46</f>
        <v>45000</v>
      </c>
      <c r="E48" s="13">
        <f>-E46</f>
        <v>45000</v>
      </c>
      <c r="F48" s="13">
        <f>-F46</f>
        <v>45000</v>
      </c>
      <c r="G48" s="13">
        <f>-G46</f>
        <v>45000</v>
      </c>
      <c r="H48" s="13">
        <f>-H46</f>
        <v>45000</v>
      </c>
      <c r="I48" s="33">
        <f>SUM(C48:H48)</f>
        <v>225000</v>
      </c>
    </row>
    <row r="49" spans="2:9" s="8" customFormat="1" ht="19.90" customHeight="1">
      <c r="B49" s="10" t="s">
        <v>15</v>
      </c>
      <c r="C49" s="11">
        <f>SUM(C47:C48)</f>
        <v>0</v>
      </c>
      <c r="D49" s="11">
        <f>SUM(D47:D48)</f>
        <v>54600</v>
      </c>
      <c r="E49" s="11">
        <f>SUM(E47:E48)</f>
        <v>54600</v>
      </c>
      <c r="F49" s="11">
        <f>SUM(F47:F48)</f>
        <v>59600</v>
      </c>
      <c r="G49" s="11">
        <f>SUM(G47:G48)</f>
        <v>79600</v>
      </c>
      <c r="H49" s="11">
        <f>SUM(H47:H48)</f>
        <v>79600</v>
      </c>
      <c r="I49" s="32">
        <f>SUM(C49:H49)</f>
        <v>328000</v>
      </c>
    </row>
    <row r="50" spans="2:9" s="8" customFormat="1" ht="19.90" customHeight="1">
      <c r="B50" s="8" t="s">
        <v>16</v>
      </c>
      <c r="C50" s="9">
        <f>-C38</f>
        <v>-300000</v>
      </c>
      <c r="D50" s="9" t="n">
        <v>0</v>
      </c>
      <c r="E50" s="9" t="n">
        <v>0</v>
      </c>
      <c r="F50" s="9" t="n">
        <v>0</v>
      </c>
      <c r="G50" s="9" t="n">
        <v>0</v>
      </c>
      <c r="H50" s="9" t="n">
        <v>0</v>
      </c>
      <c r="I50" s="32">
        <f>SUM(C50:H50)</f>
        <v>-300000</v>
      </c>
    </row>
    <row r="51" spans="2:9" s="8" customFormat="1" ht="19.90" customHeight="1">
      <c r="B51" s="12" t="s">
        <v>17</v>
      </c>
      <c r="C51" s="13" t="n">
        <v>0</v>
      </c>
      <c r="D51" s="13" t="n">
        <v>0</v>
      </c>
      <c r="E51" s="13" t="n">
        <v>0</v>
      </c>
      <c r="F51" s="13" t="n">
        <v>0</v>
      </c>
      <c r="G51" s="13" t="n">
        <v>0</v>
      </c>
      <c r="H51" s="13" t="n">
        <v>95000</v>
      </c>
      <c r="I51" s="33">
        <f>SUM(C51:H51)</f>
        <v>95000</v>
      </c>
    </row>
    <row r="52" spans="2:9" s="8" customFormat="1" ht="19.90" customHeight="1">
      <c r="B52" s="10" t="s">
        <v>18</v>
      </c>
      <c r="C52" s="11">
        <f>SUM(C49:C51)</f>
        <v>-300000</v>
      </c>
      <c r="D52" s="11">
        <f>SUM(D49:D51)</f>
        <v>54600</v>
      </c>
      <c r="E52" s="11">
        <f>SUM(E49:E51)</f>
        <v>54600</v>
      </c>
      <c r="F52" s="11">
        <f>SUM(F49:F51)</f>
        <v>59600</v>
      </c>
      <c r="G52" s="11">
        <f>SUM(G49:G51)</f>
        <v>79600</v>
      </c>
      <c r="H52" s="11">
        <f>SUM(H49:H51)</f>
        <v>174600</v>
      </c>
      <c r="I52" s="32">
        <f>SUM(C52:H52)</f>
        <v>123000</v>
      </c>
    </row>
    <row r="53" spans="3:8" s="8" customFormat="1" ht="19.90" customHeight="1">
      <c r="C53" s="9"/>
      <c r="D53" s="9"/>
      <c r="E53" s="9"/>
      <c r="F53" s="9"/>
      <c r="G53" s="9"/>
      <c r="H53" s="9"/>
    </row>
    <row r="54" spans="1:8">
      <c r="A54" s="8"/>
      <c r="B54" s="5" t="s">
        <v>19</v>
      </c>
      <c r="C54" s="4">
        <f>C52</f>
        <v>-300000</v>
      </c>
      <c r="D54" s="16">
        <f>D52</f>
        <v>54600</v>
      </c>
      <c r="E54" s="14">
        <f>E52</f>
        <v>54600</v>
      </c>
      <c r="F54" s="17">
        <f>F52</f>
        <v>59600</v>
      </c>
      <c r="G54" s="17">
        <f>G52</f>
        <v>79600</v>
      </c>
      <c r="H54" s="14">
        <f>H52</f>
        <v>174600</v>
      </c>
    </row>
    <row r="55" spans="4:8">
      <c r="D55" s="15" t="s">
        <v>33</v>
      </c>
      <c r="E55" s="15" t="s">
        <v>34</v>
      </c>
      <c r="F55" s="15" t="s">
        <v>35</v>
      </c>
      <c r="G55" s="15" t="s">
        <v>36</v>
      </c>
      <c r="H55" s="15" t="s">
        <v>37</v>
      </c>
    </row>
    <row r="57" spans="2:9">
      <c r="B57" s="5" t="s">
        <v>19</v>
      </c>
      <c r="C57" s="4">
        <f>C54</f>
        <v>-300000</v>
      </c>
      <c r="D57" s="4">
        <f>D54/(1.09)</f>
        <v>50091.7431192661024</v>
      </c>
      <c r="E57" s="4">
        <f>E54/(1.09)^2</f>
        <v>45955.7276323542028</v>
      </c>
      <c r="F57" s="4">
        <f>F54/(1.09)^3</f>
        <v>46022.1354116393995</v>
      </c>
      <c r="G57" s="4">
        <f>G54/(1.09)^4</f>
        <v>56390.6468007896983</v>
      </c>
      <c r="H57" s="4">
        <f>H54/(1.09)^5</f>
        <v>113478.020047690996</v>
      </c>
      <c r="I57" s="36">
        <f>SUM(C57:H57)</f>
        <v>11938.2730117404008</v>
      </c>
    </row>
    <row r="58" spans="2:2">
      <c r="B58" s="19"/>
    </row>
    <row r="59" spans="2:3">
      <c r="B59" s="5" t="s">
        <v>19</v>
      </c>
      <c r="C59" s="35">
        <f>C57+(D54/(1.09))+(E54/(1.09^2))+(F54/(1.09^3))+(G54/(1.09^4))+(H54/(1.09^5))</f>
        <v>11938.2730117400006</v>
      </c>
    </row>
    <row r="61" spans="2:7">
      <c r="B61" s="56" t="s">
        <v>7</v>
      </c>
      <c r="C61" s="57" t="s">
        <v>38</v>
      </c>
      <c r="D61" s="3"/>
      <c r="E61" s="58" t="s">
        <v>39</v>
      </c>
      <c r="F61" s="53">
        <f>NPV(C69,C63:C67)+C62</f>
        <v>11938.2730117400006</v>
      </c>
      <c r="G61" s="3"/>
    </row>
    <row r="62" spans="2:7">
      <c r="B62" s="19" t="n">
        <v>0</v>
      </c>
      <c r="C62" s="4">
        <f>C52</f>
        <v>-300000</v>
      </c>
      <c r="D62" s="3"/>
      <c r="E62" s="58" t="s">
        <v>41</v>
      </c>
      <c r="F62" s="54">
        <f>IRR(C62:C67)</f>
        <v>0.102482175827026989</v>
      </c>
      <c r="G62" s="11"/>
    </row>
    <row r="63" spans="2:7">
      <c r="B63" s="19" t="n">
        <v>1</v>
      </c>
      <c r="C63" s="4">
        <f>D52</f>
        <v>54600</v>
      </c>
      <c r="D63" s="3"/>
      <c r="E63" s="3"/>
      <c r="F63" s="6"/>
      <c r="G63" s="11"/>
    </row>
    <row r="64" spans="2:3">
      <c r="B64" s="19" t="n">
        <v>2</v>
      </c>
      <c r="C64" s="4">
        <f>E52</f>
        <v>54600</v>
      </c>
    </row>
    <row r="65" spans="2:3">
      <c r="B65" s="19" t="n">
        <v>3</v>
      </c>
      <c r="C65" s="4">
        <f>F52</f>
        <v>59600</v>
      </c>
    </row>
    <row r="66" spans="2:7">
      <c r="B66" s="19" t="n">
        <v>4</v>
      </c>
      <c r="C66" s="4">
        <f>G52</f>
        <v>79600</v>
      </c>
      <c r="E66" s="4" t="s">
        <v>42</v>
      </c>
      <c r="F66" s="4" t="b">
        <f>F62&gt;C69</f>
        <v>1</v>
      </c>
      <c r="G66" s="55" t="s">
        <v>43</v>
      </c>
    </row>
    <row r="67" spans="2:3">
      <c r="B67" s="19" t="n">
        <v>5</v>
      </c>
      <c r="C67" s="4">
        <f>H52</f>
        <v>174600</v>
      </c>
    </row>
    <row r="68" spans="2:4">
      <c r="B68" s="19" t="s">
        <v>44</v>
      </c>
      <c r="C68" s="4">
        <f>B67</f>
        <v>5</v>
      </c>
      <c r="D68" s="41"/>
    </row>
    <row r="69" spans="2:4">
      <c r="B69" s="19" t="s">
        <v>45</v>
      </c>
      <c r="C69" s="20">
        <f>C39</f>
        <v>0.09</v>
      </c>
      <c r="D69" s="41"/>
    </row>
    <row r="70" spans="2:4">
      <c r="B70" s="19"/>
      <c r="C70" s="20"/>
      <c r="D70" s="41"/>
    </row>
    <row r="74" spans="3:6">
      <c r="C74" s="59" t="s">
        <v>46</v>
      </c>
      <c r="D74" s="60"/>
      <c r="E74" s="60"/>
      <c r="F74" s="60"/>
    </row>
    <row r="75" spans="3:3">
      <c r="C75" s="41" t="s">
        <v>47</v>
      </c>
    </row>
    <row r="76" spans="3:3">
      <c r="C76" s="41" t="s">
        <v>48</v>
      </c>
    </row>
  </sheetData>
  <mergeCells count="9">
    <mergeCell ref="C6:H6"/>
    <mergeCell ref="B6:B7"/>
    <mergeCell ref="I6:I7"/>
    <mergeCell ref="G27:G28"/>
    <mergeCell ref="C41:H41"/>
    <mergeCell ref="B41:B42"/>
    <mergeCell ref="I41:I42"/>
    <mergeCell ref="G62:G63"/>
    <mergeCell ref="C74:F74"/>
  </mergeCells>
  <printOptions>
    <extLst>
      <ext uri="smNativeData">
        <pm:pageFlags xmlns:pm="smNativeData" id="172861918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728619189" l="56" r="56" t="56" b="56" borderId="0" fillId="0" vertical="0"/>
        <pm:footer xmlns:pm="smNativeData" id="1728619189" l="56" r="56" t="56" b="56" borderId="0" fillId="0" vertical="2"/>
      </ext>
    </extLst>
  </headerFooter>
  <extLst>
    <ext uri="smNativeData">
      <pm:sheetPrefs xmlns:pm="smNativeData" day="172861918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H34"/>
  <sheetViews>
    <sheetView view="normal" zoomScale="130" workbookViewId="0">
      <selection activeCell="B35" sqref="B35"/>
    </sheetView>
  </sheetViews>
  <sheetFormatPr baseColWidth="10" defaultColWidth="11.571429" defaultRowHeight="15.40"/>
  <cols>
    <col min="1" max="1" width="11.571429" style="25"/>
    <col min="2" max="2" width="42.285714" customWidth="1" style="25"/>
    <col min="3" max="8" width="15.714286" customWidth="1" style="25"/>
    <col min="9" max="16384" width="11.571429" style="25"/>
  </cols>
  <sheetData>
    <row r="1" spans="1:8" s="3" customFormat="1" ht="15.80">
      <c r="A1" s="25"/>
      <c r="B1" s="22" t="s">
        <v>0</v>
      </c>
      <c r="C1" s="4"/>
      <c r="D1" s="4"/>
      <c r="E1" s="4"/>
      <c r="F1" s="4"/>
      <c r="G1" s="4"/>
      <c r="H1" s="4"/>
    </row>
    <row r="2" spans="2:8" s="3" customFormat="1" ht="15.80">
      <c r="B2" s="22" t="s">
        <v>1</v>
      </c>
      <c r="C2" s="4"/>
      <c r="D2" s="4"/>
      <c r="E2" s="4"/>
      <c r="F2" s="4"/>
      <c r="G2" s="4"/>
      <c r="H2" s="4"/>
    </row>
    <row r="3" spans="2:8" s="3" customFormat="1" ht="15.80">
      <c r="B3" s="18" t="s">
        <v>2</v>
      </c>
      <c r="C3" s="6" t="n">
        <v>225000</v>
      </c>
      <c r="D3" s="4"/>
      <c r="E3" s="4"/>
      <c r="F3" s="4"/>
      <c r="G3" s="4"/>
      <c r="H3" s="4"/>
    </row>
    <row r="4" spans="2:8" s="3" customFormat="1" ht="15.80">
      <c r="B4" s="18" t="s">
        <v>3</v>
      </c>
      <c r="C4" s="21" t="n">
        <v>0.140000000000000018</v>
      </c>
      <c r="D4" s="6" t="s">
        <v>4</v>
      </c>
      <c r="E4" s="6" t="s">
        <v>5</v>
      </c>
      <c r="F4" s="4"/>
      <c r="G4" s="4"/>
      <c r="H4" s="4"/>
    </row>
    <row r="5" spans="3:8" s="3" customFormat="1" ht="15.80">
      <c r="C5" s="4"/>
      <c r="D5" s="4"/>
      <c r="E5" s="4"/>
      <c r="F5" s="4"/>
      <c r="G5" s="4"/>
      <c r="H5" s="4"/>
    </row>
    <row r="6" spans="2:8" s="3" customFormat="1" ht="15.80">
      <c r="B6" s="50" t="s">
        <v>6</v>
      </c>
      <c r="C6" s="52" t="s">
        <v>7</v>
      </c>
      <c r="D6" s="52"/>
      <c r="E6" s="52"/>
      <c r="F6" s="52"/>
      <c r="G6" s="52"/>
      <c r="H6" s="52"/>
    </row>
    <row r="7" spans="2:8" s="3" customFormat="1" ht="15.80">
      <c r="B7" s="51"/>
      <c r="C7" s="26" t="n">
        <v>0</v>
      </c>
      <c r="D7" s="26" t="n">
        <v>1</v>
      </c>
      <c r="E7" s="26" t="n">
        <v>2</v>
      </c>
      <c r="F7" s="26" t="n">
        <v>3</v>
      </c>
      <c r="G7" s="26" t="n">
        <v>4</v>
      </c>
      <c r="H7" s="26" t="n">
        <v>5</v>
      </c>
    </row>
    <row r="8" spans="2:8">
      <c r="B8" s="25" t="s">
        <v>49</v>
      </c>
      <c r="C8" s="27" t="n">
        <v>0</v>
      </c>
      <c r="D8" s="27" t="n">
        <v>75000</v>
      </c>
      <c r="E8" s="27" t="n">
        <v>75000</v>
      </c>
      <c r="F8" s="27" t="n">
        <v>75000</v>
      </c>
      <c r="G8" s="27" t="n">
        <v>90000</v>
      </c>
      <c r="H8" s="27" t="n">
        <v>90000</v>
      </c>
    </row>
    <row r="9" spans="2:8">
      <c r="B9" s="25" t="s">
        <v>10</v>
      </c>
      <c r="C9" s="27" t="n">
        <v>0</v>
      </c>
      <c r="D9" s="27" t="n">
        <v>-15000</v>
      </c>
      <c r="E9" s="27" t="n">
        <v>-15000</v>
      </c>
      <c r="F9" s="27" t="n">
        <v>-15000</v>
      </c>
      <c r="G9" s="27" t="n">
        <v>-15000</v>
      </c>
      <c r="H9" s="27" t="n">
        <v>-15000</v>
      </c>
    </row>
    <row r="10" spans="2:8">
      <c r="B10" s="25" t="s">
        <v>11</v>
      </c>
      <c r="C10" s="27" t="n">
        <v>0</v>
      </c>
      <c r="D10" s="27">
        <f>-600*2</f>
        <v>-1200</v>
      </c>
      <c r="E10" s="27">
        <f>-600*2</f>
        <v>-1200</v>
      </c>
      <c r="F10" s="27">
        <f>-600*2</f>
        <v>-1200</v>
      </c>
      <c r="G10" s="27">
        <f>-600*2</f>
        <v>-1200</v>
      </c>
      <c r="H10" s="27">
        <f>-600*2</f>
        <v>-1200</v>
      </c>
    </row>
    <row r="11" spans="2:8">
      <c r="B11" s="25" t="s">
        <v>50</v>
      </c>
      <c r="C11" s="29" t="n">
        <v>0</v>
      </c>
      <c r="D11" s="29">
        <f>-$C$3*10%</f>
        <v>-22500</v>
      </c>
      <c r="E11" s="29">
        <f>-$C$3*10%</f>
        <v>-22500</v>
      </c>
      <c r="F11" s="29">
        <f>-$C$3*10%</f>
        <v>-22500</v>
      </c>
      <c r="G11" s="29">
        <f>-$C$3*10%</f>
        <v>-22500</v>
      </c>
      <c r="H11" s="29">
        <f>-$C$3*10%</f>
        <v>-22500</v>
      </c>
    </row>
    <row r="12" spans="2:8">
      <c r="B12" s="28" t="s">
        <v>51</v>
      </c>
      <c r="C12" s="30">
        <f>C8-(SUM(C9:C11))</f>
        <v>0</v>
      </c>
      <c r="D12" s="30">
        <f>D8+(SUM(D9:D11))</f>
        <v>36300</v>
      </c>
      <c r="E12" s="30">
        <f>E8+(SUM(E9:E11))</f>
        <v>36300</v>
      </c>
      <c r="F12" s="30">
        <f>F8+(SUM(F9:F11))</f>
        <v>36300</v>
      </c>
      <c r="G12" s="30">
        <f>G8+(SUM(G9:G11))</f>
        <v>51300</v>
      </c>
      <c r="H12" s="30">
        <f>H8+(SUM(H9:H11))</f>
        <v>51300</v>
      </c>
    </row>
    <row r="13" spans="2:8">
      <c r="B13" s="25" t="s">
        <v>14</v>
      </c>
      <c r="C13" s="29" t="n">
        <v>0</v>
      </c>
      <c r="D13" s="29">
        <f>-D11</f>
        <v>22500</v>
      </c>
      <c r="E13" s="29">
        <f>-E11</f>
        <v>22500</v>
      </c>
      <c r="F13" s="29">
        <f>-F11</f>
        <v>22500</v>
      </c>
      <c r="G13" s="29">
        <f>-G11</f>
        <v>22500</v>
      </c>
      <c r="H13" s="29">
        <f>-H11</f>
        <v>22500</v>
      </c>
    </row>
    <row r="14" spans="2:8">
      <c r="B14" s="28" t="s">
        <v>52</v>
      </c>
      <c r="C14" s="30">
        <f>SUM(C12:C13)</f>
        <v>0</v>
      </c>
      <c r="D14" s="30">
        <f>SUM(D12:D13)</f>
        <v>58800</v>
      </c>
      <c r="E14" s="30">
        <f>SUM(E12:E13)</f>
        <v>58800</v>
      </c>
      <c r="F14" s="30">
        <f>SUM(F12:F13)</f>
        <v>58800</v>
      </c>
      <c r="G14" s="30">
        <f>SUM(G12:G13)</f>
        <v>73800</v>
      </c>
      <c r="H14" s="30">
        <f>SUM(H12:H13)</f>
        <v>73800</v>
      </c>
    </row>
    <row r="15" spans="2:8">
      <c r="B15" s="25" t="s">
        <v>16</v>
      </c>
      <c r="C15" s="27" t="n">
        <v>-225000</v>
      </c>
      <c r="D15" s="27" t="n">
        <v>0</v>
      </c>
      <c r="E15" s="27" t="n">
        <v>0</v>
      </c>
      <c r="F15" s="27" t="n">
        <v>0</v>
      </c>
      <c r="G15" s="27" t="n">
        <v>0</v>
      </c>
      <c r="H15" s="27" t="n">
        <v>0</v>
      </c>
    </row>
    <row r="16" spans="2:8">
      <c r="B16" s="25" t="s">
        <v>17</v>
      </c>
      <c r="C16" s="29" t="n">
        <v>0</v>
      </c>
      <c r="D16" s="29" t="n">
        <v>0</v>
      </c>
      <c r="E16" s="29" t="n">
        <v>0</v>
      </c>
      <c r="F16" s="29" t="n">
        <v>0</v>
      </c>
      <c r="G16" s="29" t="n">
        <v>0</v>
      </c>
      <c r="H16" s="29" t="n">
        <v>95000</v>
      </c>
    </row>
    <row r="17" spans="2:8">
      <c r="B17" s="28" t="s">
        <v>38</v>
      </c>
      <c r="C17" s="31">
        <f>SUM(C14:C16)</f>
        <v>-225000</v>
      </c>
      <c r="D17" s="31">
        <f>SUM(D14:D16)</f>
        <v>58800</v>
      </c>
      <c r="E17" s="31">
        <f>SUM(E14:E16)</f>
        <v>58800</v>
      </c>
      <c r="F17" s="31">
        <f>SUM(F14:F16)</f>
        <v>58800</v>
      </c>
      <c r="G17" s="31">
        <f>SUM(G14:G16)</f>
        <v>73800</v>
      </c>
      <c r="H17" s="31">
        <f>SUM(H14:H16)</f>
        <v>168800</v>
      </c>
    </row>
    <row r="18" spans="3:8">
      <c r="C18" s="27"/>
      <c r="D18" s="27"/>
      <c r="E18" s="27"/>
      <c r="F18" s="27"/>
      <c r="G18" s="27"/>
      <c r="H18" s="27"/>
    </row>
    <row r="19" spans="2:8" s="3" customFormat="1" ht="15.80">
      <c r="B19" s="22" t="s">
        <v>31</v>
      </c>
      <c r="C19" s="4"/>
      <c r="D19" s="4"/>
      <c r="E19" s="4"/>
      <c r="F19" s="4"/>
      <c r="G19" s="4"/>
      <c r="H19" s="4"/>
    </row>
    <row r="20" spans="2:8" s="3" customFormat="1" ht="15.80">
      <c r="B20" s="18" t="s">
        <v>2</v>
      </c>
      <c r="C20" s="6" t="n">
        <v>300000</v>
      </c>
      <c r="D20" s="4"/>
      <c r="E20" s="4"/>
      <c r="F20" s="4"/>
      <c r="G20" s="4"/>
      <c r="H20" s="4"/>
    </row>
    <row r="21" spans="2:8" s="3" customFormat="1" ht="15.80">
      <c r="B21" s="18" t="s">
        <v>3</v>
      </c>
      <c r="C21" s="21" t="n">
        <v>0.09</v>
      </c>
      <c r="D21" s="6" t="s">
        <v>4</v>
      </c>
      <c r="E21" s="6" t="s">
        <v>5</v>
      </c>
      <c r="F21" s="4"/>
      <c r="G21" s="4"/>
      <c r="H21" s="4"/>
    </row>
    <row r="22" spans="3:8" s="3" customFormat="1" ht="15.80">
      <c r="C22" s="4"/>
      <c r="D22" s="4"/>
      <c r="E22" s="4"/>
      <c r="F22" s="4"/>
      <c r="G22" s="4"/>
      <c r="H22" s="4"/>
    </row>
    <row r="23" spans="2:8" s="3" customFormat="1" ht="15.80">
      <c r="B23" s="50" t="s">
        <v>6</v>
      </c>
      <c r="C23" s="52" t="s">
        <v>7</v>
      </c>
      <c r="D23" s="52"/>
      <c r="E23" s="52"/>
      <c r="F23" s="52"/>
      <c r="G23" s="52"/>
      <c r="H23" s="52"/>
    </row>
    <row r="24" spans="2:8" s="3" customFormat="1" ht="15.80">
      <c r="B24" s="51"/>
      <c r="C24" s="26" t="n">
        <v>0</v>
      </c>
      <c r="D24" s="26" t="n">
        <v>1</v>
      </c>
      <c r="E24" s="26" t="n">
        <v>2</v>
      </c>
      <c r="F24" s="26" t="n">
        <v>3</v>
      </c>
      <c r="G24" s="26" t="n">
        <v>4</v>
      </c>
      <c r="H24" s="26" t="n">
        <v>5</v>
      </c>
    </row>
    <row r="25" spans="2:8">
      <c r="B25" s="25" t="s">
        <v>49</v>
      </c>
      <c r="C25" s="27" t="n">
        <v>0</v>
      </c>
      <c r="D25" s="27" t="n">
        <v>70000</v>
      </c>
      <c r="E25" s="27" t="n">
        <v>70000</v>
      </c>
      <c r="F25" s="27" t="n">
        <v>75000</v>
      </c>
      <c r="G25" s="27" t="n">
        <v>95000</v>
      </c>
      <c r="H25" s="27" t="n">
        <v>95000</v>
      </c>
    </row>
    <row r="26" spans="2:8">
      <c r="B26" s="25" t="s">
        <v>10</v>
      </c>
      <c r="C26" s="27" t="n">
        <v>0</v>
      </c>
      <c r="D26" s="27" t="n">
        <v>-14000</v>
      </c>
      <c r="E26" s="27" t="n">
        <v>-14000</v>
      </c>
      <c r="F26" s="27" t="n">
        <v>-14000</v>
      </c>
      <c r="G26" s="27" t="n">
        <v>-14000</v>
      </c>
      <c r="H26" s="27" t="n">
        <v>-14000</v>
      </c>
    </row>
    <row r="27" spans="2:8">
      <c r="B27" s="25" t="s">
        <v>11</v>
      </c>
      <c r="C27" s="27" t="n">
        <v>0</v>
      </c>
      <c r="D27" s="27">
        <f>-700*2</f>
        <v>-1400</v>
      </c>
      <c r="E27" s="27">
        <f>-700*2</f>
        <v>-1400</v>
      </c>
      <c r="F27" s="27">
        <f>-700*2</f>
        <v>-1400</v>
      </c>
      <c r="G27" s="27">
        <f>-700*2</f>
        <v>-1400</v>
      </c>
      <c r="H27" s="27">
        <f>-700*2</f>
        <v>-1400</v>
      </c>
    </row>
    <row r="28" spans="2:8">
      <c r="B28" s="25" t="s">
        <v>53</v>
      </c>
      <c r="C28" s="29" t="n">
        <v>0</v>
      </c>
      <c r="D28" s="29">
        <f>-$C$20*15%</f>
        <v>-45000</v>
      </c>
      <c r="E28" s="29">
        <f>-$C$20*15%</f>
        <v>-45000</v>
      </c>
      <c r="F28" s="29">
        <f>-$C$20*15%</f>
        <v>-45000</v>
      </c>
      <c r="G28" s="29">
        <f>-$C$20*15%</f>
        <v>-45000</v>
      </c>
      <c r="H28" s="29">
        <f>-$C$20*15%</f>
        <v>-45000</v>
      </c>
    </row>
    <row r="29" spans="2:8">
      <c r="B29" s="28" t="s">
        <v>51</v>
      </c>
      <c r="C29" s="30">
        <f>C25-(SUM(C26:C28))</f>
        <v>0</v>
      </c>
      <c r="D29" s="30">
        <f>D25+(SUM(D26:D28))</f>
        <v>9600</v>
      </c>
      <c r="E29" s="30">
        <f>E25+(SUM(E26:E28))</f>
        <v>9600</v>
      </c>
      <c r="F29" s="30">
        <f>F25+(SUM(F26:F28))</f>
        <v>14600</v>
      </c>
      <c r="G29" s="30">
        <f>G25+(SUM(G26:G28))</f>
        <v>34600</v>
      </c>
      <c r="H29" s="30">
        <f>H25+(SUM(H26:H28))</f>
        <v>34600</v>
      </c>
    </row>
    <row r="30" spans="2:8">
      <c r="B30" s="25" t="s">
        <v>14</v>
      </c>
      <c r="C30" s="29" t="n">
        <v>0</v>
      </c>
      <c r="D30" s="29">
        <f>-D28</f>
        <v>45000</v>
      </c>
      <c r="E30" s="29">
        <f>-E28</f>
        <v>45000</v>
      </c>
      <c r="F30" s="29">
        <f>-F28</f>
        <v>45000</v>
      </c>
      <c r="G30" s="29">
        <f>-G28</f>
        <v>45000</v>
      </c>
      <c r="H30" s="29">
        <f>-H28</f>
        <v>45000</v>
      </c>
    </row>
    <row r="31" spans="2:8">
      <c r="B31" s="28" t="s">
        <v>52</v>
      </c>
      <c r="C31" s="30">
        <f>SUM(C29:C30)</f>
        <v>0</v>
      </c>
      <c r="D31" s="30">
        <f>SUM(D29:D30)</f>
        <v>54600</v>
      </c>
      <c r="E31" s="30">
        <f>SUM(E29:E30)</f>
        <v>54600</v>
      </c>
      <c r="F31" s="30">
        <f>SUM(F29:F30)</f>
        <v>59600</v>
      </c>
      <c r="G31" s="30">
        <f>SUM(G29:G30)</f>
        <v>79600</v>
      </c>
      <c r="H31" s="30">
        <f>SUM(H29:H30)</f>
        <v>79600</v>
      </c>
    </row>
    <row r="32" spans="2:8">
      <c r="B32" s="25" t="s">
        <v>16</v>
      </c>
      <c r="C32" s="27">
        <f>-C20</f>
        <v>-300000</v>
      </c>
      <c r="D32" s="27" t="n">
        <v>0</v>
      </c>
      <c r="E32" s="27" t="n">
        <v>0</v>
      </c>
      <c r="F32" s="27" t="n">
        <v>0</v>
      </c>
      <c r="G32" s="27" t="n">
        <v>0</v>
      </c>
      <c r="H32" s="27" t="n">
        <v>0</v>
      </c>
    </row>
    <row r="33" spans="2:8">
      <c r="B33" s="25" t="s">
        <v>17</v>
      </c>
      <c r="C33" s="29" t="n">
        <v>0</v>
      </c>
      <c r="D33" s="29" t="n">
        <v>0</v>
      </c>
      <c r="E33" s="29" t="n">
        <v>0</v>
      </c>
      <c r="F33" s="29" t="n">
        <v>0</v>
      </c>
      <c r="G33" s="29" t="n">
        <v>0</v>
      </c>
      <c r="H33" s="29" t="n">
        <v>95000</v>
      </c>
    </row>
    <row r="34" spans="2:8">
      <c r="B34" s="28" t="s">
        <v>38</v>
      </c>
      <c r="C34" s="31">
        <f>SUM(C31:C33)</f>
        <v>-300000</v>
      </c>
      <c r="D34" s="31">
        <f>SUM(D31:D33)</f>
        <v>54600</v>
      </c>
      <c r="E34" s="31">
        <f>SUM(E31:E33)</f>
        <v>54600</v>
      </c>
      <c r="F34" s="31">
        <f>SUM(F31:F33)</f>
        <v>59600</v>
      </c>
      <c r="G34" s="31">
        <f>SUM(G31:G33)</f>
        <v>79600</v>
      </c>
      <c r="H34" s="31">
        <f>SUM(H31:H33)</f>
        <v>174600</v>
      </c>
    </row>
  </sheetData>
  <mergeCells count="4">
    <mergeCell ref="C6:H6"/>
    <mergeCell ref="B6:B7"/>
    <mergeCell ref="C23:H23"/>
    <mergeCell ref="B23:B24"/>
  </mergeCells>
  <printOptions>
    <extLst>
      <ext uri="smNativeData">
        <pm:pageFlags xmlns:pm="smNativeData" id="172861918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/>
  <headerFooter>
    <extLst>
      <ext uri="smNativeData">
        <pm:header xmlns:pm="smNativeData" id="1728619189" l="56" r="56" t="56" b="56" borderId="0" fillId="0" vertical="0"/>
        <pm:footer xmlns:pm="smNativeData" id="1728619189" l="56" r="56" t="56" b="56" borderId="0" fillId="0" vertical="2"/>
      </ext>
    </extLst>
  </headerFooter>
  <extLst>
    <ext uri="smNativeData">
      <pm:sheetPrefs xmlns:pm="smNativeData" day="172861918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B1:J121"/>
  <sheetViews>
    <sheetView tabSelected="1" view="normal" topLeftCell="A83" zoomScale="80" workbookViewId="0">
      <selection activeCell="E122" sqref="E122"/>
    </sheetView>
  </sheetViews>
  <sheetFormatPr baseColWidth="9" defaultColWidth="10.000000" defaultRowHeight="15.40"/>
  <cols>
    <col min="2" max="2" width="34.642857" customWidth="1"/>
    <col min="3" max="10" width="21.812500" customWidth="1"/>
  </cols>
  <sheetData>
    <row r="1" spans="2:10">
      <c r="B1" s="22" t="s">
        <v>0</v>
      </c>
      <c r="C1" s="4"/>
      <c r="D1" s="4"/>
      <c r="E1" s="4"/>
      <c r="F1" s="4"/>
      <c r="G1" s="4"/>
      <c r="H1" s="4"/>
      <c r="I1" s="4"/>
      <c r="J1" s="3"/>
    </row>
    <row r="2" spans="2:10">
      <c r="B2" s="22" t="s">
        <v>1</v>
      </c>
      <c r="C2" s="4"/>
      <c r="D2" s="4"/>
      <c r="E2" s="4"/>
      <c r="F2" s="4"/>
      <c r="G2" s="4"/>
      <c r="H2" s="4"/>
      <c r="I2" s="4"/>
      <c r="J2" s="3"/>
    </row>
    <row r="3" spans="2:10">
      <c r="B3" s="18" t="s">
        <v>2</v>
      </c>
      <c r="C3" s="6" t="n">
        <v>425000</v>
      </c>
      <c r="D3" s="4"/>
      <c r="E3" s="4"/>
      <c r="F3" s="4"/>
      <c r="G3" s="4"/>
      <c r="H3" s="4"/>
      <c r="I3" s="4"/>
      <c r="J3" s="3"/>
    </row>
    <row r="4" spans="2:10">
      <c r="B4" s="18" t="s">
        <v>3</v>
      </c>
      <c r="C4" s="21" t="n">
        <v>0.119999999999999996</v>
      </c>
      <c r="D4" s="6" t="s">
        <v>4</v>
      </c>
      <c r="E4" s="6" t="s">
        <v>54</v>
      </c>
      <c r="F4" s="4"/>
      <c r="G4" s="4"/>
      <c r="H4" s="4"/>
      <c r="I4" s="4"/>
      <c r="J4" s="3"/>
    </row>
    <row r="5" spans="2:10">
      <c r="B5" s="3"/>
      <c r="C5" s="4"/>
      <c r="D5" s="4"/>
      <c r="E5" s="4"/>
      <c r="F5" s="4"/>
      <c r="G5" s="4"/>
      <c r="H5" s="4"/>
      <c r="I5" s="4"/>
      <c r="J5" s="3"/>
    </row>
    <row r="6" spans="2:10">
      <c r="B6" s="44" t="s">
        <v>6</v>
      </c>
      <c r="C6" s="46" t="s">
        <v>7</v>
      </c>
      <c r="D6" s="46"/>
      <c r="E6" s="46"/>
      <c r="F6" s="46"/>
      <c r="G6" s="46"/>
      <c r="H6" s="46"/>
      <c r="I6" s="46"/>
      <c r="J6" s="44" t="s">
        <v>8</v>
      </c>
    </row>
    <row r="7" spans="2:10">
      <c r="B7" s="45"/>
      <c r="C7" s="7" t="n">
        <v>0</v>
      </c>
      <c r="D7" s="7" t="n">
        <v>1</v>
      </c>
      <c r="E7" s="7" t="n">
        <v>2</v>
      </c>
      <c r="F7" s="7" t="n">
        <v>3</v>
      </c>
      <c r="G7" s="7" t="n">
        <v>4</v>
      </c>
      <c r="H7" s="7" t="n">
        <v>5</v>
      </c>
      <c r="I7" s="7" t="n">
        <v>6</v>
      </c>
      <c r="J7" s="45"/>
    </row>
    <row r="8" spans="2:10">
      <c r="B8" s="8" t="s">
        <v>9</v>
      </c>
      <c r="C8" s="61" t="n">
        <v>0</v>
      </c>
      <c r="D8" s="62" t="n">
        <v>115000</v>
      </c>
      <c r="E8" s="62">
        <f>D8</f>
        <v>115000</v>
      </c>
      <c r="F8" s="62" t="n">
        <v>125000</v>
      </c>
      <c r="G8" s="62">
        <f>F8</f>
        <v>125000</v>
      </c>
      <c r="H8" s="62" t="n">
        <v>135000</v>
      </c>
      <c r="I8" s="62">
        <f>H8</f>
        <v>135000</v>
      </c>
      <c r="J8" s="63">
        <f>SUM(C8:I8)</f>
        <v>750000</v>
      </c>
    </row>
    <row r="9" spans="2:10">
      <c r="B9" s="8" t="s">
        <v>10</v>
      </c>
      <c r="C9" s="61" t="n">
        <v>0</v>
      </c>
      <c r="D9" s="61" t="n">
        <v>-22000</v>
      </c>
      <c r="E9" s="61">
        <f>D9</f>
        <v>-22000</v>
      </c>
      <c r="F9" s="61">
        <f>E9</f>
        <v>-22000</v>
      </c>
      <c r="G9" s="61">
        <f>F9</f>
        <v>-22000</v>
      </c>
      <c r="H9" s="61">
        <f>G9</f>
        <v>-22000</v>
      </c>
      <c r="I9" s="61">
        <f>H9</f>
        <v>-22000</v>
      </c>
      <c r="J9" s="63">
        <f>SUM(C9:I9)</f>
        <v>-132000</v>
      </c>
    </row>
    <row r="10" spans="2:10">
      <c r="B10" s="8" t="s">
        <v>11</v>
      </c>
      <c r="C10" s="61" t="n">
        <v>0</v>
      </c>
      <c r="D10" s="61">
        <f>-400*3</f>
        <v>-1200</v>
      </c>
      <c r="E10" s="61">
        <f>D10</f>
        <v>-1200</v>
      </c>
      <c r="F10" s="61">
        <f>E10</f>
        <v>-1200</v>
      </c>
      <c r="G10" s="61">
        <f>F10</f>
        <v>-1200</v>
      </c>
      <c r="H10" s="61">
        <f>G10</f>
        <v>-1200</v>
      </c>
      <c r="I10" s="61">
        <f>H10</f>
        <v>-1200</v>
      </c>
      <c r="J10" s="63">
        <f>SUM(C10:I10)</f>
        <v>-7200</v>
      </c>
    </row>
    <row r="11" spans="2:10">
      <c r="B11" s="12" t="s">
        <v>12</v>
      </c>
      <c r="C11" s="64" t="n">
        <v>0</v>
      </c>
      <c r="D11" s="64">
        <f>-C3*0.1</f>
        <v>-42500</v>
      </c>
      <c r="E11" s="64">
        <f>D11</f>
        <v>-42500</v>
      </c>
      <c r="F11" s="64">
        <f>E11</f>
        <v>-42500</v>
      </c>
      <c r="G11" s="64">
        <f>F11</f>
        <v>-42500</v>
      </c>
      <c r="H11" s="64">
        <f>G11</f>
        <v>-42500</v>
      </c>
      <c r="I11" s="64">
        <f>H11</f>
        <v>-42500</v>
      </c>
      <c r="J11" s="65">
        <f>SUM(C11:I11)</f>
        <v>-255000</v>
      </c>
    </row>
    <row r="12" spans="2:10">
      <c r="B12" s="10" t="s">
        <v>13</v>
      </c>
      <c r="C12" s="66">
        <f>C8-(SUM(C9:C11))</f>
        <v>0</v>
      </c>
      <c r="D12" s="66">
        <f>D8+(SUM(D9:D11))</f>
        <v>49300</v>
      </c>
      <c r="E12" s="66">
        <f>E8+(SUM(E9:E11))</f>
        <v>49300</v>
      </c>
      <c r="F12" s="66">
        <f>F8+(SUM(F9:F11))</f>
        <v>59300</v>
      </c>
      <c r="G12" s="66">
        <f>G8+(SUM(G9:G11))</f>
        <v>59300</v>
      </c>
      <c r="H12" s="66">
        <f>H8+(SUM(H9:H11))</f>
        <v>69300</v>
      </c>
      <c r="I12" s="66">
        <f>I8+(SUM(I9:I11))</f>
        <v>69300</v>
      </c>
      <c r="J12" s="63">
        <f>SUM(C12:I12)</f>
        <v>355800</v>
      </c>
    </row>
    <row r="13" spans="2:10">
      <c r="B13" s="12" t="s">
        <v>14</v>
      </c>
      <c r="C13" s="64" t="n">
        <v>0</v>
      </c>
      <c r="D13" s="64">
        <f>-D11</f>
        <v>42500</v>
      </c>
      <c r="E13" s="64">
        <f>-E11</f>
        <v>42500</v>
      </c>
      <c r="F13" s="64">
        <f>-F11</f>
        <v>42500</v>
      </c>
      <c r="G13" s="64">
        <f>-G11</f>
        <v>42500</v>
      </c>
      <c r="H13" s="64">
        <f>-H11</f>
        <v>42500</v>
      </c>
      <c r="I13" s="64">
        <f>-I11</f>
        <v>42500</v>
      </c>
      <c r="J13" s="65">
        <f>SUM(C13:I13)</f>
        <v>255000</v>
      </c>
    </row>
    <row r="14" spans="2:10">
      <c r="B14" s="10" t="s">
        <v>15</v>
      </c>
      <c r="C14" s="66">
        <f>SUM(C12:C13)</f>
        <v>0</v>
      </c>
      <c r="D14" s="66">
        <f>SUM(D12:D13)</f>
        <v>91800</v>
      </c>
      <c r="E14" s="66">
        <f>SUM(E12:E13)</f>
        <v>91800</v>
      </c>
      <c r="F14" s="66">
        <f>SUM(F12:F13)</f>
        <v>101800</v>
      </c>
      <c r="G14" s="66">
        <f>SUM(G12:G13)</f>
        <v>101800</v>
      </c>
      <c r="H14" s="66">
        <f>SUM(H12:H13)</f>
        <v>111800</v>
      </c>
      <c r="I14" s="66">
        <f>SUM(I12:I13)</f>
        <v>111800</v>
      </c>
      <c r="J14" s="63">
        <f>SUM(C14:I14)</f>
        <v>610800</v>
      </c>
    </row>
    <row r="15" spans="2:10">
      <c r="B15" s="8" t="s">
        <v>16</v>
      </c>
      <c r="C15" s="61">
        <f>-C3</f>
        <v>-425000</v>
      </c>
      <c r="D15" s="61" t="n">
        <v>0</v>
      </c>
      <c r="E15" s="61" t="n">
        <v>0</v>
      </c>
      <c r="F15" s="61" t="n">
        <v>0</v>
      </c>
      <c r="G15" s="61" t="n">
        <v>0</v>
      </c>
      <c r="H15" s="61" t="n">
        <v>0</v>
      </c>
      <c r="I15" s="61" t="n">
        <v>0</v>
      </c>
      <c r="J15" s="63">
        <f>SUM(C15:I15)</f>
        <v>-425000</v>
      </c>
    </row>
    <row r="16" spans="2:10">
      <c r="B16" s="12" t="s">
        <v>17</v>
      </c>
      <c r="C16" s="64" t="n">
        <v>0</v>
      </c>
      <c r="D16" s="64" t="n">
        <v>0</v>
      </c>
      <c r="E16" s="64" t="n">
        <v>0</v>
      </c>
      <c r="F16" s="64" t="n">
        <v>0</v>
      </c>
      <c r="G16" s="64" t="n">
        <v>0</v>
      </c>
      <c r="H16" s="64">
        <f>G16</f>
        <v>0</v>
      </c>
      <c r="I16" s="64" t="n">
        <v>65000</v>
      </c>
      <c r="J16" s="65">
        <f>SUM(C16:I16)</f>
        <v>65000</v>
      </c>
    </row>
    <row r="17" spans="2:10">
      <c r="B17" s="10" t="s">
        <v>18</v>
      </c>
      <c r="C17" s="66">
        <f>SUM(C14:C16)</f>
        <v>-425000</v>
      </c>
      <c r="D17" s="66">
        <f>SUM(D14:D16)</f>
        <v>91800</v>
      </c>
      <c r="E17" s="66">
        <f>SUM(E14:E16)</f>
        <v>91800</v>
      </c>
      <c r="F17" s="66">
        <f>SUM(F14:F16)</f>
        <v>101800</v>
      </c>
      <c r="G17" s="66">
        <f>SUM(G14:G16)</f>
        <v>101800</v>
      </c>
      <c r="H17" s="66">
        <f>SUM(H14:H16)</f>
        <v>111800</v>
      </c>
      <c r="I17" s="66">
        <f>SUM(I14:I16)</f>
        <v>176800</v>
      </c>
      <c r="J17" s="63">
        <f>SUM(C17:I17)</f>
        <v>250800</v>
      </c>
    </row>
    <row r="18" spans="2:10">
      <c r="B18" s="8"/>
      <c r="C18" s="61"/>
      <c r="D18" s="61"/>
      <c r="E18" s="61"/>
      <c r="F18" s="61"/>
      <c r="G18" s="61"/>
      <c r="H18" s="61"/>
      <c r="I18" s="61"/>
      <c r="J18" s="67"/>
    </row>
    <row r="19" spans="2:10">
      <c r="B19" s="5" t="s">
        <v>19</v>
      </c>
      <c r="C19" s="61">
        <f>C17</f>
        <v>-425000</v>
      </c>
      <c r="D19" s="68">
        <f>D17</f>
        <v>91800</v>
      </c>
      <c r="E19" s="69">
        <f>E17</f>
        <v>91800</v>
      </c>
      <c r="F19" s="68">
        <f>F17</f>
        <v>101800</v>
      </c>
      <c r="G19" s="68">
        <f>G17</f>
        <v>101800</v>
      </c>
      <c r="H19" s="69">
        <f>H17</f>
        <v>111800</v>
      </c>
      <c r="I19" s="69">
        <f>I17</f>
        <v>176800</v>
      </c>
      <c r="J19" s="69">
        <f>J17</f>
        <v>250800</v>
      </c>
    </row>
    <row r="20" spans="2:10">
      <c r="B20" s="3"/>
      <c r="C20" s="61"/>
      <c r="D20" s="79">
        <f>(1+C$4)^D7</f>
        <v>1.12000000000000011</v>
      </c>
      <c r="E20" s="79">
        <f>(1+$C4)^E7</f>
        <v>1.25439999999999996</v>
      </c>
      <c r="F20" s="79">
        <f>(1+$C4)^F7</f>
        <v>1.40492799999999995</v>
      </c>
      <c r="G20" s="79">
        <f>(1+$C4)^G7</f>
        <v>1.57351935999999988</v>
      </c>
      <c r="H20" s="79">
        <f>(1+$C4)^H7</f>
        <v>1.76234168320000002</v>
      </c>
      <c r="I20" s="79">
        <f>(1+$C4)^I7</f>
        <v>1.97382268518400004</v>
      </c>
      <c r="J20" s="79"/>
    </row>
    <row r="21" spans="2:10">
      <c r="B21" s="3"/>
      <c r="C21" s="61"/>
      <c r="D21" s="61"/>
      <c r="E21" s="61"/>
      <c r="F21" s="61"/>
      <c r="G21" s="61"/>
      <c r="H21" s="61"/>
      <c r="I21" s="61"/>
      <c r="J21" s="70"/>
    </row>
    <row r="22" spans="2:10">
      <c r="B22" s="5" t="s">
        <v>19</v>
      </c>
      <c r="C22" s="61">
        <f>C19</f>
        <v>-425000</v>
      </c>
      <c r="D22" s="61">
        <f>D19/D20</f>
        <v>81964.2857142856956</v>
      </c>
      <c r="E22" s="61">
        <f>E19/E20</f>
        <v>73182.3979591836978</v>
      </c>
      <c r="F22" s="61">
        <f>F19/F20</f>
        <v>72459.2292274053034</v>
      </c>
      <c r="G22" s="61">
        <f>G19/G20</f>
        <v>64695.7403816118021</v>
      </c>
      <c r="H22" s="61">
        <f>H19/H20</f>
        <v>63438.3224693394004</v>
      </c>
      <c r="I22" s="61">
        <f>I19/I20</f>
        <v>89572.3822241503949</v>
      </c>
      <c r="J22" s="71">
        <f>SUM(C22:I22)</f>
        <v>20312.3579759763015</v>
      </c>
    </row>
    <row r="23" spans="2:10">
      <c r="B23" s="5"/>
      <c r="C23" s="72"/>
      <c r="D23" s="72"/>
      <c r="E23" s="72"/>
      <c r="F23" s="72"/>
      <c r="G23" s="72"/>
      <c r="H23" s="72"/>
      <c r="I23" s="72"/>
      <c r="J23" s="73"/>
    </row>
    <row r="24" spans="2:10">
      <c r="B24" s="5" t="s">
        <v>19</v>
      </c>
      <c r="C24" s="73">
        <f>SUM(C22:I22)</f>
        <v>20312.3579759763015</v>
      </c>
      <c r="D24" s="72"/>
      <c r="E24" s="72"/>
      <c r="F24" s="72"/>
      <c r="G24" s="72"/>
      <c r="H24" s="72"/>
      <c r="I24" s="72"/>
      <c r="J24" s="74"/>
    </row>
    <row r="25" spans="2:10">
      <c r="B25" s="5"/>
      <c r="C25" s="35"/>
      <c r="D25" s="4"/>
      <c r="E25" s="4"/>
      <c r="F25" s="4"/>
      <c r="G25" s="4"/>
      <c r="H25" s="4"/>
      <c r="I25" s="4"/>
      <c r="J25" s="3"/>
    </row>
    <row r="26" spans="2:10">
      <c r="B26" s="56" t="s">
        <v>7</v>
      </c>
      <c r="C26" s="57" t="s">
        <v>38</v>
      </c>
      <c r="D26" s="3"/>
      <c r="E26" s="58" t="s">
        <v>39</v>
      </c>
      <c r="F26" s="74">
        <f>NPV(C35,C28:C33)+C27</f>
        <v>20312.3579759759996</v>
      </c>
      <c r="G26" s="3"/>
      <c r="H26" s="3"/>
      <c r="I26" s="3"/>
      <c r="J26" s="3"/>
    </row>
    <row r="27" spans="2:10">
      <c r="B27" s="19" t="n">
        <v>0</v>
      </c>
      <c r="C27" s="75">
        <f>C17</f>
        <v>-425000</v>
      </c>
      <c r="D27" s="3"/>
      <c r="E27" s="58" t="s">
        <v>41</v>
      </c>
      <c r="F27" s="54">
        <f>IRR(C27:C33)</f>
        <v>0.135127401351929</v>
      </c>
      <c r="G27" s="11"/>
      <c r="H27" s="4"/>
      <c r="I27" s="4"/>
      <c r="J27" s="3"/>
    </row>
    <row r="28" spans="2:10">
      <c r="B28" s="19">
        <f>B27+1</f>
        <v>1</v>
      </c>
      <c r="C28" s="75">
        <f>D17</f>
        <v>91800</v>
      </c>
      <c r="D28" s="3"/>
      <c r="E28" s="3"/>
      <c r="F28" s="6"/>
      <c r="G28" s="11"/>
      <c r="H28" s="4"/>
      <c r="I28" s="4"/>
      <c r="J28" s="3"/>
    </row>
    <row r="29" spans="2:10">
      <c r="B29" s="19">
        <f>B28+1</f>
        <v>2</v>
      </c>
      <c r="C29" s="75">
        <f>E17</f>
        <v>91800</v>
      </c>
      <c r="D29" s="4"/>
      <c r="E29" s="4"/>
      <c r="F29" s="4"/>
      <c r="G29" s="4"/>
      <c r="H29" s="4"/>
      <c r="I29" s="4"/>
      <c r="J29" s="3"/>
    </row>
    <row r="30" spans="2:10">
      <c r="B30" s="19">
        <f>B29+1</f>
        <v>3</v>
      </c>
      <c r="C30" s="75">
        <f>F17</f>
        <v>101800</v>
      </c>
      <c r="D30" s="4"/>
      <c r="E30" s="4"/>
      <c r="F30" s="4"/>
      <c r="G30" s="4"/>
      <c r="H30" s="4"/>
      <c r="I30" s="4"/>
      <c r="J30" s="3"/>
    </row>
    <row r="31" spans="2:10">
      <c r="B31" s="19">
        <f>B30+1</f>
        <v>4</v>
      </c>
      <c r="C31" s="75">
        <f>G17</f>
        <v>101800</v>
      </c>
      <c r="D31" s="4"/>
      <c r="E31" s="4" t="s">
        <v>42</v>
      </c>
      <c r="F31" s="4" t="b">
        <f>F27&gt;C35</f>
        <v>1</v>
      </c>
      <c r="G31" s="55" t="str">
        <f>IF(F31,"SI ES ACEPTABLE LA PROPUESTA","LA PROPUESTA NO ES RENTABLE")</f>
        <v>SI ES ACEPTABLE LA PROPUESTA</v>
      </c>
      <c r="H31" s="4"/>
      <c r="I31" s="4"/>
      <c r="J31" s="3"/>
    </row>
    <row r="32" spans="2:10">
      <c r="B32" s="19">
        <f>B31+1</f>
        <v>5</v>
      </c>
      <c r="C32" s="75">
        <f>H17</f>
        <v>111800</v>
      </c>
      <c r="D32" s="4"/>
      <c r="E32" s="4"/>
      <c r="F32" s="4"/>
      <c r="G32" s="4"/>
      <c r="H32" s="4"/>
      <c r="I32" s="4"/>
      <c r="J32" s="3"/>
    </row>
    <row r="33" spans="2:10">
      <c r="B33" s="19">
        <f>B32+1</f>
        <v>6</v>
      </c>
      <c r="C33" s="76">
        <f>I17</f>
        <v>176800</v>
      </c>
      <c r="D33" s="41"/>
      <c r="E33" s="4"/>
      <c r="F33" s="4"/>
      <c r="G33" s="4"/>
      <c r="H33" s="4"/>
      <c r="I33" s="4"/>
      <c r="J33" s="3"/>
    </row>
    <row r="34" spans="2:10">
      <c r="B34" s="19" t="s">
        <v>44</v>
      </c>
      <c r="C34" s="77">
        <f>B33</f>
        <v>6</v>
      </c>
      <c r="D34" s="41"/>
      <c r="E34" s="4"/>
      <c r="F34" s="4"/>
      <c r="G34" s="4"/>
      <c r="H34" s="4"/>
      <c r="I34" s="4"/>
      <c r="J34" s="3"/>
    </row>
    <row r="35" spans="2:3">
      <c r="B35" s="19" t="s">
        <v>45</v>
      </c>
      <c r="C35" s="78">
        <f>C4</f>
        <v>0.119999999999999996</v>
      </c>
    </row>
    <row r="38" spans="2:10">
      <c r="B38" s="22" t="s">
        <v>55</v>
      </c>
      <c r="C38" s="4"/>
      <c r="D38" s="4"/>
      <c r="E38" s="4"/>
      <c r="F38" s="4"/>
      <c r="G38" s="4"/>
      <c r="H38" s="4"/>
      <c r="I38" s="4"/>
      <c r="J38" s="3"/>
    </row>
    <row r="39" spans="2:10">
      <c r="B39" s="22" t="s">
        <v>31</v>
      </c>
      <c r="C39" s="4"/>
      <c r="D39" s="4"/>
      <c r="E39" s="4"/>
      <c r="F39" s="4"/>
      <c r="G39" s="4"/>
      <c r="H39" s="4"/>
      <c r="I39" s="4"/>
      <c r="J39" s="3"/>
    </row>
    <row r="40" spans="2:10">
      <c r="B40" s="18" t="s">
        <v>2</v>
      </c>
      <c r="C40" s="6" t="n">
        <v>500000</v>
      </c>
      <c r="D40" s="4"/>
      <c r="E40" s="4"/>
      <c r="F40" s="4"/>
      <c r="G40" s="4"/>
      <c r="H40" s="4"/>
      <c r="I40" s="4"/>
      <c r="J40" s="3"/>
    </row>
    <row r="41" spans="2:10">
      <c r="B41" s="18" t="s">
        <v>3</v>
      </c>
      <c r="C41" s="21" t="n">
        <v>0.15</v>
      </c>
      <c r="D41" s="6" t="s">
        <v>4</v>
      </c>
      <c r="E41" s="6" t="s">
        <v>54</v>
      </c>
      <c r="F41" s="4"/>
      <c r="G41" s="4"/>
      <c r="H41" s="4"/>
      <c r="I41" s="4"/>
      <c r="J41" s="3"/>
    </row>
    <row r="42" spans="2:10">
      <c r="B42" s="3"/>
      <c r="C42" s="4"/>
      <c r="D42" s="4"/>
      <c r="E42" s="4"/>
      <c r="F42" s="4"/>
      <c r="G42" s="4"/>
      <c r="H42" s="4"/>
      <c r="I42" s="4"/>
      <c r="J42" s="3"/>
    </row>
    <row r="43" spans="2:10">
      <c r="B43" s="44" t="s">
        <v>6</v>
      </c>
      <c r="C43" s="46" t="s">
        <v>7</v>
      </c>
      <c r="D43" s="46"/>
      <c r="E43" s="46"/>
      <c r="F43" s="46"/>
      <c r="G43" s="46"/>
      <c r="H43" s="46"/>
      <c r="I43" s="46"/>
      <c r="J43" s="44" t="s">
        <v>8</v>
      </c>
    </row>
    <row r="44" spans="2:10">
      <c r="B44" s="45"/>
      <c r="C44" s="7" t="n">
        <v>0</v>
      </c>
      <c r="D44" s="7" t="n">
        <v>1</v>
      </c>
      <c r="E44" s="7" t="n">
        <v>2</v>
      </c>
      <c r="F44" s="7" t="n">
        <v>3</v>
      </c>
      <c r="G44" s="7" t="n">
        <v>4</v>
      </c>
      <c r="H44" s="7" t="n">
        <v>5</v>
      </c>
      <c r="I44" s="7" t="n">
        <v>6</v>
      </c>
      <c r="J44" s="45"/>
    </row>
    <row r="45" spans="2:10">
      <c r="B45" s="8" t="s">
        <v>9</v>
      </c>
      <c r="C45" s="61" t="n">
        <v>0</v>
      </c>
      <c r="D45" s="62" t="n">
        <v>105000</v>
      </c>
      <c r="E45" s="62">
        <f>D45</f>
        <v>105000</v>
      </c>
      <c r="F45" s="62" t="n">
        <v>128000</v>
      </c>
      <c r="G45" s="62">
        <f>F45</f>
        <v>128000</v>
      </c>
      <c r="H45" s="62" t="n">
        <v>140000</v>
      </c>
      <c r="I45" s="62">
        <f>H45</f>
        <v>140000</v>
      </c>
      <c r="J45" s="63">
        <f>SUM(C45:I45)</f>
        <v>746000</v>
      </c>
    </row>
    <row r="46" spans="2:10">
      <c r="B46" s="8" t="s">
        <v>10</v>
      </c>
      <c r="C46" s="61" t="n">
        <v>0</v>
      </c>
      <c r="D46" s="61" t="n">
        <v>-18000</v>
      </c>
      <c r="E46" s="61">
        <f>D46</f>
        <v>-18000</v>
      </c>
      <c r="F46" s="61">
        <f>E46</f>
        <v>-18000</v>
      </c>
      <c r="G46" s="61">
        <f>F46</f>
        <v>-18000</v>
      </c>
      <c r="H46" s="61">
        <f>G46</f>
        <v>-18000</v>
      </c>
      <c r="I46" s="61">
        <f>H46</f>
        <v>-18000</v>
      </c>
      <c r="J46" s="63">
        <f>SUM(C46:I46)</f>
        <v>-108000</v>
      </c>
    </row>
    <row r="47" spans="2:10">
      <c r="B47" s="8" t="s">
        <v>11</v>
      </c>
      <c r="C47" s="61" t="n">
        <v>0</v>
      </c>
      <c r="D47" s="61">
        <f>-600*4</f>
        <v>-2400</v>
      </c>
      <c r="E47" s="61">
        <f>D47</f>
        <v>-2400</v>
      </c>
      <c r="F47" s="61">
        <f>E47</f>
        <v>-2400</v>
      </c>
      <c r="G47" s="61">
        <f>F47</f>
        <v>-2400</v>
      </c>
      <c r="H47" s="61">
        <f>G47</f>
        <v>-2400</v>
      </c>
      <c r="I47" s="61">
        <f>H47</f>
        <v>-2400</v>
      </c>
      <c r="J47" s="63">
        <f>SUM(C47:I47)</f>
        <v>-14400</v>
      </c>
    </row>
    <row r="48" spans="2:10">
      <c r="B48" s="12" t="s">
        <v>12</v>
      </c>
      <c r="C48" s="64" t="n">
        <v>0</v>
      </c>
      <c r="D48" s="64">
        <f>-C40*0.1</f>
        <v>-50000</v>
      </c>
      <c r="E48" s="64">
        <f>D48</f>
        <v>-50000</v>
      </c>
      <c r="F48" s="64">
        <f>E48</f>
        <v>-50000</v>
      </c>
      <c r="G48" s="64">
        <f>F48</f>
        <v>-50000</v>
      </c>
      <c r="H48" s="64">
        <f>G48</f>
        <v>-50000</v>
      </c>
      <c r="I48" s="64">
        <f>H48</f>
        <v>-50000</v>
      </c>
      <c r="J48" s="65">
        <f>SUM(C48:I48)</f>
        <v>-300000</v>
      </c>
    </row>
    <row r="49" spans="2:10">
      <c r="B49" s="10" t="s">
        <v>13</v>
      </c>
      <c r="C49" s="66">
        <f>C45-(SUM(C46:C48))</f>
        <v>0</v>
      </c>
      <c r="D49" s="66">
        <f>D45+(SUM(D46:D48))</f>
        <v>34600</v>
      </c>
      <c r="E49" s="66">
        <f>E45+(SUM(E46:E48))</f>
        <v>34600</v>
      </c>
      <c r="F49" s="66">
        <f>F45+(SUM(F46:F48))</f>
        <v>57600</v>
      </c>
      <c r="G49" s="66">
        <f>G45+(SUM(G46:G48))</f>
        <v>57600</v>
      </c>
      <c r="H49" s="66">
        <f>H45+(SUM(H46:H48))</f>
        <v>69600</v>
      </c>
      <c r="I49" s="66">
        <f>I45+(SUM(I46:I48))</f>
        <v>69600</v>
      </c>
      <c r="J49" s="63">
        <f>SUM(C49:I49)</f>
        <v>323600</v>
      </c>
    </row>
    <row r="50" spans="2:10">
      <c r="B50" s="12" t="s">
        <v>14</v>
      </c>
      <c r="C50" s="64" t="n">
        <v>0</v>
      </c>
      <c r="D50" s="64">
        <f>-D48</f>
        <v>50000</v>
      </c>
      <c r="E50" s="64">
        <f>-E48</f>
        <v>50000</v>
      </c>
      <c r="F50" s="64">
        <f>-F48</f>
        <v>50000</v>
      </c>
      <c r="G50" s="64">
        <f>-G48</f>
        <v>50000</v>
      </c>
      <c r="H50" s="64">
        <f>-H48</f>
        <v>50000</v>
      </c>
      <c r="I50" s="64">
        <f>-I48</f>
        <v>50000</v>
      </c>
      <c r="J50" s="65">
        <f>SUM(C50:I50)</f>
        <v>300000</v>
      </c>
    </row>
    <row r="51" spans="2:10">
      <c r="B51" s="10" t="s">
        <v>15</v>
      </c>
      <c r="C51" s="66">
        <f>SUM(C49:C50)</f>
        <v>0</v>
      </c>
      <c r="D51" s="66">
        <f>SUM(D49:D50)</f>
        <v>84600</v>
      </c>
      <c r="E51" s="66">
        <f>SUM(E49:E50)</f>
        <v>84600</v>
      </c>
      <c r="F51" s="66">
        <f>SUM(F49:F50)</f>
        <v>107600</v>
      </c>
      <c r="G51" s="66">
        <f>SUM(G49:G50)</f>
        <v>107600</v>
      </c>
      <c r="H51" s="66">
        <f>SUM(H49:H50)</f>
        <v>119600</v>
      </c>
      <c r="I51" s="66">
        <f>SUM(I49:I50)</f>
        <v>119600</v>
      </c>
      <c r="J51" s="63">
        <f>SUM(C51:I51)</f>
        <v>623600</v>
      </c>
    </row>
    <row r="52" spans="2:10">
      <c r="B52" s="8" t="s">
        <v>16</v>
      </c>
      <c r="C52" s="61">
        <f>C40</f>
        <v>500000</v>
      </c>
      <c r="D52" s="61" t="n">
        <v>0</v>
      </c>
      <c r="E52" s="61" t="n">
        <v>0</v>
      </c>
      <c r="F52" s="61" t="n">
        <v>0</v>
      </c>
      <c r="G52" s="61" t="n">
        <v>0</v>
      </c>
      <c r="H52" s="61" t="n">
        <v>0</v>
      </c>
      <c r="I52" s="61" t="n">
        <v>0</v>
      </c>
      <c r="J52" s="63">
        <f>SUM(C52:I52)</f>
        <v>500000</v>
      </c>
    </row>
    <row r="53" spans="2:10">
      <c r="B53" s="12" t="s">
        <v>17</v>
      </c>
      <c r="C53" s="64" t="n">
        <v>0</v>
      </c>
      <c r="D53" s="64" t="n">
        <v>0</v>
      </c>
      <c r="E53" s="64" t="n">
        <v>0</v>
      </c>
      <c r="F53" s="64" t="n">
        <v>0</v>
      </c>
      <c r="G53" s="64" t="n">
        <v>0</v>
      </c>
      <c r="H53" s="64">
        <f>G53</f>
        <v>0</v>
      </c>
      <c r="I53" s="64" t="n">
        <v>85000</v>
      </c>
      <c r="J53" s="65">
        <f>SUM(C53:I53)</f>
        <v>85000</v>
      </c>
    </row>
    <row r="54" spans="2:10">
      <c r="B54" s="10" t="s">
        <v>18</v>
      </c>
      <c r="C54" s="66">
        <f>-C40</f>
        <v>-500000</v>
      </c>
      <c r="D54" s="66">
        <f>SUM(D51:D53)</f>
        <v>84600</v>
      </c>
      <c r="E54" s="66">
        <f>SUM(E51:E53)</f>
        <v>84600</v>
      </c>
      <c r="F54" s="66">
        <f>SUM(F51:F53)</f>
        <v>107600</v>
      </c>
      <c r="G54" s="66">
        <f>SUM(G51:G53)</f>
        <v>107600</v>
      </c>
      <c r="H54" s="66">
        <f>SUM(H51:H53)</f>
        <v>119600</v>
      </c>
      <c r="I54" s="66">
        <f>SUM(I51:I53)</f>
        <v>204600</v>
      </c>
      <c r="J54" s="63">
        <f>SUM(C54:I54)</f>
        <v>208600</v>
      </c>
    </row>
    <row r="55" spans="2:10">
      <c r="B55" s="8"/>
      <c r="C55" s="61"/>
      <c r="D55" s="61"/>
      <c r="E55" s="61"/>
      <c r="F55" s="61"/>
      <c r="G55" s="61"/>
      <c r="H55" s="61"/>
      <c r="I55" s="61"/>
      <c r="J55" s="67"/>
    </row>
    <row r="56" spans="2:10">
      <c r="B56" s="5" t="s">
        <v>19</v>
      </c>
      <c r="C56" s="61">
        <f>C54</f>
        <v>-500000</v>
      </c>
      <c r="D56" s="68">
        <f>D54</f>
        <v>84600</v>
      </c>
      <c r="E56" s="69">
        <f>E54</f>
        <v>84600</v>
      </c>
      <c r="F56" s="68">
        <f>F54</f>
        <v>107600</v>
      </c>
      <c r="G56" s="68">
        <f>G54</f>
        <v>107600</v>
      </c>
      <c r="H56" s="69">
        <f>H54</f>
        <v>119600</v>
      </c>
      <c r="I56" s="69">
        <f>I54</f>
        <v>204600</v>
      </c>
      <c r="J56" s="69">
        <f>J54</f>
        <v>208600</v>
      </c>
    </row>
    <row r="57" spans="2:10">
      <c r="B57" s="3"/>
      <c r="C57" s="61"/>
      <c r="D57" s="79">
        <f>(1+C$4)^D44</f>
        <v>1.12000000000000011</v>
      </c>
      <c r="E57" s="79">
        <f>(1+$C41)^E44</f>
        <v>1.32250000000000001</v>
      </c>
      <c r="F57" s="79">
        <f>(1+$C41)^F44</f>
        <v>1.52087500000000002</v>
      </c>
      <c r="G57" s="79">
        <f>(1+$C41)^G44</f>
        <v>1.74900625000000005</v>
      </c>
      <c r="H57" s="79">
        <f>(1+$C41)^H44</f>
        <v>2.01135718749999981</v>
      </c>
      <c r="I57" s="79">
        <f>(1+$C41)^I44</f>
        <v>2.31306076562499996</v>
      </c>
      <c r="J57" s="79"/>
    </row>
    <row r="58" spans="2:10">
      <c r="B58" s="3"/>
      <c r="C58" s="61"/>
      <c r="D58" s="61"/>
      <c r="E58" s="61"/>
      <c r="F58" s="61"/>
      <c r="G58" s="61"/>
      <c r="H58" s="61"/>
      <c r="I58" s="61"/>
      <c r="J58" s="70"/>
    </row>
    <row r="59" spans="2:10">
      <c r="B59" s="5" t="s">
        <v>19</v>
      </c>
      <c r="C59" s="61">
        <f>C56</f>
        <v>-500000</v>
      </c>
      <c r="D59" s="61">
        <f>D56/D57</f>
        <v>75535.7142857143044</v>
      </c>
      <c r="E59" s="61">
        <f>E56/E57</f>
        <v>63969.7542533080996</v>
      </c>
      <c r="F59" s="61">
        <f>F56/F57</f>
        <v>70748.7466096818971</v>
      </c>
      <c r="G59" s="61">
        <f>G56/G57</f>
        <v>61520.6492258103972</v>
      </c>
      <c r="H59" s="61">
        <f>H56/H57</f>
        <v>59462.3375416755007</v>
      </c>
      <c r="I59" s="61">
        <f>I56/I57</f>
        <v>88454.2261235043989</v>
      </c>
      <c r="J59" s="71">
        <f>SUM(C59:I59)</f>
        <v>-80308.5719603053003</v>
      </c>
    </row>
    <row r="60" spans="2:10">
      <c r="B60" s="5"/>
      <c r="C60" s="72"/>
      <c r="D60" s="72"/>
      <c r="E60" s="72"/>
      <c r="F60" s="72"/>
      <c r="G60" s="72"/>
      <c r="H60" s="72"/>
      <c r="I60" s="72"/>
      <c r="J60" s="73"/>
    </row>
    <row r="61" spans="2:10">
      <c r="B61" s="5" t="s">
        <v>19</v>
      </c>
      <c r="C61" s="73">
        <f>SUM(C59:I59)</f>
        <v>-80308.5719603053003</v>
      </c>
      <c r="D61" s="72"/>
      <c r="E61" s="72"/>
      <c r="F61" s="72"/>
      <c r="G61" s="72"/>
      <c r="H61" s="72"/>
      <c r="I61" s="72"/>
      <c r="J61" s="74"/>
    </row>
    <row r="62" spans="2:10">
      <c r="B62" s="5"/>
      <c r="C62" s="35"/>
      <c r="D62" s="4"/>
      <c r="E62" s="4"/>
      <c r="F62" s="4"/>
      <c r="G62" s="4"/>
      <c r="H62" s="4"/>
      <c r="I62" s="4"/>
      <c r="J62" s="3"/>
    </row>
    <row r="63" spans="2:10">
      <c r="B63" s="56" t="s">
        <v>7</v>
      </c>
      <c r="C63" s="57" t="s">
        <v>38</v>
      </c>
      <c r="D63" s="3"/>
      <c r="E63" s="58" t="s">
        <v>39</v>
      </c>
      <c r="F63" s="74">
        <f>NPV(C72,C65:C70)+C64</f>
        <v>-82279.0688547150057</v>
      </c>
      <c r="G63" s="3"/>
      <c r="H63" s="3"/>
      <c r="I63" s="3"/>
      <c r="J63" s="3"/>
    </row>
    <row r="64" spans="2:10">
      <c r="B64" s="19" t="n">
        <v>0</v>
      </c>
      <c r="C64" s="75">
        <f>C54</f>
        <v>-500000</v>
      </c>
      <c r="D64" s="3"/>
      <c r="E64" s="58" t="s">
        <v>41</v>
      </c>
      <c r="F64" s="54">
        <f>IRR(C64:C70)</f>
        <v>0.09457583427429201</v>
      </c>
      <c r="G64" s="11"/>
      <c r="H64" s="4"/>
      <c r="I64" s="4"/>
      <c r="J64" s="3"/>
    </row>
    <row r="65" spans="2:10">
      <c r="B65" s="19">
        <f>B64+1</f>
        <v>1</v>
      </c>
      <c r="C65" s="75">
        <f>D54</f>
        <v>84600</v>
      </c>
      <c r="D65" s="3"/>
      <c r="E65" s="3"/>
      <c r="F65" s="6"/>
      <c r="G65" s="11"/>
      <c r="H65" s="4"/>
      <c r="I65" s="4"/>
      <c r="J65" s="3"/>
    </row>
    <row r="66" spans="2:10">
      <c r="B66" s="19">
        <f>B65+1</f>
        <v>2</v>
      </c>
      <c r="C66" s="75">
        <f>E54</f>
        <v>84600</v>
      </c>
      <c r="D66" s="4"/>
      <c r="E66" s="4"/>
      <c r="F66" s="4"/>
      <c r="G66" s="4"/>
      <c r="H66" s="4"/>
      <c r="I66" s="4"/>
      <c r="J66" s="3"/>
    </row>
    <row r="67" spans="2:10">
      <c r="B67" s="19">
        <f>B66+1</f>
        <v>3</v>
      </c>
      <c r="C67" s="75">
        <f>F54</f>
        <v>107600</v>
      </c>
      <c r="D67" s="4"/>
      <c r="E67" s="4"/>
      <c r="F67" s="4"/>
      <c r="G67" s="4"/>
      <c r="H67" s="4"/>
      <c r="I67" s="4"/>
      <c r="J67" s="3"/>
    </row>
    <row r="68" spans="2:10">
      <c r="B68" s="19">
        <f>B67+1</f>
        <v>4</v>
      </c>
      <c r="C68" s="75">
        <f>G54</f>
        <v>107600</v>
      </c>
      <c r="D68" s="4"/>
      <c r="E68" s="4" t="s">
        <v>42</v>
      </c>
      <c r="F68" s="4" t="b">
        <f>F64&gt;C72</f>
        <v>0</v>
      </c>
      <c r="G68" s="55" t="str">
        <f>IF(F68,"SI ES ACEPTABLE LA PROPUESTA","LA PROPUESTA NO ES RENTABLE")</f>
        <v>LA PROPUESTA NO ES RENTABLE</v>
      </c>
      <c r="H68" s="4"/>
      <c r="I68" s="4"/>
      <c r="J68" s="3"/>
    </row>
    <row r="69" spans="2:10">
      <c r="B69" s="19">
        <f>B68+1</f>
        <v>5</v>
      </c>
      <c r="C69" s="75">
        <f>H54</f>
        <v>119600</v>
      </c>
      <c r="D69" s="4"/>
      <c r="E69" s="4"/>
      <c r="F69" s="4"/>
      <c r="G69" s="4"/>
      <c r="H69" s="4"/>
      <c r="I69" s="4"/>
      <c r="J69" s="3"/>
    </row>
    <row r="70" spans="2:10">
      <c r="B70" s="19">
        <f>B69+1</f>
        <v>6</v>
      </c>
      <c r="C70" s="76">
        <f>I54</f>
        <v>204600</v>
      </c>
      <c r="D70" s="41"/>
      <c r="E70" s="4"/>
      <c r="F70" s="4"/>
      <c r="G70" s="4"/>
      <c r="H70" s="4"/>
      <c r="I70" s="4"/>
      <c r="J70" s="3"/>
    </row>
    <row r="71" spans="2:10">
      <c r="B71" s="19" t="s">
        <v>44</v>
      </c>
      <c r="C71" s="77">
        <f>B70</f>
        <v>6</v>
      </c>
      <c r="D71" s="41"/>
      <c r="E71" s="4"/>
      <c r="F71" s="4"/>
      <c r="G71" s="4"/>
      <c r="H71" s="4"/>
      <c r="I71" s="4"/>
      <c r="J71" s="3"/>
    </row>
    <row r="72" spans="2:3">
      <c r="B72" s="19" t="s">
        <v>45</v>
      </c>
      <c r="C72" s="78">
        <f>C41</f>
        <v>0.15</v>
      </c>
    </row>
    <row r="78" spans="2:10">
      <c r="B78" s="22" t="s">
        <v>55</v>
      </c>
      <c r="C78" s="4"/>
      <c r="D78" s="4"/>
      <c r="E78" s="4"/>
      <c r="F78" s="4"/>
      <c r="G78" s="4"/>
      <c r="H78" s="4"/>
      <c r="I78" s="4"/>
      <c r="J78" s="3"/>
    </row>
    <row r="79" spans="2:10">
      <c r="B79" s="22" t="s">
        <v>56</v>
      </c>
      <c r="C79" s="4"/>
      <c r="D79" s="4"/>
      <c r="E79" s="4"/>
      <c r="F79" s="4"/>
      <c r="G79" s="4"/>
      <c r="H79" s="4"/>
      <c r="I79" s="4"/>
      <c r="J79" s="3"/>
    </row>
    <row r="80" spans="2:10">
      <c r="B80" s="18" t="s">
        <v>2</v>
      </c>
      <c r="C80" s="6" t="n">
        <v>475000</v>
      </c>
      <c r="D80" s="4"/>
      <c r="E80" s="4"/>
      <c r="F80" s="4"/>
      <c r="G80" s="4"/>
      <c r="H80" s="4"/>
      <c r="I80" s="4"/>
      <c r="J80" s="3"/>
    </row>
    <row r="81" spans="2:10">
      <c r="B81" s="18" t="s">
        <v>3</v>
      </c>
      <c r="C81" s="21" t="n">
        <v>0.130000000000000004</v>
      </c>
      <c r="D81" s="6" t="s">
        <v>4</v>
      </c>
      <c r="E81" s="6" t="s">
        <v>54</v>
      </c>
      <c r="F81" s="4"/>
      <c r="G81" s="4"/>
      <c r="H81" s="4"/>
      <c r="I81" s="4"/>
      <c r="J81" s="3"/>
    </row>
    <row r="82" spans="2:10">
      <c r="B82" s="3"/>
      <c r="C82" s="4"/>
      <c r="D82" s="4"/>
      <c r="E82" s="4"/>
      <c r="F82" s="4"/>
      <c r="G82" s="4"/>
      <c r="H82" s="4"/>
      <c r="I82" s="4"/>
      <c r="J82" s="3"/>
    </row>
    <row r="83" spans="2:10">
      <c r="B83" s="44" t="s">
        <v>6</v>
      </c>
      <c r="C83" s="46" t="s">
        <v>7</v>
      </c>
      <c r="D83" s="46"/>
      <c r="E83" s="46"/>
      <c r="F83" s="46"/>
      <c r="G83" s="46"/>
      <c r="H83" s="46"/>
      <c r="I83" s="46"/>
      <c r="J83" s="44" t="s">
        <v>8</v>
      </c>
    </row>
    <row r="84" spans="2:10">
      <c r="B84" s="45"/>
      <c r="C84" s="7" t="n">
        <v>0</v>
      </c>
      <c r="D84" s="7" t="n">
        <v>1</v>
      </c>
      <c r="E84" s="7" t="n">
        <v>2</v>
      </c>
      <c r="F84" s="7" t="n">
        <v>3</v>
      </c>
      <c r="G84" s="7" t="n">
        <v>4</v>
      </c>
      <c r="H84" s="7" t="n">
        <v>5</v>
      </c>
      <c r="I84" s="7" t="n">
        <v>6</v>
      </c>
      <c r="J84" s="45"/>
    </row>
    <row r="85" spans="2:10">
      <c r="B85" s="8" t="s">
        <v>9</v>
      </c>
      <c r="C85" s="61" t="n">
        <v>0</v>
      </c>
      <c r="D85" s="62" t="n">
        <v>115000</v>
      </c>
      <c r="E85" s="62">
        <f>D85</f>
        <v>115000</v>
      </c>
      <c r="F85" s="62">
        <f>E85</f>
        <v>115000</v>
      </c>
      <c r="G85" s="62" t="n">
        <v>130000</v>
      </c>
      <c r="H85" s="62">
        <f>G85</f>
        <v>130000</v>
      </c>
      <c r="I85" s="62" t="n">
        <v>145000</v>
      </c>
      <c r="J85" s="63">
        <f>SUM(C85:I85)</f>
        <v>750000</v>
      </c>
    </row>
    <row r="86" spans="2:10">
      <c r="B86" s="8" t="s">
        <v>10</v>
      </c>
      <c r="C86" s="61" t="n">
        <v>0</v>
      </c>
      <c r="D86" s="61" t="n">
        <v>-12000</v>
      </c>
      <c r="E86" s="61">
        <f>D86</f>
        <v>-12000</v>
      </c>
      <c r="F86" s="61">
        <f>E86</f>
        <v>-12000</v>
      </c>
      <c r="G86" s="61">
        <f>F86</f>
        <v>-12000</v>
      </c>
      <c r="H86" s="61">
        <f>G86</f>
        <v>-12000</v>
      </c>
      <c r="I86" s="61">
        <f>H86</f>
        <v>-12000</v>
      </c>
      <c r="J86" s="63">
        <f>SUM(C86:I86)</f>
        <v>-72000</v>
      </c>
    </row>
    <row r="87" spans="2:10">
      <c r="B87" s="8" t="s">
        <v>11</v>
      </c>
      <c r="C87" s="61" t="n">
        <v>0</v>
      </c>
      <c r="D87" s="61">
        <f>-350*6</f>
        <v>-2100</v>
      </c>
      <c r="E87" s="61">
        <f>D87</f>
        <v>-2100</v>
      </c>
      <c r="F87" s="61">
        <f>E87</f>
        <v>-2100</v>
      </c>
      <c r="G87" s="61">
        <f>F87</f>
        <v>-2100</v>
      </c>
      <c r="H87" s="61">
        <f>G87</f>
        <v>-2100</v>
      </c>
      <c r="I87" s="61">
        <f>H87</f>
        <v>-2100</v>
      </c>
      <c r="J87" s="63">
        <f>SUM(C87:I87)</f>
        <v>-12600</v>
      </c>
    </row>
    <row r="88" spans="2:10">
      <c r="B88" s="12" t="s">
        <v>12</v>
      </c>
      <c r="C88" s="64" t="n">
        <v>0</v>
      </c>
      <c r="D88" s="64">
        <f>-C80*0.1</f>
        <v>-47500</v>
      </c>
      <c r="E88" s="64">
        <f>D88</f>
        <v>-47500</v>
      </c>
      <c r="F88" s="64">
        <f>E88</f>
        <v>-47500</v>
      </c>
      <c r="G88" s="64">
        <f>F88</f>
        <v>-47500</v>
      </c>
      <c r="H88" s="64">
        <f>G88</f>
        <v>-47500</v>
      </c>
      <c r="I88" s="64">
        <f>H88</f>
        <v>-47500</v>
      </c>
      <c r="J88" s="65">
        <f>SUM(C88:I88)</f>
        <v>-285000</v>
      </c>
    </row>
    <row r="89" spans="2:10">
      <c r="B89" s="10" t="s">
        <v>13</v>
      </c>
      <c r="C89" s="66">
        <f>C85-(SUM(C86:C88))</f>
        <v>0</v>
      </c>
      <c r="D89" s="66">
        <f>D85+(SUM(D86:D88))</f>
        <v>53400</v>
      </c>
      <c r="E89" s="66">
        <f>E85+(SUM(E86:E88))</f>
        <v>53400</v>
      </c>
      <c r="F89" s="66">
        <f>F85+(SUM(F86:F88))</f>
        <v>53400</v>
      </c>
      <c r="G89" s="66">
        <f>G85+(SUM(G86:G88))</f>
        <v>68400</v>
      </c>
      <c r="H89" s="66">
        <f>H85+(SUM(H86:H88))</f>
        <v>68400</v>
      </c>
      <c r="I89" s="66">
        <f>I85+(SUM(I86:I88))</f>
        <v>83400</v>
      </c>
      <c r="J89" s="63">
        <f>SUM(C89:I89)</f>
        <v>380400</v>
      </c>
    </row>
    <row r="90" spans="2:10">
      <c r="B90" s="12" t="s">
        <v>14</v>
      </c>
      <c r="C90" s="64" t="n">
        <v>0</v>
      </c>
      <c r="D90" s="64">
        <f>-D88</f>
        <v>47500</v>
      </c>
      <c r="E90" s="64">
        <f>-E88</f>
        <v>47500</v>
      </c>
      <c r="F90" s="64">
        <f>-F88</f>
        <v>47500</v>
      </c>
      <c r="G90" s="64">
        <f>-G88</f>
        <v>47500</v>
      </c>
      <c r="H90" s="64">
        <f>-H88</f>
        <v>47500</v>
      </c>
      <c r="I90" s="64">
        <f>-I88</f>
        <v>47500</v>
      </c>
      <c r="J90" s="65">
        <f>SUM(C90:I90)</f>
        <v>285000</v>
      </c>
    </row>
    <row r="91" spans="2:10">
      <c r="B91" s="10" t="s">
        <v>15</v>
      </c>
      <c r="C91" s="66">
        <f>SUM(C89:C90)</f>
        <v>0</v>
      </c>
      <c r="D91" s="66">
        <f>SUM(D89:D90)</f>
        <v>100900</v>
      </c>
      <c r="E91" s="66">
        <f>SUM(E89:E90)</f>
        <v>100900</v>
      </c>
      <c r="F91" s="66">
        <f>SUM(F89:F90)</f>
        <v>100900</v>
      </c>
      <c r="G91" s="66">
        <f>SUM(G89:G90)</f>
        <v>115900</v>
      </c>
      <c r="H91" s="66">
        <f>SUM(H89:H90)</f>
        <v>115900</v>
      </c>
      <c r="I91" s="66">
        <f>SUM(I89:I90)</f>
        <v>130900</v>
      </c>
      <c r="J91" s="63">
        <f>SUM(C91:I91)</f>
        <v>665400</v>
      </c>
    </row>
    <row r="92" spans="2:10">
      <c r="B92" s="8" t="s">
        <v>16</v>
      </c>
      <c r="C92" s="61">
        <f>C80</f>
        <v>475000</v>
      </c>
      <c r="D92" s="61" t="n">
        <v>0</v>
      </c>
      <c r="E92" s="61" t="n">
        <v>0</v>
      </c>
      <c r="F92" s="61" t="n">
        <v>0</v>
      </c>
      <c r="G92" s="61" t="n">
        <v>0</v>
      </c>
      <c r="H92" s="61" t="n">
        <v>0</v>
      </c>
      <c r="I92" s="61" t="n">
        <v>0</v>
      </c>
      <c r="J92" s="63">
        <f>SUM(C92:I92)</f>
        <v>475000</v>
      </c>
    </row>
    <row r="93" spans="2:10">
      <c r="B93" s="12" t="s">
        <v>17</v>
      </c>
      <c r="C93" s="64" t="n">
        <v>0</v>
      </c>
      <c r="D93" s="64" t="n">
        <v>0</v>
      </c>
      <c r="E93" s="64" t="n">
        <v>0</v>
      </c>
      <c r="F93" s="64" t="n">
        <v>0</v>
      </c>
      <c r="G93" s="64" t="n">
        <v>0</v>
      </c>
      <c r="H93" s="64">
        <f>G93</f>
        <v>0</v>
      </c>
      <c r="I93" s="64" t="n">
        <v>55000</v>
      </c>
      <c r="J93" s="65">
        <f>SUM(C93:I93)</f>
        <v>55000</v>
      </c>
    </row>
    <row r="94" spans="2:10">
      <c r="B94" s="10" t="s">
        <v>18</v>
      </c>
      <c r="C94" s="66">
        <f>-C80</f>
        <v>-475000</v>
      </c>
      <c r="D94" s="66">
        <f>SUM(D91:D93)</f>
        <v>100900</v>
      </c>
      <c r="E94" s="66">
        <f>SUM(E91:E93)</f>
        <v>100900</v>
      </c>
      <c r="F94" s="66">
        <f>SUM(F91:F93)</f>
        <v>100900</v>
      </c>
      <c r="G94" s="66">
        <f>SUM(G91:G93)</f>
        <v>115900</v>
      </c>
      <c r="H94" s="66">
        <f>SUM(H91:H93)</f>
        <v>115900</v>
      </c>
      <c r="I94" s="66">
        <f>SUM(I91:I93)</f>
        <v>185900</v>
      </c>
      <c r="J94" s="63">
        <f>SUM(C94:I94)</f>
        <v>245400</v>
      </c>
    </row>
    <row r="95" spans="2:10">
      <c r="B95" s="8"/>
      <c r="C95" s="61"/>
      <c r="D95" s="61"/>
      <c r="E95" s="61"/>
      <c r="F95" s="61"/>
      <c r="G95" s="61"/>
      <c r="H95" s="61"/>
      <c r="I95" s="61"/>
      <c r="J95" s="67"/>
    </row>
    <row r="96" spans="2:10">
      <c r="B96" s="5" t="s">
        <v>19</v>
      </c>
      <c r="C96" s="61">
        <f>C94</f>
        <v>-475000</v>
      </c>
      <c r="D96" s="68">
        <f>D94</f>
        <v>100900</v>
      </c>
      <c r="E96" s="69">
        <f>E94</f>
        <v>100900</v>
      </c>
      <c r="F96" s="68">
        <f>F94</f>
        <v>100900</v>
      </c>
      <c r="G96" s="68">
        <f>G94</f>
        <v>115900</v>
      </c>
      <c r="H96" s="69">
        <f>H94</f>
        <v>115900</v>
      </c>
      <c r="I96" s="69">
        <f>I94</f>
        <v>185900</v>
      </c>
      <c r="J96" s="69">
        <f>J94</f>
        <v>245400</v>
      </c>
    </row>
    <row r="97" spans="2:10">
      <c r="B97" s="3"/>
      <c r="C97" s="61"/>
      <c r="D97" s="79">
        <f>(1+C$4)^D84</f>
        <v>1.12000000000000011</v>
      </c>
      <c r="E97" s="79">
        <f>(1+$C81)^E84</f>
        <v>1.27689999999999992</v>
      </c>
      <c r="F97" s="79">
        <f>(1+$C81)^F84</f>
        <v>1.44289700000000014</v>
      </c>
      <c r="G97" s="79">
        <f>(1+$C81)^G84</f>
        <v>1.63047360999999995</v>
      </c>
      <c r="H97" s="79">
        <f>(1+$C81)^H84</f>
        <v>1.84243517929999996</v>
      </c>
      <c r="I97" s="79">
        <f>(1+$C81)^I84</f>
        <v>2.08195175260900012</v>
      </c>
      <c r="J97" s="79"/>
    </row>
    <row r="98" spans="2:10">
      <c r="B98" s="3"/>
      <c r="C98" s="61"/>
      <c r="D98" s="61"/>
      <c r="E98" s="61"/>
      <c r="F98" s="61"/>
      <c r="G98" s="61"/>
      <c r="H98" s="61"/>
      <c r="I98" s="61"/>
      <c r="J98" s="70"/>
    </row>
    <row r="99" spans="2:10">
      <c r="B99" s="5" t="s">
        <v>19</v>
      </c>
      <c r="C99" s="61">
        <f>C96</f>
        <v>-475000</v>
      </c>
      <c r="D99" s="61">
        <f>D96/D97</f>
        <v>90089.2857142856956</v>
      </c>
      <c r="E99" s="61">
        <f>E96/E97</f>
        <v>79019.5003524159983</v>
      </c>
      <c r="F99" s="61">
        <f>F96/F97</f>
        <v>69928.7613738195068</v>
      </c>
      <c r="G99" s="61">
        <f>G96/G97</f>
        <v>71083.6405380398064</v>
      </c>
      <c r="H99" s="61">
        <f>H96/H97</f>
        <v>62905.8765823361027</v>
      </c>
      <c r="I99" s="61">
        <f>I96/I97</f>
        <v>89291.2142498207977</v>
      </c>
      <c r="J99" s="71">
        <f>SUM(C99:I99)</f>
        <v>-12681.7211892820997</v>
      </c>
    </row>
    <row r="100" spans="2:10">
      <c r="B100" s="5"/>
      <c r="C100" s="72"/>
      <c r="D100" s="72"/>
      <c r="E100" s="72"/>
      <c r="F100" s="72"/>
      <c r="G100" s="72"/>
      <c r="H100" s="72"/>
      <c r="I100" s="72"/>
      <c r="J100" s="73"/>
    </row>
    <row r="101" spans="2:10">
      <c r="B101" s="5" t="s">
        <v>19</v>
      </c>
      <c r="C101" s="73">
        <f>SUM(C99:I99)</f>
        <v>-12681.7211892820997</v>
      </c>
      <c r="D101" s="72"/>
      <c r="E101" s="72"/>
      <c r="F101" s="72"/>
      <c r="G101" s="72"/>
      <c r="H101" s="72"/>
      <c r="I101" s="72"/>
      <c r="J101" s="74"/>
    </row>
    <row r="102" spans="2:10">
      <c r="B102" s="5"/>
      <c r="C102" s="35"/>
      <c r="D102" s="4"/>
      <c r="E102" s="4"/>
      <c r="F102" s="4"/>
      <c r="G102" s="4"/>
      <c r="H102" s="4"/>
      <c r="I102" s="4"/>
      <c r="J102" s="3"/>
    </row>
    <row r="103" spans="2:10">
      <c r="B103" s="56" t="s">
        <v>7</v>
      </c>
      <c r="C103" s="57" t="s">
        <v>38</v>
      </c>
      <c r="D103" s="3"/>
      <c r="E103" s="58" t="s">
        <v>39</v>
      </c>
      <c r="F103" s="74">
        <f>NPV(C112,C105:C110)+C104</f>
        <v>-13478.9715053380005</v>
      </c>
      <c r="G103" s="3"/>
      <c r="H103" s="3"/>
      <c r="I103" s="3"/>
      <c r="J103" s="3"/>
    </row>
    <row r="104" spans="2:10">
      <c r="B104" s="19" t="n">
        <v>0</v>
      </c>
      <c r="C104" s="75">
        <f>C94</f>
        <v>-475000</v>
      </c>
      <c r="D104" s="3"/>
      <c r="E104" s="58" t="s">
        <v>41</v>
      </c>
      <c r="F104" s="54">
        <f>IRR(C104:C110)</f>
        <v>0.120643091201782005</v>
      </c>
      <c r="G104" s="11"/>
      <c r="H104" s="4"/>
      <c r="I104" s="4"/>
      <c r="J104" s="3"/>
    </row>
    <row r="105" spans="2:10">
      <c r="B105" s="19">
        <f>B104+1</f>
        <v>1</v>
      </c>
      <c r="C105" s="75">
        <f>D94</f>
        <v>100900</v>
      </c>
      <c r="D105" s="3"/>
      <c r="E105" s="3"/>
      <c r="F105" s="6"/>
      <c r="G105" s="11"/>
      <c r="H105" s="4"/>
      <c r="I105" s="4"/>
      <c r="J105" s="3"/>
    </row>
    <row r="106" spans="2:10">
      <c r="B106" s="19">
        <f>B105+1</f>
        <v>2</v>
      </c>
      <c r="C106" s="75">
        <f>E94</f>
        <v>100900</v>
      </c>
      <c r="D106" s="4"/>
      <c r="E106" s="4"/>
      <c r="F106" s="4"/>
      <c r="G106" s="4"/>
      <c r="H106" s="4"/>
      <c r="I106" s="4"/>
      <c r="J106" s="3"/>
    </row>
    <row r="107" spans="2:10">
      <c r="B107" s="19">
        <f>B106+1</f>
        <v>3</v>
      </c>
      <c r="C107" s="75">
        <f>F94</f>
        <v>100900</v>
      </c>
      <c r="D107" s="4"/>
      <c r="E107" s="4"/>
      <c r="F107" s="4"/>
      <c r="G107" s="4"/>
      <c r="H107" s="4"/>
      <c r="I107" s="4"/>
      <c r="J107" s="3"/>
    </row>
    <row r="108" spans="2:10">
      <c r="B108" s="19">
        <f>B107+1</f>
        <v>4</v>
      </c>
      <c r="C108" s="75">
        <f>G94</f>
        <v>115900</v>
      </c>
      <c r="D108" s="4"/>
      <c r="E108" s="4" t="s">
        <v>42</v>
      </c>
      <c r="F108" s="4" t="b">
        <f>F104&gt;C112</f>
        <v>0</v>
      </c>
      <c r="G108" s="55" t="str">
        <f>IF(F108,"SI ES ACEPTABLE LA PROPUESTA","LA PROPUESTA NO ES RENTABLE")</f>
        <v>LA PROPUESTA NO ES RENTABLE</v>
      </c>
      <c r="H108" s="4"/>
      <c r="I108" s="4"/>
      <c r="J108" s="3"/>
    </row>
    <row r="109" spans="2:10">
      <c r="B109" s="19">
        <f>B108+1</f>
        <v>5</v>
      </c>
      <c r="C109" s="75">
        <f>H94</f>
        <v>115900</v>
      </c>
      <c r="D109" s="4"/>
      <c r="E109" s="4"/>
      <c r="F109" s="4"/>
      <c r="G109" s="4"/>
      <c r="H109" s="4"/>
      <c r="I109" s="4"/>
      <c r="J109" s="3"/>
    </row>
    <row r="110" spans="2:10">
      <c r="B110" s="19">
        <f>B109+1</f>
        <v>6</v>
      </c>
      <c r="C110" s="76">
        <f>I94</f>
        <v>185900</v>
      </c>
      <c r="D110" s="41"/>
      <c r="E110" s="4"/>
      <c r="F110" s="4"/>
      <c r="G110" s="4"/>
      <c r="H110" s="4"/>
      <c r="I110" s="4"/>
      <c r="J110" s="3"/>
    </row>
    <row r="111" spans="2:10">
      <c r="B111" s="19" t="s">
        <v>44</v>
      </c>
      <c r="C111" s="77">
        <f>B110</f>
        <v>6</v>
      </c>
      <c r="D111" s="41"/>
      <c r="E111" s="4"/>
      <c r="F111" s="4"/>
      <c r="G111" s="4"/>
      <c r="H111" s="4"/>
      <c r="I111" s="4"/>
      <c r="J111" s="3"/>
    </row>
    <row r="112" spans="2:3">
      <c r="B112" s="19" t="s">
        <v>45</v>
      </c>
      <c r="C112" s="78">
        <f>C81</f>
        <v>0.130000000000000004</v>
      </c>
    </row>
    <row r="117" spans="2:2">
      <c r="B117" t="s">
        <v>57</v>
      </c>
    </row>
    <row r="118" spans="2:5">
      <c r="B118" s="80" t="s">
        <v>58</v>
      </c>
      <c r="C118" s="80" t="s">
        <v>59</v>
      </c>
      <c r="D118" s="80" t="s">
        <v>41</v>
      </c>
      <c r="E118" s="80" t="s">
        <v>60</v>
      </c>
    </row>
    <row r="119" spans="2:5">
      <c r="B119" t="s">
        <v>1</v>
      </c>
      <c r="C119" s="81">
        <f>F26</f>
        <v>20312.3579759759996</v>
      </c>
      <c r="D119" s="82">
        <f>F27</f>
        <v>0.135127401351929</v>
      </c>
      <c r="E119" s="83" t="s">
        <v>61</v>
      </c>
    </row>
    <row r="120" spans="2:5">
      <c r="B120" t="s">
        <v>56</v>
      </c>
      <c r="C120" s="81">
        <f>F103</f>
        <v>-13478.9715053380005</v>
      </c>
      <c r="D120" s="82">
        <f>F104</f>
        <v>0.120643091201782005</v>
      </c>
      <c r="E120" s="83" t="s">
        <v>62</v>
      </c>
    </row>
    <row r="121" spans="2:5">
      <c r="B121" t="s">
        <v>31</v>
      </c>
      <c r="C121" s="81">
        <f>F63</f>
        <v>-82279.0688547150057</v>
      </c>
      <c r="D121" s="82">
        <f>F64</f>
        <v>0.09457583427429201</v>
      </c>
      <c r="E121" s="83" t="s">
        <v>63</v>
      </c>
    </row>
  </sheetData>
  <mergeCells count="12">
    <mergeCell ref="C6:H6"/>
    <mergeCell ref="B6:B7"/>
    <mergeCell ref="J6:J7"/>
    <mergeCell ref="G27:G28"/>
    <mergeCell ref="C43:H43"/>
    <mergeCell ref="B43:B44"/>
    <mergeCell ref="J43:J44"/>
    <mergeCell ref="G64:G65"/>
    <mergeCell ref="C83:H83"/>
    <mergeCell ref="B83:B84"/>
    <mergeCell ref="J83:J84"/>
    <mergeCell ref="G104:G105"/>
  </mergeCells>
  <printOptions>
    <extLst>
      <ext uri="smNativeData">
        <pm:pageFlags xmlns:pm="smNativeData" id="1728619189" printRowHead="0" printColHead="0" printHeadLine="0" printFootLine="0" autoHeightHeader="0" autoHeightFooter="0" fitToPageBoth="0"/>
      </ext>
    </extLst>
  </printOptions>
  <pageMargins left="1.000000" right="1.000000" top="1.000000" bottom="1.000000" header="0.393750" footer="0.393750"/>
  <pageSetup paperSize="1" fitToWidth="0" fitToHeight="1" pageOrder="overThenDown"/>
  <headerFooter>
    <extLst>
      <ext uri="smNativeData">
        <pm:header xmlns:pm="smNativeData" id="1728619189" l="56" r="56" t="56" b="56" borderId="0" fillId="0" vertical="0"/>
        <pm:footer xmlns:pm="smNativeData" id="1728619189" l="56" r="56" t="56" b="56" borderId="0" fillId="0" vertical="2"/>
      </ext>
    </extLst>
  </headerFooter>
  <drawing r:id="rId1"/>
  <extLst>
    <ext uri="smNativeData">
      <pm:sheetPrefs xmlns:pm="smNativeData" day="172861918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danielb</cp:lastModifiedBy>
  <cp:revision>0</cp:revision>
  <dcterms:created xsi:type="dcterms:W3CDTF">2024-10-05T00:28:52Z</dcterms:created>
  <dcterms:modified xsi:type="dcterms:W3CDTF">2024-10-11T03:59:49Z</dcterms:modified>
</cp:coreProperties>
</file>