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\Obsidian\url-notas\docs\0-RES\economicas\excels\"/>
    </mc:Choice>
  </mc:AlternateContent>
  <xr:revisionPtr revIDLastSave="0" documentId="13_ncr:1_{1A8691B8-1F28-4346-AA26-16C9C36F7A6A}" xr6:coauthVersionLast="47" xr6:coauthVersionMax="47" xr10:uidLastSave="{00000000-0000-0000-0000-000000000000}"/>
  <bookViews>
    <workbookView xWindow="-108" yWindow="-108" windowWidth="30936" windowHeight="18696" firstSheet="1" activeTab="2" xr2:uid="{FF5BE42F-07BF-4C31-8A02-94F946BCDEEB}"/>
  </bookViews>
  <sheets>
    <sheet name="CASO I" sheetId="1" state="hidden" r:id="rId1"/>
    <sheet name="TIR-VAN" sheetId="3" r:id="rId2"/>
    <sheet name="Hoja2" sheetId="4" r:id="rId3"/>
    <sheet name="Hoja1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4" l="1"/>
  <c r="E60" i="4" s="1"/>
  <c r="F58" i="4"/>
  <c r="F60" i="4" s="1"/>
  <c r="G58" i="4"/>
  <c r="H58" i="4"/>
  <c r="H60" i="4" s="1"/>
  <c r="I58" i="4"/>
  <c r="I60" i="4" s="1"/>
  <c r="D58" i="4"/>
  <c r="D59" i="4" s="1"/>
  <c r="E57" i="4"/>
  <c r="F57" i="4"/>
  <c r="G57" i="4"/>
  <c r="H57" i="4"/>
  <c r="I57" i="4"/>
  <c r="D57" i="4"/>
  <c r="J63" i="4"/>
  <c r="C62" i="4"/>
  <c r="J62" i="4" s="1"/>
  <c r="C59" i="4"/>
  <c r="C61" i="4" s="1"/>
  <c r="G60" i="4"/>
  <c r="D60" i="4"/>
  <c r="E56" i="4"/>
  <c r="F56" i="4" s="1"/>
  <c r="J55" i="4"/>
  <c r="E36" i="4"/>
  <c r="F36" i="4"/>
  <c r="F38" i="4" s="1"/>
  <c r="G36" i="4"/>
  <c r="H36" i="4"/>
  <c r="I36" i="4"/>
  <c r="D36" i="4"/>
  <c r="D37" i="4" s="1"/>
  <c r="E35" i="4"/>
  <c r="F35" i="4"/>
  <c r="G35" i="4"/>
  <c r="H35" i="4"/>
  <c r="I35" i="4"/>
  <c r="D35" i="4"/>
  <c r="J41" i="4"/>
  <c r="C40" i="4"/>
  <c r="J40" i="4" s="1"/>
  <c r="C37" i="4"/>
  <c r="C39" i="4" s="1"/>
  <c r="I38" i="4"/>
  <c r="H38" i="4"/>
  <c r="G38" i="4"/>
  <c r="E38" i="4"/>
  <c r="D38" i="4"/>
  <c r="E34" i="4"/>
  <c r="E37" i="4" s="1"/>
  <c r="J33" i="4"/>
  <c r="C24" i="3"/>
  <c r="C18" i="4"/>
  <c r="J18" i="4" s="1"/>
  <c r="E12" i="4"/>
  <c r="E13" i="4"/>
  <c r="F13" i="4"/>
  <c r="G13" i="4"/>
  <c r="H13" i="4"/>
  <c r="I13" i="4"/>
  <c r="E14" i="4"/>
  <c r="E16" i="4" s="1"/>
  <c r="F14" i="4"/>
  <c r="F16" i="4" s="1"/>
  <c r="G14" i="4"/>
  <c r="G16" i="4" s="1"/>
  <c r="H14" i="4"/>
  <c r="H16" i="4" s="1"/>
  <c r="I14" i="4"/>
  <c r="I16" i="4" s="1"/>
  <c r="D13" i="4"/>
  <c r="D14" i="4"/>
  <c r="D16" i="4" s="1"/>
  <c r="J19" i="4"/>
  <c r="C15" i="4"/>
  <c r="C17" i="4" s="1"/>
  <c r="C20" i="4" s="1"/>
  <c r="C22" i="4" s="1"/>
  <c r="J11" i="4"/>
  <c r="C60" i="3"/>
  <c r="C61" i="3"/>
  <c r="C25" i="3"/>
  <c r="C26" i="3"/>
  <c r="I51" i="3"/>
  <c r="C50" i="3"/>
  <c r="I50" i="3" s="1"/>
  <c r="G49" i="3"/>
  <c r="G52" i="3" s="1"/>
  <c r="F49" i="3"/>
  <c r="F52" i="3" s="1"/>
  <c r="H48" i="3"/>
  <c r="G48" i="3"/>
  <c r="F48" i="3"/>
  <c r="E48" i="3"/>
  <c r="G47" i="3"/>
  <c r="F47" i="3"/>
  <c r="E47" i="3"/>
  <c r="E49" i="3" s="1"/>
  <c r="E52" i="3" s="1"/>
  <c r="D47" i="3"/>
  <c r="D49" i="3" s="1"/>
  <c r="D52" i="3" s="1"/>
  <c r="C47" i="3"/>
  <c r="H46" i="3"/>
  <c r="G46" i="3"/>
  <c r="F46" i="3"/>
  <c r="E46" i="3"/>
  <c r="D46" i="3"/>
  <c r="D48" i="3" s="1"/>
  <c r="I48" i="3" s="1"/>
  <c r="H45" i="3"/>
  <c r="I45" i="3" s="1"/>
  <c r="G45" i="3"/>
  <c r="F45" i="3"/>
  <c r="E45" i="3"/>
  <c r="D45" i="3"/>
  <c r="I44" i="3"/>
  <c r="I43" i="3"/>
  <c r="I16" i="3"/>
  <c r="C15" i="3"/>
  <c r="I15" i="3" s="1"/>
  <c r="H14" i="3"/>
  <c r="H17" i="3" s="1"/>
  <c r="C14" i="3"/>
  <c r="C17" i="3" s="1"/>
  <c r="H13" i="3"/>
  <c r="G13" i="3"/>
  <c r="H12" i="3"/>
  <c r="G12" i="3"/>
  <c r="G14" i="3" s="1"/>
  <c r="G17" i="3" s="1"/>
  <c r="F12" i="3"/>
  <c r="E12" i="3"/>
  <c r="C12" i="3"/>
  <c r="H11" i="3"/>
  <c r="G11" i="3"/>
  <c r="F11" i="3"/>
  <c r="F13" i="3" s="1"/>
  <c r="E11" i="3"/>
  <c r="E13" i="3" s="1"/>
  <c r="D11" i="3"/>
  <c r="D13" i="3" s="1"/>
  <c r="H10" i="3"/>
  <c r="G10" i="3"/>
  <c r="F10" i="3"/>
  <c r="E10" i="3"/>
  <c r="D10" i="3"/>
  <c r="D12" i="3" s="1"/>
  <c r="I9" i="3"/>
  <c r="I8" i="3"/>
  <c r="I44" i="1"/>
  <c r="I51" i="1"/>
  <c r="I43" i="1"/>
  <c r="C32" i="2"/>
  <c r="E28" i="2"/>
  <c r="F28" i="2"/>
  <c r="G28" i="2"/>
  <c r="H28" i="2"/>
  <c r="H30" i="2" s="1"/>
  <c r="D28" i="2"/>
  <c r="H27" i="2"/>
  <c r="G27" i="2"/>
  <c r="F27" i="2"/>
  <c r="E27" i="2"/>
  <c r="D27" i="2"/>
  <c r="D30" i="2"/>
  <c r="G29" i="2"/>
  <c r="C29" i="2"/>
  <c r="C31" i="2" s="1"/>
  <c r="C34" i="2" s="1"/>
  <c r="G30" i="2"/>
  <c r="F30" i="2"/>
  <c r="E30" i="2"/>
  <c r="F29" i="2"/>
  <c r="E29" i="2"/>
  <c r="D29" i="2"/>
  <c r="D31" i="2" s="1"/>
  <c r="D34" i="2" s="1"/>
  <c r="I9" i="1"/>
  <c r="I16" i="1"/>
  <c r="I8" i="1"/>
  <c r="H17" i="2"/>
  <c r="G17" i="2"/>
  <c r="F17" i="2"/>
  <c r="E17" i="2"/>
  <c r="D17" i="2"/>
  <c r="C17" i="2"/>
  <c r="H14" i="2"/>
  <c r="G14" i="2"/>
  <c r="F14" i="2"/>
  <c r="E14" i="2"/>
  <c r="D14" i="2"/>
  <c r="C14" i="2"/>
  <c r="H13" i="2"/>
  <c r="G13" i="2"/>
  <c r="F13" i="2"/>
  <c r="E13" i="2"/>
  <c r="D13" i="2"/>
  <c r="E12" i="2"/>
  <c r="F12" i="2"/>
  <c r="G12" i="2"/>
  <c r="H12" i="2"/>
  <c r="D12" i="2"/>
  <c r="C12" i="2"/>
  <c r="H11" i="2"/>
  <c r="G11" i="2"/>
  <c r="F11" i="2"/>
  <c r="E11" i="2"/>
  <c r="D11" i="2"/>
  <c r="H10" i="2"/>
  <c r="G10" i="2"/>
  <c r="F10" i="2"/>
  <c r="E10" i="2"/>
  <c r="D10" i="2"/>
  <c r="H46" i="1"/>
  <c r="G46" i="1"/>
  <c r="G48" i="1" s="1"/>
  <c r="F46" i="1"/>
  <c r="F48" i="1" s="1"/>
  <c r="E46" i="1"/>
  <c r="E48" i="1" s="1"/>
  <c r="D46" i="1"/>
  <c r="D48" i="1" s="1"/>
  <c r="H45" i="1"/>
  <c r="G45" i="1"/>
  <c r="F45" i="1"/>
  <c r="E45" i="1"/>
  <c r="D45" i="1"/>
  <c r="C50" i="1"/>
  <c r="I50" i="1" s="1"/>
  <c r="C47" i="1"/>
  <c r="C49" i="1" s="1"/>
  <c r="C15" i="1"/>
  <c r="I15" i="1" s="1"/>
  <c r="H11" i="1"/>
  <c r="G11" i="1"/>
  <c r="G13" i="1" s="1"/>
  <c r="F11" i="1"/>
  <c r="F13" i="1" s="1"/>
  <c r="E11" i="1"/>
  <c r="D11" i="1"/>
  <c r="C12" i="1"/>
  <c r="C14" i="1" s="1"/>
  <c r="H10" i="1"/>
  <c r="G10" i="1"/>
  <c r="F10" i="1"/>
  <c r="E10" i="1"/>
  <c r="D10" i="1"/>
  <c r="E59" i="4" l="1"/>
  <c r="E61" i="4" s="1"/>
  <c r="E64" i="4" s="1"/>
  <c r="E66" i="4" s="1"/>
  <c r="C64" i="4"/>
  <c r="J60" i="4"/>
  <c r="G56" i="4"/>
  <c r="F59" i="4"/>
  <c r="F61" i="4" s="1"/>
  <c r="F64" i="4" s="1"/>
  <c r="F66" i="4" s="1"/>
  <c r="D61" i="4"/>
  <c r="D64" i="4" s="1"/>
  <c r="D66" i="4" s="1"/>
  <c r="J58" i="4"/>
  <c r="J57" i="4"/>
  <c r="C42" i="4"/>
  <c r="E39" i="4"/>
  <c r="E42" i="4" s="1"/>
  <c r="E44" i="4" s="1"/>
  <c r="J38" i="4"/>
  <c r="D39" i="4"/>
  <c r="D42" i="4" s="1"/>
  <c r="D44" i="4" s="1"/>
  <c r="F34" i="4"/>
  <c r="J36" i="4"/>
  <c r="J35" i="4"/>
  <c r="D15" i="4"/>
  <c r="D17" i="4" s="1"/>
  <c r="D20" i="4" s="1"/>
  <c r="E15" i="4"/>
  <c r="E17" i="4" s="1"/>
  <c r="E20" i="4" s="1"/>
  <c r="E22" i="4" s="1"/>
  <c r="F12" i="4"/>
  <c r="F15" i="4" s="1"/>
  <c r="F17" i="4" s="1"/>
  <c r="F20" i="4" s="1"/>
  <c r="F22" i="4" s="1"/>
  <c r="J13" i="4"/>
  <c r="J16" i="4"/>
  <c r="J14" i="4"/>
  <c r="E14" i="3"/>
  <c r="E17" i="3" s="1"/>
  <c r="D14" i="3"/>
  <c r="I12" i="3"/>
  <c r="C19" i="3"/>
  <c r="C22" i="3" s="1"/>
  <c r="H19" i="3"/>
  <c r="H22" i="3" s="1"/>
  <c r="D54" i="3"/>
  <c r="D57" i="3" s="1"/>
  <c r="F54" i="3"/>
  <c r="F57" i="3" s="1"/>
  <c r="E54" i="3"/>
  <c r="E57" i="3" s="1"/>
  <c r="G54" i="3"/>
  <c r="G57" i="3" s="1"/>
  <c r="F14" i="3"/>
  <c r="F17" i="3" s="1"/>
  <c r="I13" i="3"/>
  <c r="G19" i="3"/>
  <c r="G22" i="3" s="1"/>
  <c r="H47" i="3"/>
  <c r="H49" i="3" s="1"/>
  <c r="H52" i="3" s="1"/>
  <c r="C49" i="3"/>
  <c r="I11" i="3"/>
  <c r="I10" i="3"/>
  <c r="I46" i="3"/>
  <c r="F47" i="1"/>
  <c r="F49" i="1" s="1"/>
  <c r="F52" i="1" s="1"/>
  <c r="E12" i="1"/>
  <c r="H12" i="1"/>
  <c r="I11" i="1"/>
  <c r="I45" i="1"/>
  <c r="I10" i="1"/>
  <c r="H47" i="1"/>
  <c r="C17" i="1"/>
  <c r="C27" i="1" s="1"/>
  <c r="I46" i="1"/>
  <c r="H13" i="1"/>
  <c r="E13" i="1"/>
  <c r="F12" i="1"/>
  <c r="F14" i="1" s="1"/>
  <c r="F17" i="1" s="1"/>
  <c r="D12" i="1"/>
  <c r="H29" i="2"/>
  <c r="F31" i="2"/>
  <c r="F34" i="2" s="1"/>
  <c r="G31" i="2"/>
  <c r="G34" i="2" s="1"/>
  <c r="E31" i="2"/>
  <c r="E34" i="2" s="1"/>
  <c r="H31" i="2"/>
  <c r="H34" i="2" s="1"/>
  <c r="H48" i="1"/>
  <c r="G47" i="1"/>
  <c r="G49" i="1" s="1"/>
  <c r="G52" i="1" s="1"/>
  <c r="E47" i="1"/>
  <c r="E49" i="1" s="1"/>
  <c r="E52" i="1" s="1"/>
  <c r="D47" i="1"/>
  <c r="C52" i="1"/>
  <c r="C63" i="1" s="1"/>
  <c r="G12" i="1"/>
  <c r="G14" i="1" s="1"/>
  <c r="G17" i="1" s="1"/>
  <c r="D13" i="1"/>
  <c r="H56" i="4" l="1"/>
  <c r="G59" i="4"/>
  <c r="C66" i="4"/>
  <c r="G34" i="4"/>
  <c r="F37" i="4"/>
  <c r="C44" i="4"/>
  <c r="D22" i="4"/>
  <c r="G12" i="4"/>
  <c r="G15" i="4" s="1"/>
  <c r="G17" i="4" s="1"/>
  <c r="G20" i="4" s="1"/>
  <c r="G22" i="4" s="1"/>
  <c r="C52" i="3"/>
  <c r="I49" i="3"/>
  <c r="H54" i="3"/>
  <c r="H57" i="3" s="1"/>
  <c r="I14" i="3"/>
  <c r="D17" i="3"/>
  <c r="F19" i="3"/>
  <c r="F22" i="3" s="1"/>
  <c r="E19" i="3"/>
  <c r="E22" i="3" s="1"/>
  <c r="I47" i="3"/>
  <c r="G19" i="1"/>
  <c r="C31" i="1"/>
  <c r="F19" i="1"/>
  <c r="C30" i="1"/>
  <c r="E14" i="1"/>
  <c r="E17" i="1" s="1"/>
  <c r="H14" i="1"/>
  <c r="H17" i="1" s="1"/>
  <c r="H49" i="1"/>
  <c r="H52" i="1" s="1"/>
  <c r="I48" i="1"/>
  <c r="F54" i="1"/>
  <c r="F57" i="1" s="1"/>
  <c r="C66" i="1"/>
  <c r="E54" i="1"/>
  <c r="E57" i="1" s="1"/>
  <c r="C65" i="1"/>
  <c r="G54" i="1"/>
  <c r="G57" i="1" s="1"/>
  <c r="C67" i="1"/>
  <c r="F22" i="1"/>
  <c r="D49" i="1"/>
  <c r="D52" i="1" s="1"/>
  <c r="I47" i="1"/>
  <c r="C19" i="1"/>
  <c r="C22" i="1" s="1"/>
  <c r="D14" i="1"/>
  <c r="I13" i="1"/>
  <c r="I12" i="1"/>
  <c r="C54" i="1"/>
  <c r="C57" i="1" s="1"/>
  <c r="G22" i="1"/>
  <c r="G61" i="4" l="1"/>
  <c r="I56" i="4"/>
  <c r="H59" i="4"/>
  <c r="H61" i="4" s="1"/>
  <c r="H64" i="4" s="1"/>
  <c r="H66" i="4" s="1"/>
  <c r="F39" i="4"/>
  <c r="H34" i="4"/>
  <c r="G37" i="4"/>
  <c r="G39" i="4" s="1"/>
  <c r="G42" i="4" s="1"/>
  <c r="G44" i="4" s="1"/>
  <c r="H12" i="4"/>
  <c r="H15" i="4" s="1"/>
  <c r="H17" i="4" s="1"/>
  <c r="H20" i="4" s="1"/>
  <c r="H22" i="4" s="1"/>
  <c r="D19" i="3"/>
  <c r="I17" i="3"/>
  <c r="C54" i="3"/>
  <c r="C57" i="3" s="1"/>
  <c r="I52" i="3"/>
  <c r="H54" i="1"/>
  <c r="H57" i="1" s="1"/>
  <c r="H19" i="1"/>
  <c r="C32" i="1"/>
  <c r="E19" i="1"/>
  <c r="E22" i="1" s="1"/>
  <c r="C29" i="1"/>
  <c r="I49" i="1"/>
  <c r="C68" i="1"/>
  <c r="H22" i="1"/>
  <c r="D54" i="1"/>
  <c r="D57" i="1" s="1"/>
  <c r="I57" i="1" s="1"/>
  <c r="C64" i="1"/>
  <c r="D17" i="1"/>
  <c r="C28" i="1" s="1"/>
  <c r="I14" i="1"/>
  <c r="I52" i="1"/>
  <c r="I59" i="4" l="1"/>
  <c r="I61" i="4" s="1"/>
  <c r="I64" i="4" s="1"/>
  <c r="I66" i="4" s="1"/>
  <c r="J56" i="4"/>
  <c r="G64" i="4"/>
  <c r="F42" i="4"/>
  <c r="I34" i="4"/>
  <c r="H37" i="4"/>
  <c r="H39" i="4" s="1"/>
  <c r="H42" i="4" s="1"/>
  <c r="H44" i="4" s="1"/>
  <c r="I12" i="4"/>
  <c r="I15" i="4" s="1"/>
  <c r="I17" i="4" s="1"/>
  <c r="I20" i="4" s="1"/>
  <c r="C59" i="3"/>
  <c r="I57" i="3"/>
  <c r="D22" i="3"/>
  <c r="I22" i="3" s="1"/>
  <c r="G27" i="1"/>
  <c r="G26" i="1"/>
  <c r="G63" i="1"/>
  <c r="C59" i="1"/>
  <c r="G62" i="1"/>
  <c r="D19" i="1"/>
  <c r="I17" i="1"/>
  <c r="J61" i="4" l="1"/>
  <c r="G66" i="4"/>
  <c r="J66" i="4" s="1"/>
  <c r="F49" i="4"/>
  <c r="F50" i="4"/>
  <c r="J64" i="4"/>
  <c r="F51" i="4"/>
  <c r="J59" i="4"/>
  <c r="I37" i="4"/>
  <c r="I39" i="4" s="1"/>
  <c r="I42" i="4" s="1"/>
  <c r="I44" i="4" s="1"/>
  <c r="J34" i="4"/>
  <c r="F44" i="4"/>
  <c r="I22" i="4"/>
  <c r="J22" i="4" s="1"/>
  <c r="F6" i="4"/>
  <c r="F5" i="4"/>
  <c r="J12" i="4"/>
  <c r="J15" i="4"/>
  <c r="D22" i="1"/>
  <c r="C24" i="1"/>
  <c r="J39" i="4" l="1"/>
  <c r="J37" i="4"/>
  <c r="J42" i="4"/>
  <c r="F27" i="4"/>
  <c r="F28" i="4"/>
  <c r="J44" i="4"/>
  <c r="F29" i="4"/>
  <c r="J17" i="4"/>
  <c r="J20" i="4"/>
  <c r="F7" i="4"/>
  <c r="I22" i="1"/>
</calcChain>
</file>

<file path=xl/sharedStrings.xml><?xml version="1.0" encoding="utf-8"?>
<sst xmlns="http://schemas.openxmlformats.org/spreadsheetml/2006/main" count="233" uniqueCount="48">
  <si>
    <t>DESCRIPCION</t>
  </si>
  <si>
    <t>PERIODOS</t>
  </si>
  <si>
    <t>Ventas anuales</t>
  </si>
  <si>
    <t>Gastos operativos</t>
  </si>
  <si>
    <t>Gastos de mantenimiento</t>
  </si>
  <si>
    <t>Depreciación 10% anual</t>
  </si>
  <si>
    <t>Utilidad anual</t>
  </si>
  <si>
    <t>Inversión Inicial</t>
  </si>
  <si>
    <t>(+) Depreciación</t>
  </si>
  <si>
    <t>Flujo de Caja</t>
  </si>
  <si>
    <t>Valor de rescate</t>
  </si>
  <si>
    <t>Utilidad ajustada</t>
  </si>
  <si>
    <t xml:space="preserve">i = </t>
  </si>
  <si>
    <t>VAN =</t>
  </si>
  <si>
    <r>
      <t>(1.14)</t>
    </r>
    <r>
      <rPr>
        <sz val="12"/>
        <color theme="1"/>
        <rFont val="Calibri"/>
        <family val="2"/>
      </rPr>
      <t>¹</t>
    </r>
  </si>
  <si>
    <r>
      <t>(1.14)</t>
    </r>
    <r>
      <rPr>
        <sz val="12"/>
        <color theme="1"/>
        <rFont val="Calibri"/>
        <family val="2"/>
      </rPr>
      <t>²</t>
    </r>
  </si>
  <si>
    <r>
      <t>(1.14)</t>
    </r>
    <r>
      <rPr>
        <sz val="12"/>
        <color theme="1"/>
        <rFont val="Calibri"/>
        <family val="2"/>
      </rPr>
      <t>³</t>
    </r>
  </si>
  <si>
    <r>
      <t>(1.14)</t>
    </r>
    <r>
      <rPr>
        <sz val="12"/>
        <color theme="1"/>
        <rFont val="Calibri"/>
        <family val="2"/>
      </rPr>
      <t>⁴</t>
    </r>
  </si>
  <si>
    <r>
      <t>(1.14)</t>
    </r>
    <r>
      <rPr>
        <sz val="12"/>
        <color theme="1"/>
        <rFont val="Calibri"/>
        <family val="2"/>
      </rPr>
      <t>⁵</t>
    </r>
  </si>
  <si>
    <t>n =</t>
  </si>
  <si>
    <t>5 años</t>
  </si>
  <si>
    <t xml:space="preserve">CASO I </t>
  </si>
  <si>
    <t>Inversión Inicial =</t>
  </si>
  <si>
    <t>ALTERNATIVA A</t>
  </si>
  <si>
    <t>ALTERNATIVA B</t>
  </si>
  <si>
    <r>
      <t>(1.09)</t>
    </r>
    <r>
      <rPr>
        <sz val="12"/>
        <color theme="1"/>
        <rFont val="Calibri"/>
        <family val="2"/>
      </rPr>
      <t>¹</t>
    </r>
  </si>
  <si>
    <r>
      <t>(1.09)</t>
    </r>
    <r>
      <rPr>
        <sz val="12"/>
        <color theme="1"/>
        <rFont val="Calibri"/>
        <family val="2"/>
      </rPr>
      <t>²</t>
    </r>
  </si>
  <si>
    <r>
      <t>(1.09)</t>
    </r>
    <r>
      <rPr>
        <sz val="12"/>
        <color theme="1"/>
        <rFont val="Calibri"/>
        <family val="2"/>
      </rPr>
      <t>³</t>
    </r>
  </si>
  <si>
    <r>
      <t>(1.09)</t>
    </r>
    <r>
      <rPr>
        <sz val="12"/>
        <color theme="1"/>
        <rFont val="Calibri"/>
        <family val="2"/>
      </rPr>
      <t>⁴</t>
    </r>
  </si>
  <si>
    <r>
      <t>(1.09)</t>
    </r>
    <r>
      <rPr>
        <sz val="12"/>
        <color theme="1"/>
        <rFont val="Calibri"/>
        <family val="2"/>
      </rPr>
      <t>⁵</t>
    </r>
  </si>
  <si>
    <t>Depreciación 15% anual</t>
  </si>
  <si>
    <t>Ventas Anuales</t>
  </si>
  <si>
    <t>Depreciación 10%</t>
  </si>
  <si>
    <t>Utilidad Anual</t>
  </si>
  <si>
    <t>Utilidad Ajustada</t>
  </si>
  <si>
    <t>FLUJO DE CAJA</t>
  </si>
  <si>
    <t>Depreciación 15%</t>
  </si>
  <si>
    <t>TIR =</t>
  </si>
  <si>
    <t>FLUJOS DE CAJA</t>
  </si>
  <si>
    <t>i =</t>
  </si>
  <si>
    <t>VPN =</t>
  </si>
  <si>
    <t>TOTAL</t>
  </si>
  <si>
    <t>Tasa de Descuento</t>
  </si>
  <si>
    <t>Años</t>
  </si>
  <si>
    <t>6 años</t>
  </si>
  <si>
    <t>CASO II</t>
  </si>
  <si>
    <t>ALTERNATIVA C</t>
  </si>
  <si>
    <t>Respuesta: La mejor es la alternativa A por su valor VAN positivo, le sigue la alternativa C por tener un valor menor en rojos y por último la alternativa C ser el de mayor pérdida.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</si>
</sst>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#,##0.00_ ;[Red]\-#,##0.00\ "/>
    <numFmt numFmtId="166" formatCode="#,##0_ ;[Red]\-#,##0\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70C0"/>
      <name val="Arial Black"/>
      <family val="2"/>
    </font>
    <font>
      <b/>
      <sz val="12"/>
      <color rgb="FF00B050"/>
      <name val="Arial Black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3" borderId="0" xfId="0" applyFont="1" applyFill="1"/>
    <xf numFmtId="165" fontId="2" fillId="3" borderId="0" xfId="1" applyNumberFormat="1" applyFont="1" applyFill="1" applyAlignment="1">
      <alignment horizontal="center"/>
    </xf>
    <xf numFmtId="0" fontId="3" fillId="3" borderId="0" xfId="0" applyFont="1" applyFill="1"/>
    <xf numFmtId="165" fontId="3" fillId="3" borderId="0" xfId="1" applyNumberFormat="1" applyFont="1" applyFill="1" applyAlignment="1">
      <alignment horizontal="center"/>
    </xf>
    <xf numFmtId="166" fontId="3" fillId="2" borderId="1" xfId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165" fontId="2" fillId="3" borderId="0" xfId="1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165" fontId="3" fillId="3" borderId="0" xfId="1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horizontal="center" vertical="center"/>
    </xf>
    <xf numFmtId="164" fontId="2" fillId="3" borderId="2" xfId="1" applyFont="1" applyFill="1" applyBorder="1"/>
    <xf numFmtId="49" fontId="2" fillId="3" borderId="0" xfId="0" applyNumberFormat="1" applyFont="1" applyFill="1" applyAlignment="1">
      <alignment horizontal="center"/>
    </xf>
    <xf numFmtId="165" fontId="2" fillId="3" borderId="2" xfId="1" applyNumberFormat="1" applyFont="1" applyFill="1" applyBorder="1" applyAlignment="1">
      <alignment horizontal="center"/>
    </xf>
    <xf numFmtId="2" fontId="2" fillId="3" borderId="2" xfId="1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9" fontId="2" fillId="3" borderId="0" xfId="2" applyFont="1" applyFill="1" applyAlignment="1">
      <alignment horizontal="center"/>
    </xf>
    <xf numFmtId="9" fontId="3" fillId="3" borderId="0" xfId="2" applyFont="1" applyFill="1" applyAlignment="1">
      <alignment horizontal="center"/>
    </xf>
    <xf numFmtId="0" fontId="6" fillId="3" borderId="0" xfId="0" applyFont="1" applyFill="1"/>
    <xf numFmtId="0" fontId="7" fillId="3" borderId="0" xfId="0" applyFont="1" applyFill="1"/>
    <xf numFmtId="166" fontId="3" fillId="4" borderId="1" xfId="1" applyNumberFormat="1" applyFont="1" applyFill="1" applyBorder="1" applyAlignment="1">
      <alignment horizontal="center" vertical="center"/>
    </xf>
    <xf numFmtId="0" fontId="0" fillId="3" borderId="0" xfId="0" applyFill="1"/>
    <xf numFmtId="166" fontId="3" fillId="5" borderId="1" xfId="1" applyNumberFormat="1" applyFon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/>
    </xf>
    <xf numFmtId="0" fontId="5" fillId="3" borderId="0" xfId="0" applyFont="1" applyFill="1"/>
    <xf numFmtId="165" fontId="0" fillId="3" borderId="2" xfId="0" applyNumberFormat="1" applyFill="1" applyBorder="1" applyAlignment="1">
      <alignment horizontal="center"/>
    </xf>
    <xf numFmtId="165" fontId="5" fillId="3" borderId="0" xfId="0" applyNumberFormat="1" applyFont="1" applyFill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165" fontId="3" fillId="3" borderId="0" xfId="0" applyNumberFormat="1" applyFont="1" applyFill="1" applyAlignment="1">
      <alignment vertical="center"/>
    </xf>
    <xf numFmtId="165" fontId="3" fillId="3" borderId="1" xfId="0" applyNumberFormat="1" applyFont="1" applyFill="1" applyBorder="1" applyAlignment="1">
      <alignment vertical="center"/>
    </xf>
    <xf numFmtId="164" fontId="8" fillId="3" borderId="0" xfId="1" applyFont="1" applyFill="1" applyAlignment="1">
      <alignment horizontal="center"/>
    </xf>
    <xf numFmtId="164" fontId="3" fillId="3" borderId="0" xfId="0" applyNumberFormat="1" applyFont="1" applyFill="1"/>
    <xf numFmtId="165" fontId="10" fillId="3" borderId="0" xfId="1" applyNumberFormat="1" applyFont="1" applyFill="1" applyAlignment="1">
      <alignment horizontal="center"/>
    </xf>
    <xf numFmtId="165" fontId="3" fillId="3" borderId="0" xfId="0" applyNumberFormat="1" applyFont="1" applyFill="1"/>
    <xf numFmtId="165" fontId="9" fillId="3" borderId="4" xfId="1" applyNumberFormat="1" applyFont="1" applyFill="1" applyBorder="1" applyAlignment="1">
      <alignment horizontal="center"/>
    </xf>
    <xf numFmtId="165" fontId="9" fillId="3" borderId="6" xfId="1" applyNumberFormat="1" applyFont="1" applyFill="1" applyBorder="1" applyAlignment="1">
      <alignment horizontal="center"/>
    </xf>
    <xf numFmtId="165" fontId="9" fillId="3" borderId="8" xfId="1" applyNumberFormat="1" applyFont="1" applyFill="1" applyBorder="1" applyAlignment="1">
      <alignment horizontal="center"/>
    </xf>
    <xf numFmtId="9" fontId="9" fillId="3" borderId="9" xfId="2" applyFont="1" applyFill="1" applyBorder="1" applyAlignment="1">
      <alignment horizontal="center"/>
    </xf>
    <xf numFmtId="165" fontId="2" fillId="3" borderId="0" xfId="1" applyNumberFormat="1" applyFont="1" applyFill="1" applyAlignment="1">
      <alignment horizontal="left"/>
    </xf>
    <xf numFmtId="164" fontId="8" fillId="3" borderId="0" xfId="1" applyFont="1" applyFill="1" applyBorder="1" applyAlignment="1">
      <alignment horizontal="center"/>
    </xf>
    <xf numFmtId="165" fontId="9" fillId="3" borderId="0" xfId="1" applyNumberFormat="1" applyFont="1" applyFill="1" applyBorder="1" applyAlignment="1">
      <alignment horizontal="center"/>
    </xf>
    <xf numFmtId="9" fontId="9" fillId="3" borderId="0" xfId="2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center"/>
    </xf>
    <xf numFmtId="165" fontId="10" fillId="3" borderId="0" xfId="1" applyNumberFormat="1" applyFont="1" applyFill="1" applyBorder="1" applyAlignment="1">
      <alignment horizontal="center"/>
    </xf>
    <xf numFmtId="165" fontId="2" fillId="3" borderId="0" xfId="1" applyNumberFormat="1" applyFont="1" applyFill="1" applyBorder="1" applyAlignment="1">
      <alignment horizontal="left"/>
    </xf>
    <xf numFmtId="9" fontId="2" fillId="3" borderId="0" xfId="2" applyFont="1" applyFill="1" applyBorder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9" fontId="2" fillId="3" borderId="0" xfId="2" applyFont="1" applyFill="1" applyAlignment="1">
      <alignment vertical="center"/>
    </xf>
    <xf numFmtId="165" fontId="3" fillId="3" borderId="0" xfId="1" applyNumberFormat="1" applyFont="1" applyFill="1" applyAlignment="1">
      <alignment horizontal="right"/>
    </xf>
    <xf numFmtId="9" fontId="2" fillId="3" borderId="0" xfId="2" applyFont="1" applyFill="1" applyAlignment="1">
      <alignment horizontal="left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left"/>
    </xf>
    <xf numFmtId="10" fontId="3" fillId="3" borderId="0" xfId="0" applyNumberFormat="1" applyFont="1" applyFill="1" applyAlignment="1">
      <alignment horizontal="center"/>
    </xf>
    <xf numFmtId="165" fontId="9" fillId="3" borderId="5" xfId="1" applyNumberFormat="1" applyFont="1" applyFill="1" applyBorder="1" applyAlignment="1">
      <alignment horizontal="center" vertical="center"/>
    </xf>
    <xf numFmtId="165" fontId="9" fillId="3" borderId="7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5" fontId="3" fillId="4" borderId="0" xfId="1" applyNumberFormat="1" applyFont="1" applyFill="1" applyBorder="1" applyAlignment="1">
      <alignment horizontal="center" vertical="center"/>
    </xf>
    <xf numFmtId="165" fontId="9" fillId="3" borderId="0" xfId="1" applyNumberFormat="1" applyFont="1" applyFill="1" applyBorder="1" applyAlignment="1">
      <alignment horizontal="center" vertical="center"/>
    </xf>
    <xf numFmtId="165" fontId="2" fillId="3" borderId="0" xfId="1" applyNumberFormat="1" applyFont="1" applyFill="1" applyAlignment="1">
      <alignment horizontal="left" wrapText="1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65" fontId="3" fillId="5" borderId="0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25686</xdr:colOff>
      <xdr:row>71</xdr:row>
      <xdr:rowOff>119865</xdr:rowOff>
    </xdr:from>
    <xdr:to>
      <xdr:col>15</xdr:col>
      <xdr:colOff>487547</xdr:colOff>
      <xdr:row>81</xdr:row>
      <xdr:rowOff>68494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51B7AF-D589-CE79-5884-C1AD41EDF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1933" y="15025955"/>
          <a:ext cx="16275502" cy="18407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CEB6-226A-403D-A7C1-9D3F39F5ADC9}">
  <sheetPr>
    <tabColor rgb="FFFFFF00"/>
  </sheetPr>
  <dimension ref="A1:I70"/>
  <sheetViews>
    <sheetView topLeftCell="B19" zoomScale="120" zoomScaleNormal="120" workbookViewId="0">
      <selection activeCell="B26" sqref="B26"/>
    </sheetView>
  </sheetViews>
  <sheetFormatPr defaultColWidth="11.5546875" defaultRowHeight="15" x14ac:dyDescent="0.25"/>
  <cols>
    <col min="1" max="1" width="11.5546875" style="1"/>
    <col min="2" max="2" width="38.33203125" style="1" customWidth="1"/>
    <col min="3" max="8" width="17.21875" style="2" customWidth="1"/>
    <col min="9" max="9" width="13.5546875" style="1" bestFit="1" customWidth="1"/>
    <col min="10" max="16384" width="11.5546875" style="1"/>
  </cols>
  <sheetData>
    <row r="1" spans="1:9" ht="18.600000000000001" x14ac:dyDescent="0.45">
      <c r="A1"/>
      <c r="B1" s="20" t="s">
        <v>21</v>
      </c>
    </row>
    <row r="2" spans="1:9" ht="18.600000000000001" x14ac:dyDescent="0.45">
      <c r="B2" s="20" t="s">
        <v>23</v>
      </c>
    </row>
    <row r="3" spans="1:9" ht="15.6" x14ac:dyDescent="0.3">
      <c r="B3" s="16" t="s">
        <v>22</v>
      </c>
      <c r="C3" s="4">
        <v>225000</v>
      </c>
    </row>
    <row r="4" spans="1:9" ht="15.6" x14ac:dyDescent="0.3">
      <c r="B4" s="16" t="s">
        <v>12</v>
      </c>
      <c r="C4" s="19">
        <v>0.14000000000000001</v>
      </c>
      <c r="D4" s="4" t="s">
        <v>19</v>
      </c>
      <c r="E4" s="4" t="s">
        <v>20</v>
      </c>
    </row>
    <row r="6" spans="1:9" ht="15.6" x14ac:dyDescent="0.25">
      <c r="B6" s="62" t="s">
        <v>0</v>
      </c>
      <c r="C6" s="64" t="s">
        <v>1</v>
      </c>
      <c r="D6" s="64"/>
      <c r="E6" s="64"/>
      <c r="F6" s="64"/>
      <c r="G6" s="64"/>
      <c r="H6" s="64"/>
      <c r="I6" s="62" t="s">
        <v>41</v>
      </c>
    </row>
    <row r="7" spans="1:9" ht="16.2" thickBot="1" x14ac:dyDescent="0.3">
      <c r="B7" s="63"/>
      <c r="C7" s="5">
        <v>0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63"/>
    </row>
    <row r="8" spans="1:9" s="6" customFormat="1" ht="19.8" customHeight="1" x14ac:dyDescent="0.25">
      <c r="A8" s="1"/>
      <c r="B8" s="6" t="s">
        <v>2</v>
      </c>
      <c r="C8" s="7">
        <v>0</v>
      </c>
      <c r="D8" s="7">
        <v>75000</v>
      </c>
      <c r="E8" s="7">
        <v>75000</v>
      </c>
      <c r="F8" s="7">
        <v>75000</v>
      </c>
      <c r="G8" s="7">
        <v>90000</v>
      </c>
      <c r="H8" s="7">
        <v>90000</v>
      </c>
      <c r="I8" s="30">
        <f>SUM(C8:H8)</f>
        <v>405000</v>
      </c>
    </row>
    <row r="9" spans="1:9" s="6" customFormat="1" ht="19.8" customHeight="1" x14ac:dyDescent="0.3">
      <c r="B9" s="6" t="s">
        <v>3</v>
      </c>
      <c r="C9" s="7">
        <v>0</v>
      </c>
      <c r="D9" s="7">
        <v>-15000</v>
      </c>
      <c r="E9" s="7">
        <v>-15000</v>
      </c>
      <c r="F9" s="7">
        <v>-15000</v>
      </c>
      <c r="G9" s="7">
        <v>-15000</v>
      </c>
      <c r="H9" s="7">
        <v>-15000</v>
      </c>
      <c r="I9" s="30">
        <f t="shared" ref="I9:I17" si="0">SUM(C9:H9)</f>
        <v>-75000</v>
      </c>
    </row>
    <row r="10" spans="1:9" s="6" customFormat="1" ht="19.8" customHeight="1" x14ac:dyDescent="0.3">
      <c r="B10" s="6" t="s">
        <v>4</v>
      </c>
      <c r="C10" s="7">
        <v>0</v>
      </c>
      <c r="D10" s="7">
        <f>-600*2</f>
        <v>-1200</v>
      </c>
      <c r="E10" s="7">
        <f>-600*2</f>
        <v>-1200</v>
      </c>
      <c r="F10" s="7">
        <f>-600*2</f>
        <v>-1200</v>
      </c>
      <c r="G10" s="7">
        <f>-600*2</f>
        <v>-1200</v>
      </c>
      <c r="H10" s="7">
        <f>-600*2</f>
        <v>-1200</v>
      </c>
      <c r="I10" s="30">
        <f t="shared" si="0"/>
        <v>-6000</v>
      </c>
    </row>
    <row r="11" spans="1:9" s="6" customFormat="1" ht="19.8" customHeight="1" thickBot="1" x14ac:dyDescent="0.35">
      <c r="B11" s="10" t="s">
        <v>5</v>
      </c>
      <c r="C11" s="11">
        <v>0</v>
      </c>
      <c r="D11" s="11">
        <f>-$C$3*10%</f>
        <v>-22500</v>
      </c>
      <c r="E11" s="11">
        <f t="shared" ref="E11:H11" si="1">-$C$3*10%</f>
        <v>-22500</v>
      </c>
      <c r="F11" s="11">
        <f t="shared" si="1"/>
        <v>-22500</v>
      </c>
      <c r="G11" s="11">
        <f t="shared" si="1"/>
        <v>-22500</v>
      </c>
      <c r="H11" s="11">
        <f t="shared" si="1"/>
        <v>-22500</v>
      </c>
      <c r="I11" s="31">
        <f t="shared" si="0"/>
        <v>-112500</v>
      </c>
    </row>
    <row r="12" spans="1:9" s="6" customFormat="1" ht="19.8" customHeight="1" x14ac:dyDescent="0.3">
      <c r="B12" s="8" t="s">
        <v>6</v>
      </c>
      <c r="C12" s="9">
        <f>C8-(SUM(C9:C11))</f>
        <v>0</v>
      </c>
      <c r="D12" s="9">
        <f>D8+(SUM(D9:D11))</f>
        <v>36300</v>
      </c>
      <c r="E12" s="9">
        <f>E8+(SUM(E9:E11))</f>
        <v>36300</v>
      </c>
      <c r="F12" s="9">
        <f>F8+(SUM(F9:F11))</f>
        <v>36300</v>
      </c>
      <c r="G12" s="9">
        <f>G8+(SUM(G9:G11))</f>
        <v>51300</v>
      </c>
      <c r="H12" s="9">
        <f>H8+(SUM(H9:H11))</f>
        <v>51300</v>
      </c>
      <c r="I12" s="30">
        <f t="shared" si="0"/>
        <v>211500</v>
      </c>
    </row>
    <row r="13" spans="1:9" s="6" customFormat="1" ht="19.8" customHeight="1" thickBot="1" x14ac:dyDescent="0.35">
      <c r="B13" s="10" t="s">
        <v>8</v>
      </c>
      <c r="C13" s="11">
        <v>0</v>
      </c>
      <c r="D13" s="11">
        <f>-D11</f>
        <v>22500</v>
      </c>
      <c r="E13" s="11">
        <f>-E11</f>
        <v>22500</v>
      </c>
      <c r="F13" s="11">
        <f>-F11</f>
        <v>22500</v>
      </c>
      <c r="G13" s="11">
        <f>-G11</f>
        <v>22500</v>
      </c>
      <c r="H13" s="11">
        <f>-H11</f>
        <v>22500</v>
      </c>
      <c r="I13" s="31">
        <f t="shared" si="0"/>
        <v>112500</v>
      </c>
    </row>
    <row r="14" spans="1:9" s="6" customFormat="1" ht="19.8" customHeight="1" x14ac:dyDescent="0.3">
      <c r="B14" s="8" t="s">
        <v>11</v>
      </c>
      <c r="C14" s="9">
        <f t="shared" ref="C14:H14" si="2">SUM(C12:C13)</f>
        <v>0</v>
      </c>
      <c r="D14" s="9">
        <f t="shared" si="2"/>
        <v>58800</v>
      </c>
      <c r="E14" s="9">
        <f t="shared" si="2"/>
        <v>58800</v>
      </c>
      <c r="F14" s="9">
        <f t="shared" si="2"/>
        <v>58800</v>
      </c>
      <c r="G14" s="9">
        <f t="shared" si="2"/>
        <v>73800</v>
      </c>
      <c r="H14" s="9">
        <f t="shared" si="2"/>
        <v>73800</v>
      </c>
      <c r="I14" s="30">
        <f t="shared" si="0"/>
        <v>324000</v>
      </c>
    </row>
    <row r="15" spans="1:9" s="6" customFormat="1" ht="19.8" customHeight="1" x14ac:dyDescent="0.3">
      <c r="B15" s="6" t="s">
        <v>7</v>
      </c>
      <c r="C15" s="7">
        <f>-C3</f>
        <v>-225000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30">
        <f t="shared" si="0"/>
        <v>-225000</v>
      </c>
    </row>
    <row r="16" spans="1:9" s="6" customFormat="1" ht="19.8" customHeight="1" thickBot="1" x14ac:dyDescent="0.35">
      <c r="B16" s="10" t="s">
        <v>10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95000</v>
      </c>
      <c r="I16" s="31">
        <f t="shared" si="0"/>
        <v>95000</v>
      </c>
    </row>
    <row r="17" spans="1:9" s="6" customFormat="1" ht="19.8" customHeight="1" x14ac:dyDescent="0.3">
      <c r="B17" s="8" t="s">
        <v>9</v>
      </c>
      <c r="C17" s="9">
        <f t="shared" ref="C17:H17" si="3">SUM(C14:C16)</f>
        <v>-225000</v>
      </c>
      <c r="D17" s="9">
        <f t="shared" si="3"/>
        <v>58800</v>
      </c>
      <c r="E17" s="9">
        <f t="shared" si="3"/>
        <v>58800</v>
      </c>
      <c r="F17" s="9">
        <f t="shared" si="3"/>
        <v>58800</v>
      </c>
      <c r="G17" s="9">
        <f t="shared" si="3"/>
        <v>73800</v>
      </c>
      <c r="H17" s="9">
        <f t="shared" si="3"/>
        <v>168800</v>
      </c>
      <c r="I17" s="30">
        <f t="shared" si="0"/>
        <v>194000</v>
      </c>
    </row>
    <row r="18" spans="1:9" s="6" customFormat="1" ht="19.8" customHeight="1" x14ac:dyDescent="0.3">
      <c r="C18" s="7"/>
      <c r="D18" s="7"/>
      <c r="E18" s="7"/>
      <c r="F18" s="7"/>
      <c r="G18" s="7"/>
      <c r="H18" s="7"/>
    </row>
    <row r="19" spans="1:9" ht="15.6" x14ac:dyDescent="0.3">
      <c r="A19" s="6"/>
      <c r="B19" s="3" t="s">
        <v>13</v>
      </c>
      <c r="C19" s="2">
        <f t="shared" ref="C19:H19" si="4">C17</f>
        <v>-225000</v>
      </c>
      <c r="D19" s="14">
        <f t="shared" si="4"/>
        <v>58800</v>
      </c>
      <c r="E19" s="12">
        <f t="shared" si="4"/>
        <v>58800</v>
      </c>
      <c r="F19" s="15">
        <f t="shared" si="4"/>
        <v>58800</v>
      </c>
      <c r="G19" s="15">
        <f t="shared" si="4"/>
        <v>73800</v>
      </c>
      <c r="H19" s="12">
        <f t="shared" si="4"/>
        <v>168800</v>
      </c>
    </row>
    <row r="20" spans="1:9" ht="15.6" x14ac:dyDescent="0.3">
      <c r="D20" s="13" t="s">
        <v>14</v>
      </c>
      <c r="E20" s="13" t="s">
        <v>15</v>
      </c>
      <c r="F20" s="13" t="s">
        <v>16</v>
      </c>
      <c r="G20" s="13" t="s">
        <v>17</v>
      </c>
      <c r="H20" s="13" t="s">
        <v>18</v>
      </c>
    </row>
    <row r="22" spans="1:9" ht="15.6" x14ac:dyDescent="0.3">
      <c r="B22" s="3" t="s">
        <v>13</v>
      </c>
      <c r="C22" s="2">
        <f>C19</f>
        <v>-225000</v>
      </c>
      <c r="D22" s="2">
        <f>D19/(1.14)</f>
        <v>51578.947368421061</v>
      </c>
      <c r="E22" s="2">
        <f>E19/(1.14)^2</f>
        <v>45244.690674053556</v>
      </c>
      <c r="F22" s="2">
        <f>F19/(1.14)^3</f>
        <v>39688.325152678561</v>
      </c>
      <c r="G22" s="2">
        <f>G19/(1.14)^4</f>
        <v>43695.524469920012</v>
      </c>
      <c r="H22" s="2">
        <f>H19/(1.14)^5</f>
        <v>87669.430543936891</v>
      </c>
      <c r="I22" s="35">
        <f>SUM(C22:H22)</f>
        <v>42876.918209010095</v>
      </c>
    </row>
    <row r="23" spans="1:9" ht="15.6" x14ac:dyDescent="0.3">
      <c r="B23" s="3"/>
      <c r="I23" s="35"/>
    </row>
    <row r="24" spans="1:9" ht="15.6" x14ac:dyDescent="0.3">
      <c r="B24" s="3" t="s">
        <v>13</v>
      </c>
      <c r="C24" s="33">
        <f>C22+(D19/(1.14))+(E19/(1.14^2))+(F19/(1.14^3))+(G19/(1.14^4))+(H19/(1.14^5))</f>
        <v>42876.918209010095</v>
      </c>
    </row>
    <row r="25" spans="1:9" ht="16.2" thickBot="1" x14ac:dyDescent="0.35">
      <c r="B25" s="3"/>
      <c r="C25" s="33"/>
    </row>
    <row r="26" spans="1:9" ht="16.2" thickBot="1" x14ac:dyDescent="0.35">
      <c r="B26" s="16" t="s">
        <v>1</v>
      </c>
      <c r="C26" s="32" t="s">
        <v>38</v>
      </c>
      <c r="D26" s="1"/>
      <c r="E26" s="1"/>
      <c r="F26" s="38" t="s">
        <v>37</v>
      </c>
      <c r="G26" s="39">
        <f>IRR(C27:C32,)</f>
        <v>0.20387476129951732</v>
      </c>
    </row>
    <row r="27" spans="1:9" ht="15.6" x14ac:dyDescent="0.3">
      <c r="B27" s="17">
        <v>0</v>
      </c>
      <c r="C27" s="2">
        <f>C17</f>
        <v>-225000</v>
      </c>
      <c r="D27" s="1"/>
      <c r="E27" s="1"/>
      <c r="F27" s="36" t="s">
        <v>40</v>
      </c>
      <c r="G27" s="60">
        <f>(NPV(C34,C28:C32))+C27</f>
        <v>42876.91820900992</v>
      </c>
    </row>
    <row r="28" spans="1:9" ht="16.2" thickBot="1" x14ac:dyDescent="0.35">
      <c r="B28" s="17">
        <v>1</v>
      </c>
      <c r="C28" s="2">
        <f>D17</f>
        <v>58800</v>
      </c>
      <c r="D28" s="1"/>
      <c r="E28" s="1"/>
      <c r="F28" s="37" t="s">
        <v>13</v>
      </c>
      <c r="G28" s="61"/>
    </row>
    <row r="29" spans="1:9" x14ac:dyDescent="0.25">
      <c r="B29" s="17">
        <v>2</v>
      </c>
      <c r="C29" s="2">
        <f>E17</f>
        <v>58800</v>
      </c>
      <c r="D29" s="34"/>
      <c r="E29" s="34"/>
      <c r="F29" s="34"/>
    </row>
    <row r="30" spans="1:9" x14ac:dyDescent="0.25">
      <c r="B30" s="17">
        <v>3</v>
      </c>
      <c r="C30" s="2">
        <f>F17</f>
        <v>58800</v>
      </c>
      <c r="D30" s="34"/>
      <c r="E30" s="34"/>
      <c r="F30" s="34"/>
    </row>
    <row r="31" spans="1:9" x14ac:dyDescent="0.25">
      <c r="B31" s="17">
        <v>4</v>
      </c>
      <c r="C31" s="2">
        <f>G17</f>
        <v>73800</v>
      </c>
    </row>
    <row r="32" spans="1:9" x14ac:dyDescent="0.25">
      <c r="B32" s="17">
        <v>5</v>
      </c>
      <c r="C32" s="2">
        <f>H17</f>
        <v>168800</v>
      </c>
    </row>
    <row r="33" spans="1:9" x14ac:dyDescent="0.25">
      <c r="B33" s="17" t="s">
        <v>19</v>
      </c>
      <c r="C33" s="2">
        <v>5</v>
      </c>
      <c r="D33" s="40" t="s">
        <v>43</v>
      </c>
    </row>
    <row r="34" spans="1:9" x14ac:dyDescent="0.25">
      <c r="B34" s="17" t="s">
        <v>39</v>
      </c>
      <c r="C34" s="18">
        <v>0.14000000000000001</v>
      </c>
      <c r="D34" s="40" t="s">
        <v>42</v>
      </c>
    </row>
    <row r="35" spans="1:9" x14ac:dyDescent="0.25">
      <c r="B35" s="17"/>
    </row>
    <row r="37" spans="1:9" ht="18.600000000000001" x14ac:dyDescent="0.45">
      <c r="B37" s="21" t="s">
        <v>24</v>
      </c>
    </row>
    <row r="38" spans="1:9" ht="15.6" x14ac:dyDescent="0.3">
      <c r="B38" s="16" t="s">
        <v>22</v>
      </c>
      <c r="C38" s="4">
        <v>300000</v>
      </c>
    </row>
    <row r="39" spans="1:9" ht="15.6" x14ac:dyDescent="0.3">
      <c r="B39" s="16" t="s">
        <v>12</v>
      </c>
      <c r="C39" s="19">
        <v>0.09</v>
      </c>
      <c r="D39" s="4" t="s">
        <v>19</v>
      </c>
      <c r="E39" s="4" t="s">
        <v>20</v>
      </c>
    </row>
    <row r="41" spans="1:9" ht="15.6" x14ac:dyDescent="0.25">
      <c r="B41" s="65" t="s">
        <v>0</v>
      </c>
      <c r="C41" s="67" t="s">
        <v>1</v>
      </c>
      <c r="D41" s="67"/>
      <c r="E41" s="67"/>
      <c r="F41" s="67"/>
      <c r="G41" s="67"/>
      <c r="H41" s="67"/>
      <c r="I41" s="65" t="s">
        <v>41</v>
      </c>
    </row>
    <row r="42" spans="1:9" ht="16.2" thickBot="1" x14ac:dyDescent="0.3">
      <c r="B42" s="66"/>
      <c r="C42" s="22">
        <v>0</v>
      </c>
      <c r="D42" s="22">
        <v>1</v>
      </c>
      <c r="E42" s="22">
        <v>2</v>
      </c>
      <c r="F42" s="22">
        <v>3</v>
      </c>
      <c r="G42" s="22">
        <v>4</v>
      </c>
      <c r="H42" s="22">
        <v>5</v>
      </c>
      <c r="I42" s="66"/>
    </row>
    <row r="43" spans="1:9" s="6" customFormat="1" ht="19.8" customHeight="1" x14ac:dyDescent="0.25">
      <c r="A43" s="1"/>
      <c r="B43" s="6" t="s">
        <v>2</v>
      </c>
      <c r="C43" s="7">
        <v>0</v>
      </c>
      <c r="D43" s="7">
        <v>70000</v>
      </c>
      <c r="E43" s="7">
        <v>70000</v>
      </c>
      <c r="F43" s="7">
        <v>75000</v>
      </c>
      <c r="G43" s="7">
        <v>95000</v>
      </c>
      <c r="H43" s="7">
        <v>95000</v>
      </c>
      <c r="I43" s="30">
        <f>SUM(C43:H43)</f>
        <v>405000</v>
      </c>
    </row>
    <row r="44" spans="1:9" s="6" customFormat="1" ht="19.8" customHeight="1" x14ac:dyDescent="0.3">
      <c r="B44" s="6" t="s">
        <v>3</v>
      </c>
      <c r="C44" s="7">
        <v>0</v>
      </c>
      <c r="D44" s="7">
        <v>-14000</v>
      </c>
      <c r="E44" s="7">
        <v>-14000</v>
      </c>
      <c r="F44" s="7">
        <v>-14000</v>
      </c>
      <c r="G44" s="7">
        <v>-14000</v>
      </c>
      <c r="H44" s="7">
        <v>-14000</v>
      </c>
      <c r="I44" s="30">
        <f t="shared" ref="I44:I52" si="5">SUM(C44:H44)</f>
        <v>-70000</v>
      </c>
    </row>
    <row r="45" spans="1:9" s="6" customFormat="1" ht="19.8" customHeight="1" x14ac:dyDescent="0.3">
      <c r="B45" s="6" t="s">
        <v>4</v>
      </c>
      <c r="C45" s="7">
        <v>0</v>
      </c>
      <c r="D45" s="7">
        <f>-700*2</f>
        <v>-1400</v>
      </c>
      <c r="E45" s="7">
        <f t="shared" ref="E45:H45" si="6">-700*2</f>
        <v>-1400</v>
      </c>
      <c r="F45" s="7">
        <f t="shared" si="6"/>
        <v>-1400</v>
      </c>
      <c r="G45" s="7">
        <f t="shared" si="6"/>
        <v>-1400</v>
      </c>
      <c r="H45" s="7">
        <f t="shared" si="6"/>
        <v>-1400</v>
      </c>
      <c r="I45" s="30">
        <f t="shared" si="5"/>
        <v>-7000</v>
      </c>
    </row>
    <row r="46" spans="1:9" s="6" customFormat="1" ht="19.8" customHeight="1" thickBot="1" x14ac:dyDescent="0.35">
      <c r="B46" s="10" t="s">
        <v>30</v>
      </c>
      <c r="C46" s="11">
        <v>0</v>
      </c>
      <c r="D46" s="11">
        <f>-$C$38*15%</f>
        <v>-45000</v>
      </c>
      <c r="E46" s="11">
        <f t="shared" ref="E46:H46" si="7">-$C$38*15%</f>
        <v>-45000</v>
      </c>
      <c r="F46" s="11">
        <f t="shared" si="7"/>
        <v>-45000</v>
      </c>
      <c r="G46" s="11">
        <f t="shared" si="7"/>
        <v>-45000</v>
      </c>
      <c r="H46" s="11">
        <f t="shared" si="7"/>
        <v>-45000</v>
      </c>
      <c r="I46" s="31">
        <f t="shared" si="5"/>
        <v>-225000</v>
      </c>
    </row>
    <row r="47" spans="1:9" s="6" customFormat="1" ht="19.8" customHeight="1" x14ac:dyDescent="0.3">
      <c r="B47" s="8" t="s">
        <v>6</v>
      </c>
      <c r="C47" s="9">
        <f>C43-(SUM(C44:C46))</f>
        <v>0</v>
      </c>
      <c r="D47" s="9">
        <f>D43+(SUM(D44:D46))</f>
        <v>9600</v>
      </c>
      <c r="E47" s="9">
        <f>E43+(SUM(E44:E46))</f>
        <v>9600</v>
      </c>
      <c r="F47" s="9">
        <f>F43+(SUM(F44:F46))</f>
        <v>14600</v>
      </c>
      <c r="G47" s="9">
        <f>G43+(SUM(G44:G46))</f>
        <v>34600</v>
      </c>
      <c r="H47" s="9">
        <f>H43+(SUM(H44:H46))</f>
        <v>34600</v>
      </c>
      <c r="I47" s="30">
        <f t="shared" si="5"/>
        <v>103000</v>
      </c>
    </row>
    <row r="48" spans="1:9" s="6" customFormat="1" ht="19.8" customHeight="1" thickBot="1" x14ac:dyDescent="0.35">
      <c r="B48" s="10" t="s">
        <v>8</v>
      </c>
      <c r="C48" s="11">
        <v>0</v>
      </c>
      <c r="D48" s="11">
        <f>-D46</f>
        <v>45000</v>
      </c>
      <c r="E48" s="11">
        <f>-E46</f>
        <v>45000</v>
      </c>
      <c r="F48" s="11">
        <f>-F46</f>
        <v>45000</v>
      </c>
      <c r="G48" s="11">
        <f>-G46</f>
        <v>45000</v>
      </c>
      <c r="H48" s="11">
        <f>-H46</f>
        <v>45000</v>
      </c>
      <c r="I48" s="31">
        <f t="shared" si="5"/>
        <v>225000</v>
      </c>
    </row>
    <row r="49" spans="1:9" s="6" customFormat="1" ht="19.8" customHeight="1" x14ac:dyDescent="0.3">
      <c r="B49" s="8" t="s">
        <v>11</v>
      </c>
      <c r="C49" s="9">
        <f t="shared" ref="C49" si="8">SUM(C47:C48)</f>
        <v>0</v>
      </c>
      <c r="D49" s="9">
        <f>SUM(D47:D48)</f>
        <v>54600</v>
      </c>
      <c r="E49" s="9">
        <f t="shared" ref="E49" si="9">SUM(E47:E48)</f>
        <v>54600</v>
      </c>
      <c r="F49" s="9">
        <f t="shared" ref="F49" si="10">SUM(F47:F48)</f>
        <v>59600</v>
      </c>
      <c r="G49" s="9">
        <f t="shared" ref="G49" si="11">SUM(G47:G48)</f>
        <v>79600</v>
      </c>
      <c r="H49" s="9">
        <f t="shared" ref="H49" si="12">SUM(H47:H48)</f>
        <v>79600</v>
      </c>
      <c r="I49" s="30">
        <f t="shared" si="5"/>
        <v>328000</v>
      </c>
    </row>
    <row r="50" spans="1:9" s="6" customFormat="1" ht="19.8" customHeight="1" x14ac:dyDescent="0.3">
      <c r="B50" s="6" t="s">
        <v>7</v>
      </c>
      <c r="C50" s="7">
        <f>-C38</f>
        <v>-300000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30">
        <f t="shared" si="5"/>
        <v>-300000</v>
      </c>
    </row>
    <row r="51" spans="1:9" s="6" customFormat="1" ht="19.8" customHeight="1" thickBot="1" x14ac:dyDescent="0.35">
      <c r="B51" s="10" t="s">
        <v>10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95000</v>
      </c>
      <c r="I51" s="31">
        <f t="shared" si="5"/>
        <v>95000</v>
      </c>
    </row>
    <row r="52" spans="1:9" s="6" customFormat="1" ht="19.8" customHeight="1" x14ac:dyDescent="0.3">
      <c r="B52" s="8" t="s">
        <v>9</v>
      </c>
      <c r="C52" s="9">
        <f t="shared" ref="C52" si="13">SUM(C49:C51)</f>
        <v>-300000</v>
      </c>
      <c r="D52" s="9">
        <f t="shared" ref="D52" si="14">SUM(D49:D51)</f>
        <v>54600</v>
      </c>
      <c r="E52" s="9">
        <f t="shared" ref="E52" si="15">SUM(E49:E51)</f>
        <v>54600</v>
      </c>
      <c r="F52" s="9">
        <f t="shared" ref="F52" si="16">SUM(F49:F51)</f>
        <v>59600</v>
      </c>
      <c r="G52" s="9">
        <f t="shared" ref="G52" si="17">SUM(G49:G51)</f>
        <v>79600</v>
      </c>
      <c r="H52" s="9">
        <f t="shared" ref="H52" si="18">SUM(H49:H51)</f>
        <v>174600</v>
      </c>
      <c r="I52" s="30">
        <f t="shared" si="5"/>
        <v>123000</v>
      </c>
    </row>
    <row r="53" spans="1:9" s="6" customFormat="1" ht="19.8" customHeight="1" x14ac:dyDescent="0.3">
      <c r="C53" s="7"/>
      <c r="D53" s="7"/>
      <c r="E53" s="7"/>
      <c r="F53" s="7"/>
      <c r="G53" s="7"/>
      <c r="H53" s="7"/>
    </row>
    <row r="54" spans="1:9" ht="15.6" x14ac:dyDescent="0.3">
      <c r="A54" s="6"/>
      <c r="B54" s="3" t="s">
        <v>13</v>
      </c>
      <c r="C54" s="2">
        <f t="shared" ref="C54:H54" si="19">C52</f>
        <v>-300000</v>
      </c>
      <c r="D54" s="14">
        <f t="shared" si="19"/>
        <v>54600</v>
      </c>
      <c r="E54" s="12">
        <f t="shared" si="19"/>
        <v>54600</v>
      </c>
      <c r="F54" s="15">
        <f t="shared" si="19"/>
        <v>59600</v>
      </c>
      <c r="G54" s="15">
        <f t="shared" si="19"/>
        <v>79600</v>
      </c>
      <c r="H54" s="12">
        <f t="shared" si="19"/>
        <v>174600</v>
      </c>
    </row>
    <row r="55" spans="1:9" ht="15.6" x14ac:dyDescent="0.3">
      <c r="D55" s="13" t="s">
        <v>25</v>
      </c>
      <c r="E55" s="13" t="s">
        <v>26</v>
      </c>
      <c r="F55" s="13" t="s">
        <v>27</v>
      </c>
      <c r="G55" s="13" t="s">
        <v>28</v>
      </c>
      <c r="H55" s="13" t="s">
        <v>29</v>
      </c>
    </row>
    <row r="57" spans="1:9" ht="15.6" x14ac:dyDescent="0.3">
      <c r="B57" s="3" t="s">
        <v>13</v>
      </c>
      <c r="C57" s="2">
        <f>C54</f>
        <v>-300000</v>
      </c>
      <c r="D57" s="2">
        <f>D54/(1.09)</f>
        <v>50091.743119266052</v>
      </c>
      <c r="E57" s="2">
        <f>E54/(1.09)^2</f>
        <v>45955.727632354174</v>
      </c>
      <c r="F57" s="2">
        <f>F54/(1.09)^3</f>
        <v>46022.135411639421</v>
      </c>
      <c r="G57" s="2">
        <f>G54/(1.09)^4</f>
        <v>56390.64680078964</v>
      </c>
      <c r="H57" s="2">
        <f>H54/(1.09)^5</f>
        <v>113478.02004769108</v>
      </c>
      <c r="I57" s="35">
        <f>SUM(C57:H57)</f>
        <v>11938.27301174037</v>
      </c>
    </row>
    <row r="58" spans="1:9" x14ac:dyDescent="0.25">
      <c r="B58" s="17"/>
    </row>
    <row r="59" spans="1:9" ht="15.6" x14ac:dyDescent="0.3">
      <c r="B59" s="3" t="s">
        <v>13</v>
      </c>
      <c r="C59" s="33">
        <f>C57+(D54/(1.09))+(E54/(1.09^2))+(F54/(1.09^3))+(G54/(1.09^4))+(H54/(1.09^5))</f>
        <v>11938.27301174037</v>
      </c>
    </row>
    <row r="61" spans="1:9" ht="15.6" thickBot="1" x14ac:dyDescent="0.3"/>
    <row r="62" spans="1:9" ht="16.2" thickBot="1" x14ac:dyDescent="0.35">
      <c r="B62" s="16" t="s">
        <v>1</v>
      </c>
      <c r="C62" s="32" t="s">
        <v>38</v>
      </c>
      <c r="D62" s="1"/>
      <c r="E62" s="1"/>
      <c r="F62" s="38" t="s">
        <v>37</v>
      </c>
      <c r="G62" s="39">
        <f>IRR(C63:C68,)</f>
        <v>0.10248220721417201</v>
      </c>
    </row>
    <row r="63" spans="1:9" ht="15.6" x14ac:dyDescent="0.3">
      <c r="B63" s="17">
        <v>0</v>
      </c>
      <c r="C63" s="2">
        <f>C52</f>
        <v>-300000</v>
      </c>
      <c r="D63" s="1"/>
      <c r="E63" s="1"/>
      <c r="F63" s="36" t="s">
        <v>40</v>
      </c>
      <c r="G63" s="60">
        <f>(NPV(C70,C64:C68))+C63</f>
        <v>11938.273011740413</v>
      </c>
    </row>
    <row r="64" spans="1:9" ht="16.2" thickBot="1" x14ac:dyDescent="0.35">
      <c r="B64" s="17">
        <v>1</v>
      </c>
      <c r="C64" s="2">
        <f>D52</f>
        <v>54600</v>
      </c>
      <c r="D64" s="1"/>
      <c r="E64" s="1"/>
      <c r="F64" s="37" t="s">
        <v>13</v>
      </c>
      <c r="G64" s="61"/>
    </row>
    <row r="65" spans="2:6" x14ac:dyDescent="0.25">
      <c r="B65" s="17">
        <v>2</v>
      </c>
      <c r="C65" s="2">
        <f>E52</f>
        <v>54600</v>
      </c>
      <c r="D65" s="34"/>
      <c r="E65" s="34"/>
      <c r="F65" s="34"/>
    </row>
    <row r="66" spans="2:6" x14ac:dyDescent="0.25">
      <c r="B66" s="17">
        <v>3</v>
      </c>
      <c r="C66" s="2">
        <f>F52</f>
        <v>59600</v>
      </c>
      <c r="D66" s="34"/>
      <c r="E66" s="34"/>
      <c r="F66" s="34"/>
    </row>
    <row r="67" spans="2:6" x14ac:dyDescent="0.25">
      <c r="B67" s="17">
        <v>4</v>
      </c>
      <c r="C67" s="2">
        <f>G52</f>
        <v>79600</v>
      </c>
    </row>
    <row r="68" spans="2:6" x14ac:dyDescent="0.25">
      <c r="B68" s="17">
        <v>5</v>
      </c>
      <c r="C68" s="2">
        <f>H52</f>
        <v>174600</v>
      </c>
    </row>
    <row r="69" spans="2:6" x14ac:dyDescent="0.25">
      <c r="B69" s="17" t="s">
        <v>19</v>
      </c>
      <c r="C69" s="2">
        <v>5</v>
      </c>
      <c r="D69" s="40" t="s">
        <v>43</v>
      </c>
    </row>
    <row r="70" spans="2:6" x14ac:dyDescent="0.25">
      <c r="B70" s="17" t="s">
        <v>39</v>
      </c>
      <c r="C70" s="18">
        <v>0.09</v>
      </c>
      <c r="D70" s="40" t="s">
        <v>42</v>
      </c>
    </row>
  </sheetData>
  <mergeCells count="8">
    <mergeCell ref="G63:G64"/>
    <mergeCell ref="I6:I7"/>
    <mergeCell ref="G27:G28"/>
    <mergeCell ref="C6:H6"/>
    <mergeCell ref="B6:B7"/>
    <mergeCell ref="B41:B42"/>
    <mergeCell ref="C41:H41"/>
    <mergeCell ref="I41:I4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1101A-080C-47F9-8671-32ADDCBBE156}">
  <sheetPr>
    <tabColor rgb="FF7030A0"/>
  </sheetPr>
  <dimension ref="A1:I72"/>
  <sheetViews>
    <sheetView zoomScale="82" workbookViewId="0">
      <selection activeCell="C25" sqref="C25"/>
    </sheetView>
  </sheetViews>
  <sheetFormatPr defaultColWidth="11.5546875" defaultRowHeight="15" x14ac:dyDescent="0.25"/>
  <cols>
    <col min="1" max="1" width="11.5546875" style="1"/>
    <col min="2" max="2" width="38.33203125" style="1" customWidth="1"/>
    <col min="3" max="8" width="17.21875" style="2" customWidth="1"/>
    <col min="9" max="9" width="13.5546875" style="1" bestFit="1" customWidth="1"/>
    <col min="10" max="16384" width="11.5546875" style="1"/>
  </cols>
  <sheetData>
    <row r="1" spans="1:9" ht="18.600000000000001" x14ac:dyDescent="0.45">
      <c r="A1"/>
      <c r="B1" s="20" t="s">
        <v>21</v>
      </c>
    </row>
    <row r="2" spans="1:9" ht="18.600000000000001" x14ac:dyDescent="0.45">
      <c r="B2" s="20" t="s">
        <v>23</v>
      </c>
    </row>
    <row r="3" spans="1:9" ht="15.6" x14ac:dyDescent="0.3">
      <c r="B3" s="16" t="s">
        <v>22</v>
      </c>
      <c r="C3" s="4">
        <v>225000</v>
      </c>
    </row>
    <row r="4" spans="1:9" ht="15.6" x14ac:dyDescent="0.3">
      <c r="B4" s="16" t="s">
        <v>12</v>
      </c>
      <c r="C4" s="19">
        <v>0.14000000000000001</v>
      </c>
      <c r="D4" s="4" t="s">
        <v>19</v>
      </c>
      <c r="E4" s="4" t="s">
        <v>20</v>
      </c>
    </row>
    <row r="6" spans="1:9" ht="15.6" x14ac:dyDescent="0.25">
      <c r="B6" s="62" t="s">
        <v>0</v>
      </c>
      <c r="C6" s="64" t="s">
        <v>1</v>
      </c>
      <c r="D6" s="64"/>
      <c r="E6" s="64"/>
      <c r="F6" s="64"/>
      <c r="G6" s="64"/>
      <c r="H6" s="64"/>
      <c r="I6" s="62" t="s">
        <v>41</v>
      </c>
    </row>
    <row r="7" spans="1:9" ht="16.2" thickBot="1" x14ac:dyDescent="0.3">
      <c r="B7" s="63"/>
      <c r="C7" s="5">
        <v>0</v>
      </c>
      <c r="D7" s="5">
        <v>1</v>
      </c>
      <c r="E7" s="5">
        <v>2</v>
      </c>
      <c r="F7" s="5">
        <v>3</v>
      </c>
      <c r="G7" s="5">
        <v>4</v>
      </c>
      <c r="H7" s="5">
        <v>5</v>
      </c>
      <c r="I7" s="63"/>
    </row>
    <row r="8" spans="1:9" s="6" customFormat="1" ht="19.8" customHeight="1" x14ac:dyDescent="0.25">
      <c r="A8" s="1"/>
      <c r="B8" s="6" t="s">
        <v>2</v>
      </c>
      <c r="C8" s="7">
        <v>0</v>
      </c>
      <c r="D8" s="7">
        <v>75000</v>
      </c>
      <c r="E8" s="7">
        <v>75000</v>
      </c>
      <c r="F8" s="7">
        <v>75000</v>
      </c>
      <c r="G8" s="7">
        <v>90000</v>
      </c>
      <c r="H8" s="7">
        <v>90000</v>
      </c>
      <c r="I8" s="30">
        <f>SUM(C8:H8)</f>
        <v>405000</v>
      </c>
    </row>
    <row r="9" spans="1:9" s="6" customFormat="1" ht="19.8" customHeight="1" x14ac:dyDescent="0.3">
      <c r="B9" s="6" t="s">
        <v>3</v>
      </c>
      <c r="C9" s="7">
        <v>0</v>
      </c>
      <c r="D9" s="7">
        <v>-15000</v>
      </c>
      <c r="E9" s="7">
        <v>-15000</v>
      </c>
      <c r="F9" s="7">
        <v>-15000</v>
      </c>
      <c r="G9" s="7">
        <v>-15000</v>
      </c>
      <c r="H9" s="7">
        <v>-15000</v>
      </c>
      <c r="I9" s="30">
        <f t="shared" ref="I9:I17" si="0">SUM(C9:H9)</f>
        <v>-75000</v>
      </c>
    </row>
    <row r="10" spans="1:9" s="6" customFormat="1" ht="19.8" customHeight="1" x14ac:dyDescent="0.3">
      <c r="B10" s="6" t="s">
        <v>4</v>
      </c>
      <c r="C10" s="7">
        <v>0</v>
      </c>
      <c r="D10" s="7">
        <f>-600*2</f>
        <v>-1200</v>
      </c>
      <c r="E10" s="7">
        <f>-600*2</f>
        <v>-1200</v>
      </c>
      <c r="F10" s="7">
        <f>-600*2</f>
        <v>-1200</v>
      </c>
      <c r="G10" s="7">
        <f>-600*2</f>
        <v>-1200</v>
      </c>
      <c r="H10" s="7">
        <f>-600*2</f>
        <v>-1200</v>
      </c>
      <c r="I10" s="30">
        <f t="shared" si="0"/>
        <v>-6000</v>
      </c>
    </row>
    <row r="11" spans="1:9" s="6" customFormat="1" ht="19.8" customHeight="1" thickBot="1" x14ac:dyDescent="0.35">
      <c r="B11" s="10" t="s">
        <v>5</v>
      </c>
      <c r="C11" s="11">
        <v>0</v>
      </c>
      <c r="D11" s="11">
        <f>-$C$3*10%</f>
        <v>-22500</v>
      </c>
      <c r="E11" s="11">
        <f t="shared" ref="E11:H11" si="1">-$C$3*10%</f>
        <v>-22500</v>
      </c>
      <c r="F11" s="11">
        <f t="shared" si="1"/>
        <v>-22500</v>
      </c>
      <c r="G11" s="11">
        <f t="shared" si="1"/>
        <v>-22500</v>
      </c>
      <c r="H11" s="11">
        <f t="shared" si="1"/>
        <v>-22500</v>
      </c>
      <c r="I11" s="31">
        <f t="shared" si="0"/>
        <v>-112500</v>
      </c>
    </row>
    <row r="12" spans="1:9" s="6" customFormat="1" ht="19.8" customHeight="1" x14ac:dyDescent="0.3">
      <c r="B12" s="8" t="s">
        <v>6</v>
      </c>
      <c r="C12" s="9">
        <f>C8-(SUM(C9:C11))</f>
        <v>0</v>
      </c>
      <c r="D12" s="9">
        <f>D8+(SUM(D9:D11))</f>
        <v>36300</v>
      </c>
      <c r="E12" s="9">
        <f>E8+(SUM(E9:E11))</f>
        <v>36300</v>
      </c>
      <c r="F12" s="9">
        <f>F8+(SUM(F9:F11))</f>
        <v>36300</v>
      </c>
      <c r="G12" s="9">
        <f>G8+(SUM(G9:G11))</f>
        <v>51300</v>
      </c>
      <c r="H12" s="9">
        <f>H8+(SUM(H9:H11))</f>
        <v>51300</v>
      </c>
      <c r="I12" s="30">
        <f t="shared" si="0"/>
        <v>211500</v>
      </c>
    </row>
    <row r="13" spans="1:9" s="6" customFormat="1" ht="19.8" customHeight="1" thickBot="1" x14ac:dyDescent="0.35">
      <c r="B13" s="10" t="s">
        <v>8</v>
      </c>
      <c r="C13" s="11">
        <v>0</v>
      </c>
      <c r="D13" s="11">
        <f>-D11</f>
        <v>22500</v>
      </c>
      <c r="E13" s="11">
        <f>-E11</f>
        <v>22500</v>
      </c>
      <c r="F13" s="11">
        <f>-F11</f>
        <v>22500</v>
      </c>
      <c r="G13" s="11">
        <f>-G11</f>
        <v>22500</v>
      </c>
      <c r="H13" s="11">
        <f>-H11</f>
        <v>22500</v>
      </c>
      <c r="I13" s="31">
        <f t="shared" si="0"/>
        <v>112500</v>
      </c>
    </row>
    <row r="14" spans="1:9" s="6" customFormat="1" ht="19.8" customHeight="1" x14ac:dyDescent="0.3">
      <c r="B14" s="8" t="s">
        <v>11</v>
      </c>
      <c r="C14" s="9">
        <f t="shared" ref="C14:H14" si="2">SUM(C12:C13)</f>
        <v>0</v>
      </c>
      <c r="D14" s="9">
        <f t="shared" si="2"/>
        <v>58800</v>
      </c>
      <c r="E14" s="9">
        <f t="shared" si="2"/>
        <v>58800</v>
      </c>
      <c r="F14" s="9">
        <f t="shared" si="2"/>
        <v>58800</v>
      </c>
      <c r="G14" s="9">
        <f t="shared" si="2"/>
        <v>73800</v>
      </c>
      <c r="H14" s="9">
        <f t="shared" si="2"/>
        <v>73800</v>
      </c>
      <c r="I14" s="30">
        <f t="shared" si="0"/>
        <v>324000</v>
      </c>
    </row>
    <row r="15" spans="1:9" s="6" customFormat="1" ht="19.8" customHeight="1" x14ac:dyDescent="0.3">
      <c r="B15" s="6" t="s">
        <v>7</v>
      </c>
      <c r="C15" s="7">
        <f>-C3</f>
        <v>-225000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30">
        <f t="shared" si="0"/>
        <v>-225000</v>
      </c>
    </row>
    <row r="16" spans="1:9" s="6" customFormat="1" ht="19.8" customHeight="1" thickBot="1" x14ac:dyDescent="0.35">
      <c r="B16" s="10" t="s">
        <v>10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95000</v>
      </c>
      <c r="I16" s="31">
        <f t="shared" si="0"/>
        <v>95000</v>
      </c>
    </row>
    <row r="17" spans="1:9" s="6" customFormat="1" ht="19.8" customHeight="1" x14ac:dyDescent="0.3">
      <c r="B17" s="8" t="s">
        <v>9</v>
      </c>
      <c r="C17" s="9">
        <f t="shared" ref="C17:H17" si="3">SUM(C14:C16)</f>
        <v>-225000</v>
      </c>
      <c r="D17" s="9">
        <f t="shared" si="3"/>
        <v>58800</v>
      </c>
      <c r="E17" s="9">
        <f t="shared" si="3"/>
        <v>58800</v>
      </c>
      <c r="F17" s="9">
        <f t="shared" si="3"/>
        <v>58800</v>
      </c>
      <c r="G17" s="9">
        <f t="shared" si="3"/>
        <v>73800</v>
      </c>
      <c r="H17" s="9">
        <f t="shared" si="3"/>
        <v>168800</v>
      </c>
      <c r="I17" s="30">
        <f t="shared" si="0"/>
        <v>194000</v>
      </c>
    </row>
    <row r="18" spans="1:9" s="6" customFormat="1" ht="19.8" customHeight="1" x14ac:dyDescent="0.3">
      <c r="C18" s="7"/>
      <c r="D18" s="7"/>
      <c r="E18" s="7"/>
      <c r="F18" s="7"/>
      <c r="G18" s="7"/>
      <c r="H18" s="7"/>
    </row>
    <row r="19" spans="1:9" ht="15.6" x14ac:dyDescent="0.3">
      <c r="A19" s="6"/>
      <c r="B19" s="3" t="s">
        <v>13</v>
      </c>
      <c r="C19" s="2">
        <f t="shared" ref="C19:H19" si="4">C17</f>
        <v>-225000</v>
      </c>
      <c r="D19" s="14">
        <f t="shared" si="4"/>
        <v>58800</v>
      </c>
      <c r="E19" s="12">
        <f t="shared" si="4"/>
        <v>58800</v>
      </c>
      <c r="F19" s="15">
        <f t="shared" si="4"/>
        <v>58800</v>
      </c>
      <c r="G19" s="15">
        <f t="shared" si="4"/>
        <v>73800</v>
      </c>
      <c r="H19" s="12">
        <f t="shared" si="4"/>
        <v>168800</v>
      </c>
    </row>
    <row r="20" spans="1:9" ht="15.6" x14ac:dyDescent="0.3">
      <c r="D20" s="13" t="s">
        <v>14</v>
      </c>
      <c r="E20" s="13" t="s">
        <v>15</v>
      </c>
      <c r="F20" s="13" t="s">
        <v>16</v>
      </c>
      <c r="G20" s="13" t="s">
        <v>17</v>
      </c>
      <c r="H20" s="13" t="s">
        <v>18</v>
      </c>
    </row>
    <row r="22" spans="1:9" ht="15.6" x14ac:dyDescent="0.3">
      <c r="B22" s="3" t="s">
        <v>13</v>
      </c>
      <c r="C22" s="2">
        <f>C19</f>
        <v>-225000</v>
      </c>
      <c r="D22" s="2">
        <f>D19/(1.14)</f>
        <v>51578.947368421061</v>
      </c>
      <c r="E22" s="2">
        <f>E19/(1.14)^2</f>
        <v>45244.690674053556</v>
      </c>
      <c r="F22" s="2">
        <f>F19/(1.14)^3</f>
        <v>39688.325152678561</v>
      </c>
      <c r="G22" s="2">
        <f>G19/(1.14)^4</f>
        <v>43695.524469920012</v>
      </c>
      <c r="H22" s="2">
        <f>H19/(1.14)^5</f>
        <v>87669.430543936891</v>
      </c>
      <c r="I22" s="35">
        <f>SUM(C22:H22)</f>
        <v>42876.918209010095</v>
      </c>
    </row>
    <row r="23" spans="1:9" ht="15.6" x14ac:dyDescent="0.3">
      <c r="B23" s="3"/>
      <c r="I23" s="35"/>
    </row>
    <row r="24" spans="1:9" ht="15.6" x14ac:dyDescent="0.3">
      <c r="B24" s="50" t="s">
        <v>13</v>
      </c>
      <c r="C24" s="33">
        <f>C22+(D19/(1.14))+(E19/(1.14^2))+(F19/(1.14^3))+(G19/(1.14^4))+(H19/(1.14^5))</f>
        <v>42876.918209010095</v>
      </c>
    </row>
    <row r="25" spans="1:9" ht="15.6" x14ac:dyDescent="0.3">
      <c r="B25" s="49" t="s">
        <v>13</v>
      </c>
      <c r="C25" s="44">
        <f>NPV(C4,D17:H17)+C17</f>
        <v>42876.91820900992</v>
      </c>
    </row>
    <row r="26" spans="1:9" ht="15.6" x14ac:dyDescent="0.3">
      <c r="B26" s="49" t="s">
        <v>37</v>
      </c>
      <c r="C26" s="48">
        <f>IRR(C17:H17)</f>
        <v>0.20387476129951732</v>
      </c>
      <c r="D26" s="16"/>
      <c r="E26" s="1"/>
      <c r="F26" s="42"/>
      <c r="G26" s="43"/>
      <c r="H26" s="44"/>
    </row>
    <row r="27" spans="1:9" ht="15.6" x14ac:dyDescent="0.3">
      <c r="B27" s="17"/>
      <c r="C27" s="44"/>
      <c r="D27" s="1"/>
      <c r="E27" s="1"/>
      <c r="F27" s="42"/>
      <c r="G27" s="68"/>
      <c r="H27" s="44"/>
    </row>
    <row r="28" spans="1:9" ht="15.6" x14ac:dyDescent="0.3">
      <c r="B28" s="17"/>
      <c r="C28" s="1"/>
      <c r="D28" s="1"/>
      <c r="E28" s="1"/>
      <c r="F28" s="42"/>
      <c r="G28" s="68"/>
      <c r="H28" s="44"/>
    </row>
    <row r="29" spans="1:9" x14ac:dyDescent="0.25">
      <c r="B29" s="17"/>
      <c r="C29" s="44"/>
      <c r="D29" s="45"/>
      <c r="E29" s="45"/>
      <c r="F29" s="45"/>
      <c r="G29" s="44"/>
      <c r="H29" s="44"/>
    </row>
    <row r="30" spans="1:9" x14ac:dyDescent="0.25">
      <c r="B30" s="17"/>
      <c r="C30" s="44"/>
      <c r="D30" s="45"/>
      <c r="E30" s="45"/>
      <c r="F30" s="45"/>
      <c r="G30" s="44"/>
      <c r="H30" s="44"/>
    </row>
    <row r="31" spans="1:9" x14ac:dyDescent="0.25">
      <c r="B31" s="17"/>
      <c r="C31" s="44"/>
      <c r="D31" s="44"/>
      <c r="E31" s="44"/>
      <c r="F31" s="44"/>
      <c r="G31" s="44"/>
      <c r="H31" s="44"/>
    </row>
    <row r="32" spans="1:9" x14ac:dyDescent="0.25">
      <c r="B32" s="17"/>
      <c r="C32" s="44"/>
      <c r="D32" s="44"/>
      <c r="E32" s="44"/>
      <c r="F32" s="44"/>
      <c r="G32" s="44"/>
      <c r="H32" s="44"/>
    </row>
    <row r="33" spans="1:9" x14ac:dyDescent="0.25">
      <c r="B33" s="17"/>
      <c r="C33" s="44"/>
      <c r="D33" s="46"/>
      <c r="E33" s="44"/>
      <c r="F33" s="44"/>
      <c r="G33" s="44"/>
      <c r="H33" s="44"/>
    </row>
    <row r="34" spans="1:9" x14ac:dyDescent="0.25">
      <c r="B34" s="17"/>
      <c r="C34" s="47"/>
      <c r="D34" s="46"/>
      <c r="E34" s="44"/>
      <c r="F34" s="44"/>
      <c r="G34" s="44"/>
      <c r="H34" s="44"/>
    </row>
    <row r="35" spans="1:9" x14ac:dyDescent="0.25">
      <c r="B35" s="17"/>
      <c r="C35" s="44"/>
      <c r="D35" s="44"/>
      <c r="E35" s="44"/>
      <c r="F35" s="44"/>
      <c r="G35" s="44"/>
      <c r="H35" s="44"/>
    </row>
    <row r="37" spans="1:9" ht="18.600000000000001" x14ac:dyDescent="0.45">
      <c r="B37" s="21" t="s">
        <v>24</v>
      </c>
    </row>
    <row r="38" spans="1:9" ht="15.6" x14ac:dyDescent="0.3">
      <c r="B38" s="16" t="s">
        <v>22</v>
      </c>
      <c r="C38" s="4">
        <v>300000</v>
      </c>
    </row>
    <row r="39" spans="1:9" ht="15.6" x14ac:dyDescent="0.3">
      <c r="B39" s="16" t="s">
        <v>12</v>
      </c>
      <c r="C39" s="19">
        <v>0.09</v>
      </c>
      <c r="D39" s="4" t="s">
        <v>19</v>
      </c>
      <c r="E39" s="4" t="s">
        <v>20</v>
      </c>
    </row>
    <row r="41" spans="1:9" ht="15.6" x14ac:dyDescent="0.25">
      <c r="B41" s="65" t="s">
        <v>0</v>
      </c>
      <c r="C41" s="67" t="s">
        <v>1</v>
      </c>
      <c r="D41" s="67"/>
      <c r="E41" s="67"/>
      <c r="F41" s="67"/>
      <c r="G41" s="67"/>
      <c r="H41" s="67"/>
      <c r="I41" s="65" t="s">
        <v>41</v>
      </c>
    </row>
    <row r="42" spans="1:9" ht="16.2" thickBot="1" x14ac:dyDescent="0.3">
      <c r="B42" s="66"/>
      <c r="C42" s="22">
        <v>0</v>
      </c>
      <c r="D42" s="22">
        <v>1</v>
      </c>
      <c r="E42" s="22">
        <v>2</v>
      </c>
      <c r="F42" s="22">
        <v>3</v>
      </c>
      <c r="G42" s="22">
        <v>4</v>
      </c>
      <c r="H42" s="22">
        <v>5</v>
      </c>
      <c r="I42" s="66"/>
    </row>
    <row r="43" spans="1:9" s="6" customFormat="1" ht="19.8" customHeight="1" x14ac:dyDescent="0.25">
      <c r="A43" s="1"/>
      <c r="B43" s="6" t="s">
        <v>2</v>
      </c>
      <c r="C43" s="7">
        <v>0</v>
      </c>
      <c r="D43" s="7">
        <v>70000</v>
      </c>
      <c r="E43" s="7">
        <v>70000</v>
      </c>
      <c r="F43" s="7">
        <v>75000</v>
      </c>
      <c r="G43" s="7">
        <v>95000</v>
      </c>
      <c r="H43" s="7">
        <v>95000</v>
      </c>
      <c r="I43" s="30">
        <f>SUM(C43:H43)</f>
        <v>405000</v>
      </c>
    </row>
    <row r="44" spans="1:9" s="6" customFormat="1" ht="19.8" customHeight="1" x14ac:dyDescent="0.3">
      <c r="B44" s="6" t="s">
        <v>3</v>
      </c>
      <c r="C44" s="7">
        <v>0</v>
      </c>
      <c r="D44" s="7">
        <v>-14000</v>
      </c>
      <c r="E44" s="7">
        <v>-14000</v>
      </c>
      <c r="F44" s="7">
        <v>-14000</v>
      </c>
      <c r="G44" s="7">
        <v>-14000</v>
      </c>
      <c r="H44" s="7">
        <v>-14000</v>
      </c>
      <c r="I44" s="30">
        <f t="shared" ref="I44:I52" si="5">SUM(C44:H44)</f>
        <v>-70000</v>
      </c>
    </row>
    <row r="45" spans="1:9" s="6" customFormat="1" ht="19.8" customHeight="1" x14ac:dyDescent="0.3">
      <c r="B45" s="6" t="s">
        <v>4</v>
      </c>
      <c r="C45" s="7">
        <v>0</v>
      </c>
      <c r="D45" s="7">
        <f>-700*2</f>
        <v>-1400</v>
      </c>
      <c r="E45" s="7">
        <f t="shared" ref="E45:H45" si="6">-700*2</f>
        <v>-1400</v>
      </c>
      <c r="F45" s="7">
        <f t="shared" si="6"/>
        <v>-1400</v>
      </c>
      <c r="G45" s="7">
        <f t="shared" si="6"/>
        <v>-1400</v>
      </c>
      <c r="H45" s="7">
        <f t="shared" si="6"/>
        <v>-1400</v>
      </c>
      <c r="I45" s="30">
        <f t="shared" si="5"/>
        <v>-7000</v>
      </c>
    </row>
    <row r="46" spans="1:9" s="6" customFormat="1" ht="19.8" customHeight="1" thickBot="1" x14ac:dyDescent="0.35">
      <c r="B46" s="10" t="s">
        <v>30</v>
      </c>
      <c r="C46" s="11">
        <v>0</v>
      </c>
      <c r="D46" s="11">
        <f>-$C$38*15%</f>
        <v>-45000</v>
      </c>
      <c r="E46" s="11">
        <f t="shared" ref="E46:H46" si="7">-$C$38*15%</f>
        <v>-45000</v>
      </c>
      <c r="F46" s="11">
        <f t="shared" si="7"/>
        <v>-45000</v>
      </c>
      <c r="G46" s="11">
        <f t="shared" si="7"/>
        <v>-45000</v>
      </c>
      <c r="H46" s="11">
        <f t="shared" si="7"/>
        <v>-45000</v>
      </c>
      <c r="I46" s="31">
        <f t="shared" si="5"/>
        <v>-225000</v>
      </c>
    </row>
    <row r="47" spans="1:9" s="6" customFormat="1" ht="19.8" customHeight="1" x14ac:dyDescent="0.3">
      <c r="B47" s="8" t="s">
        <v>6</v>
      </c>
      <c r="C47" s="9">
        <f>C43-(SUM(C44:C46))</f>
        <v>0</v>
      </c>
      <c r="D47" s="9">
        <f>D43+(SUM(D44:D46))</f>
        <v>9600</v>
      </c>
      <c r="E47" s="9">
        <f>E43+(SUM(E44:E46))</f>
        <v>9600</v>
      </c>
      <c r="F47" s="9">
        <f>F43+(SUM(F44:F46))</f>
        <v>14600</v>
      </c>
      <c r="G47" s="9">
        <f>G43+(SUM(G44:G46))</f>
        <v>34600</v>
      </c>
      <c r="H47" s="9">
        <f>H43+(SUM(H44:H46))</f>
        <v>34600</v>
      </c>
      <c r="I47" s="30">
        <f t="shared" si="5"/>
        <v>103000</v>
      </c>
    </row>
    <row r="48" spans="1:9" s="6" customFormat="1" ht="19.8" customHeight="1" thickBot="1" x14ac:dyDescent="0.35">
      <c r="B48" s="10" t="s">
        <v>8</v>
      </c>
      <c r="C48" s="11">
        <v>0</v>
      </c>
      <c r="D48" s="11">
        <f>-D46</f>
        <v>45000</v>
      </c>
      <c r="E48" s="11">
        <f>-E46</f>
        <v>45000</v>
      </c>
      <c r="F48" s="11">
        <f>-F46</f>
        <v>45000</v>
      </c>
      <c r="G48" s="11">
        <f>-G46</f>
        <v>45000</v>
      </c>
      <c r="H48" s="11">
        <f>-H46</f>
        <v>45000</v>
      </c>
      <c r="I48" s="31">
        <f t="shared" si="5"/>
        <v>225000</v>
      </c>
    </row>
    <row r="49" spans="1:9" s="6" customFormat="1" ht="19.8" customHeight="1" x14ac:dyDescent="0.3">
      <c r="B49" s="8" t="s">
        <v>11</v>
      </c>
      <c r="C49" s="9">
        <f t="shared" ref="C49" si="8">SUM(C47:C48)</f>
        <v>0</v>
      </c>
      <c r="D49" s="9">
        <f>SUM(D47:D48)</f>
        <v>54600</v>
      </c>
      <c r="E49" s="9">
        <f t="shared" ref="E49:H49" si="9">SUM(E47:E48)</f>
        <v>54600</v>
      </c>
      <c r="F49" s="9">
        <f t="shared" si="9"/>
        <v>59600</v>
      </c>
      <c r="G49" s="9">
        <f t="shared" si="9"/>
        <v>79600</v>
      </c>
      <c r="H49" s="9">
        <f t="shared" si="9"/>
        <v>79600</v>
      </c>
      <c r="I49" s="30">
        <f t="shared" si="5"/>
        <v>328000</v>
      </c>
    </row>
    <row r="50" spans="1:9" s="6" customFormat="1" ht="19.8" customHeight="1" x14ac:dyDescent="0.3">
      <c r="B50" s="6" t="s">
        <v>7</v>
      </c>
      <c r="C50" s="7">
        <f>-C38</f>
        <v>-300000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30">
        <f t="shared" si="5"/>
        <v>-300000</v>
      </c>
    </row>
    <row r="51" spans="1:9" s="6" customFormat="1" ht="19.8" customHeight="1" thickBot="1" x14ac:dyDescent="0.35">
      <c r="B51" s="10" t="s">
        <v>10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95000</v>
      </c>
      <c r="I51" s="31">
        <f t="shared" si="5"/>
        <v>95000</v>
      </c>
    </row>
    <row r="52" spans="1:9" s="6" customFormat="1" ht="19.8" customHeight="1" x14ac:dyDescent="0.3">
      <c r="B52" s="8" t="s">
        <v>9</v>
      </c>
      <c r="C52" s="9">
        <f t="shared" ref="C52:H52" si="10">SUM(C49:C51)</f>
        <v>-300000</v>
      </c>
      <c r="D52" s="9">
        <f t="shared" si="10"/>
        <v>54600</v>
      </c>
      <c r="E52" s="9">
        <f t="shared" si="10"/>
        <v>54600</v>
      </c>
      <c r="F52" s="9">
        <f t="shared" si="10"/>
        <v>59600</v>
      </c>
      <c r="G52" s="9">
        <f t="shared" si="10"/>
        <v>79600</v>
      </c>
      <c r="H52" s="9">
        <f t="shared" si="10"/>
        <v>174600</v>
      </c>
      <c r="I52" s="30">
        <f t="shared" si="5"/>
        <v>123000</v>
      </c>
    </row>
    <row r="53" spans="1:9" s="6" customFormat="1" ht="19.8" customHeight="1" x14ac:dyDescent="0.3">
      <c r="C53" s="7"/>
      <c r="D53" s="7"/>
      <c r="E53" s="7"/>
      <c r="F53" s="7"/>
      <c r="G53" s="7"/>
      <c r="H53" s="7"/>
    </row>
    <row r="54" spans="1:9" ht="15.6" x14ac:dyDescent="0.3">
      <c r="A54" s="6"/>
      <c r="B54" s="3" t="s">
        <v>13</v>
      </c>
      <c r="C54" s="2">
        <f t="shared" ref="C54:H54" si="11">C52</f>
        <v>-300000</v>
      </c>
      <c r="D54" s="14">
        <f t="shared" si="11"/>
        <v>54600</v>
      </c>
      <c r="E54" s="12">
        <f t="shared" si="11"/>
        <v>54600</v>
      </c>
      <c r="F54" s="15">
        <f t="shared" si="11"/>
        <v>59600</v>
      </c>
      <c r="G54" s="15">
        <f t="shared" si="11"/>
        <v>79600</v>
      </c>
      <c r="H54" s="12">
        <f t="shared" si="11"/>
        <v>174600</v>
      </c>
    </row>
    <row r="55" spans="1:9" ht="15.6" x14ac:dyDescent="0.3">
      <c r="D55" s="13" t="s">
        <v>25</v>
      </c>
      <c r="E55" s="13" t="s">
        <v>26</v>
      </c>
      <c r="F55" s="13" t="s">
        <v>27</v>
      </c>
      <c r="G55" s="13" t="s">
        <v>28</v>
      </c>
      <c r="H55" s="13" t="s">
        <v>29</v>
      </c>
    </row>
    <row r="57" spans="1:9" ht="15.6" x14ac:dyDescent="0.3">
      <c r="B57" s="3" t="s">
        <v>13</v>
      </c>
      <c r="C57" s="2">
        <f>C54</f>
        <v>-300000</v>
      </c>
      <c r="D57" s="2">
        <f>D54/(1.09)</f>
        <v>50091.743119266052</v>
      </c>
      <c r="E57" s="2">
        <f>E54/(1.09)^2</f>
        <v>45955.727632354174</v>
      </c>
      <c r="F57" s="2">
        <f>F54/(1.09)^3</f>
        <v>46022.135411639421</v>
      </c>
      <c r="G57" s="2">
        <f>G54/(1.09)^4</f>
        <v>56390.64680078964</v>
      </c>
      <c r="H57" s="2">
        <f>H54/(1.09)^5</f>
        <v>113478.02004769108</v>
      </c>
      <c r="I57" s="35">
        <f>SUM(C57:H57)</f>
        <v>11938.27301174037</v>
      </c>
    </row>
    <row r="58" spans="1:9" x14ac:dyDescent="0.25">
      <c r="B58" s="17"/>
    </row>
    <row r="59" spans="1:9" ht="15.6" x14ac:dyDescent="0.3">
      <c r="B59" s="3" t="s">
        <v>13</v>
      </c>
      <c r="C59" s="33">
        <f>C57+(D54/(1.09))+(E54/(1.09^2))+(F54/(1.09^3))+(G54/(1.09^4))+(H54/(1.09^5))</f>
        <v>11938.27301174037</v>
      </c>
    </row>
    <row r="60" spans="1:9" ht="15.6" x14ac:dyDescent="0.3">
      <c r="B60" s="49" t="s">
        <v>13</v>
      </c>
      <c r="C60" s="44">
        <f>NPV(C39,D52:H52)+C52</f>
        <v>11938.273011740413</v>
      </c>
    </row>
    <row r="61" spans="1:9" ht="15.6" x14ac:dyDescent="0.3">
      <c r="B61" s="49" t="s">
        <v>37</v>
      </c>
      <c r="C61" s="48">
        <f>IRR(C52:H52)</f>
        <v>0.10248220721417201</v>
      </c>
    </row>
    <row r="62" spans="1:9" ht="15.6" x14ac:dyDescent="0.3">
      <c r="B62" s="16"/>
      <c r="C62" s="41"/>
      <c r="D62" s="1"/>
      <c r="E62" s="1"/>
      <c r="F62" s="42"/>
      <c r="G62" s="43"/>
      <c r="H62" s="44"/>
    </row>
    <row r="63" spans="1:9" ht="15.6" x14ac:dyDescent="0.3">
      <c r="B63" s="17"/>
      <c r="C63" s="44"/>
      <c r="D63" s="1"/>
      <c r="E63" s="1"/>
      <c r="F63" s="42"/>
      <c r="G63" s="68"/>
      <c r="H63" s="44"/>
    </row>
    <row r="64" spans="1:9" ht="15.6" x14ac:dyDescent="0.3">
      <c r="B64" s="17"/>
      <c r="C64" s="44"/>
      <c r="D64" s="1"/>
      <c r="E64" s="1"/>
      <c r="F64" s="42"/>
      <c r="G64" s="68"/>
      <c r="H64" s="44"/>
    </row>
    <row r="65" spans="2:8" x14ac:dyDescent="0.25">
      <c r="B65" s="17"/>
      <c r="C65" s="44"/>
      <c r="D65" s="45"/>
      <c r="E65" s="45"/>
      <c r="F65" s="45"/>
      <c r="G65" s="44"/>
      <c r="H65" s="44"/>
    </row>
    <row r="66" spans="2:8" x14ac:dyDescent="0.25">
      <c r="B66" s="17"/>
      <c r="C66" s="44"/>
      <c r="D66" s="45"/>
      <c r="E66" s="45"/>
      <c r="F66" s="45"/>
      <c r="G66" s="44"/>
      <c r="H66" s="44"/>
    </row>
    <row r="67" spans="2:8" x14ac:dyDescent="0.25">
      <c r="B67" s="17"/>
      <c r="C67" s="44"/>
      <c r="D67" s="44"/>
      <c r="E67" s="44"/>
      <c r="F67" s="44"/>
      <c r="G67" s="44"/>
      <c r="H67" s="44"/>
    </row>
    <row r="68" spans="2:8" x14ac:dyDescent="0.25">
      <c r="B68" s="17"/>
      <c r="C68" s="44"/>
      <c r="D68" s="44"/>
      <c r="E68" s="44"/>
      <c r="F68" s="44"/>
      <c r="G68" s="44"/>
      <c r="H68" s="44"/>
    </row>
    <row r="69" spans="2:8" x14ac:dyDescent="0.25">
      <c r="B69" s="17"/>
      <c r="C69" s="44"/>
      <c r="D69" s="46"/>
      <c r="E69" s="44"/>
      <c r="F69" s="44"/>
      <c r="G69" s="44"/>
      <c r="H69" s="44"/>
    </row>
    <row r="70" spans="2:8" x14ac:dyDescent="0.25">
      <c r="B70" s="17"/>
      <c r="C70" s="47"/>
      <c r="D70" s="46"/>
      <c r="E70" s="44"/>
      <c r="F70" s="44"/>
      <c r="G70" s="44"/>
      <c r="H70" s="44"/>
    </row>
    <row r="71" spans="2:8" x14ac:dyDescent="0.25">
      <c r="C71" s="44"/>
      <c r="D71" s="44"/>
      <c r="E71" s="44"/>
      <c r="F71" s="44"/>
      <c r="G71" s="44"/>
      <c r="H71" s="44"/>
    </row>
    <row r="72" spans="2:8" x14ac:dyDescent="0.25">
      <c r="C72" s="44"/>
      <c r="D72" s="44"/>
      <c r="E72" s="44"/>
      <c r="F72" s="44"/>
      <c r="G72" s="44"/>
      <c r="H72" s="44"/>
    </row>
  </sheetData>
  <mergeCells count="8">
    <mergeCell ref="G63:G64"/>
    <mergeCell ref="B6:B7"/>
    <mergeCell ref="C6:H6"/>
    <mergeCell ref="I6:I7"/>
    <mergeCell ref="G27:G28"/>
    <mergeCell ref="B41:B42"/>
    <mergeCell ref="C41:H41"/>
    <mergeCell ref="I41:I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21BE-E5AD-4D7F-A8E3-A346D98FB69E}">
  <dimension ref="A2:J72"/>
  <sheetViews>
    <sheetView tabSelected="1" topLeftCell="A40" zoomScale="89" zoomScaleNormal="89" workbookViewId="0">
      <selection activeCell="C87" sqref="C87"/>
    </sheetView>
  </sheetViews>
  <sheetFormatPr defaultColWidth="11.5546875" defaultRowHeight="15" x14ac:dyDescent="0.25"/>
  <cols>
    <col min="1" max="1" width="11.5546875" style="1"/>
    <col min="2" max="2" width="38.33203125" style="1" customWidth="1"/>
    <col min="3" max="9" width="17.21875" style="2" customWidth="1"/>
    <col min="10" max="10" width="13.5546875" style="1" bestFit="1" customWidth="1"/>
    <col min="11" max="16384" width="11.5546875" style="1"/>
  </cols>
  <sheetData>
    <row r="2" spans="1:10" ht="18.600000000000001" x14ac:dyDescent="0.45">
      <c r="A2"/>
      <c r="B2" s="20" t="s">
        <v>45</v>
      </c>
    </row>
    <row r="3" spans="1:10" ht="18.600000000000001" x14ac:dyDescent="0.45">
      <c r="B3" s="20" t="s">
        <v>23</v>
      </c>
    </row>
    <row r="4" spans="1:10" ht="18.600000000000001" x14ac:dyDescent="0.45">
      <c r="B4" s="20"/>
    </row>
    <row r="5" spans="1:10" ht="15.6" x14ac:dyDescent="0.3">
      <c r="B5" s="49" t="s">
        <v>22</v>
      </c>
      <c r="C5" s="40">
        <v>425000</v>
      </c>
      <c r="E5" s="49" t="s">
        <v>13</v>
      </c>
      <c r="F5" s="58">
        <f>C20+(D20/(1+C6))+(E20/((1+C6)^2))+(F20/((1+C6)^3))+(G20/((1+C6)^4))+(H20/((1+C6)^5))+(I20/((1+C6)^6))</f>
        <v>20312.357975976047</v>
      </c>
    </row>
    <row r="6" spans="1:10" ht="15.6" x14ac:dyDescent="0.3">
      <c r="B6" s="49" t="s">
        <v>12</v>
      </c>
      <c r="C6" s="54">
        <v>0.12</v>
      </c>
      <c r="D6" s="1"/>
      <c r="E6" s="49" t="s">
        <v>13</v>
      </c>
      <c r="F6" s="44">
        <f>NPV(C6,D20:I20)+C20</f>
        <v>20312.357975976076</v>
      </c>
    </row>
    <row r="7" spans="1:10" ht="15.6" x14ac:dyDescent="0.3">
      <c r="B7" s="53" t="s">
        <v>19</v>
      </c>
      <c r="C7" s="40" t="s">
        <v>44</v>
      </c>
      <c r="D7" s="53"/>
      <c r="E7" s="49" t="s">
        <v>37</v>
      </c>
      <c r="F7" s="59">
        <f>IRR(C20:I20)</f>
        <v>0.13512739039808253</v>
      </c>
    </row>
    <row r="9" spans="1:10" ht="15.6" x14ac:dyDescent="0.25">
      <c r="B9" s="62" t="s">
        <v>0</v>
      </c>
      <c r="C9" s="64" t="s">
        <v>1</v>
      </c>
      <c r="D9" s="64"/>
      <c r="E9" s="64"/>
      <c r="F9" s="64"/>
      <c r="G9" s="64"/>
      <c r="H9" s="64"/>
      <c r="I9" s="64"/>
      <c r="J9" s="70" t="s">
        <v>41</v>
      </c>
    </row>
    <row r="10" spans="1:10" ht="16.2" thickBot="1" x14ac:dyDescent="0.3">
      <c r="B10" s="63"/>
      <c r="C10" s="5">
        <v>0</v>
      </c>
      <c r="D10" s="5">
        <v>1</v>
      </c>
      <c r="E10" s="5">
        <v>2</v>
      </c>
      <c r="F10" s="5">
        <v>3</v>
      </c>
      <c r="G10" s="5">
        <v>4</v>
      </c>
      <c r="H10" s="5">
        <v>5</v>
      </c>
      <c r="I10" s="5">
        <v>6</v>
      </c>
      <c r="J10" s="71"/>
    </row>
    <row r="11" spans="1:10" s="6" customFormat="1" ht="19.8" customHeight="1" x14ac:dyDescent="0.25">
      <c r="A11" s="1"/>
      <c r="B11" s="6" t="s">
        <v>2</v>
      </c>
      <c r="C11" s="7">
        <v>0</v>
      </c>
      <c r="D11" s="7">
        <v>115000</v>
      </c>
      <c r="E11" s="7">
        <v>115000</v>
      </c>
      <c r="F11" s="7">
        <v>125000</v>
      </c>
      <c r="G11" s="7">
        <v>125000</v>
      </c>
      <c r="H11" s="7">
        <v>135000</v>
      </c>
      <c r="I11" s="7">
        <v>135000</v>
      </c>
      <c r="J11" s="55">
        <f>SUM(C11:I11)</f>
        <v>750000</v>
      </c>
    </row>
    <row r="12" spans="1:10" s="6" customFormat="1" ht="19.8" customHeight="1" x14ac:dyDescent="0.3">
      <c r="B12" s="6" t="s">
        <v>3</v>
      </c>
      <c r="C12" s="7">
        <v>0</v>
      </c>
      <c r="D12" s="7">
        <v>-22000</v>
      </c>
      <c r="E12" s="7">
        <f>D12</f>
        <v>-22000</v>
      </c>
      <c r="F12" s="7">
        <f t="shared" ref="F12:I12" si="0">E12</f>
        <v>-22000</v>
      </c>
      <c r="G12" s="7">
        <f t="shared" si="0"/>
        <v>-22000</v>
      </c>
      <c r="H12" s="7">
        <f t="shared" si="0"/>
        <v>-22000</v>
      </c>
      <c r="I12" s="7">
        <f t="shared" si="0"/>
        <v>-22000</v>
      </c>
      <c r="J12" s="55">
        <f t="shared" ref="J12:J20" si="1">SUM(C12:I12)</f>
        <v>-132000</v>
      </c>
    </row>
    <row r="13" spans="1:10" s="6" customFormat="1" ht="19.8" customHeight="1" x14ac:dyDescent="0.3">
      <c r="B13" s="6" t="s">
        <v>4</v>
      </c>
      <c r="C13" s="7">
        <v>0</v>
      </c>
      <c r="D13" s="7">
        <f>-400*3</f>
        <v>-1200</v>
      </c>
      <c r="E13" s="7">
        <f t="shared" ref="E13:I13" si="2">-400*3</f>
        <v>-1200</v>
      </c>
      <c r="F13" s="7">
        <f t="shared" si="2"/>
        <v>-1200</v>
      </c>
      <c r="G13" s="7">
        <f t="shared" si="2"/>
        <v>-1200</v>
      </c>
      <c r="H13" s="7">
        <f t="shared" si="2"/>
        <v>-1200</v>
      </c>
      <c r="I13" s="7">
        <f t="shared" si="2"/>
        <v>-1200</v>
      </c>
      <c r="J13" s="55">
        <f t="shared" si="1"/>
        <v>-7200</v>
      </c>
    </row>
    <row r="14" spans="1:10" s="6" customFormat="1" ht="19.8" customHeight="1" thickBot="1" x14ac:dyDescent="0.35">
      <c r="A14" s="52">
        <v>0.1</v>
      </c>
      <c r="B14" s="10" t="s">
        <v>5</v>
      </c>
      <c r="C14" s="11">
        <v>0</v>
      </c>
      <c r="D14" s="11">
        <f t="shared" ref="D14:I14" si="3">-$C$5*$A$14</f>
        <v>-42500</v>
      </c>
      <c r="E14" s="11">
        <f t="shared" si="3"/>
        <v>-42500</v>
      </c>
      <c r="F14" s="11">
        <f t="shared" si="3"/>
        <v>-42500</v>
      </c>
      <c r="G14" s="11">
        <f t="shared" si="3"/>
        <v>-42500</v>
      </c>
      <c r="H14" s="11">
        <f t="shared" si="3"/>
        <v>-42500</v>
      </c>
      <c r="I14" s="11">
        <f t="shared" si="3"/>
        <v>-42500</v>
      </c>
      <c r="J14" s="56">
        <f t="shared" si="1"/>
        <v>-255000</v>
      </c>
    </row>
    <row r="15" spans="1:10" s="6" customFormat="1" ht="19.8" customHeight="1" x14ac:dyDescent="0.3">
      <c r="B15" s="8" t="s">
        <v>6</v>
      </c>
      <c r="C15" s="9">
        <f>C11-(SUM(C12:C14))</f>
        <v>0</v>
      </c>
      <c r="D15" s="9">
        <f>D11+(SUM(D12:D14))</f>
        <v>49300</v>
      </c>
      <c r="E15" s="9">
        <f t="shared" ref="E15:I15" si="4">E11+(SUM(E12:E14))</f>
        <v>49300</v>
      </c>
      <c r="F15" s="9">
        <f t="shared" si="4"/>
        <v>59300</v>
      </c>
      <c r="G15" s="9">
        <f t="shared" si="4"/>
        <v>59300</v>
      </c>
      <c r="H15" s="9">
        <f t="shared" si="4"/>
        <v>69300</v>
      </c>
      <c r="I15" s="9">
        <f t="shared" si="4"/>
        <v>69300</v>
      </c>
      <c r="J15" s="55">
        <f t="shared" si="1"/>
        <v>355800</v>
      </c>
    </row>
    <row r="16" spans="1:10" s="6" customFormat="1" ht="19.8" customHeight="1" thickBot="1" x14ac:dyDescent="0.35">
      <c r="B16" s="51" t="s">
        <v>8</v>
      </c>
      <c r="C16" s="11">
        <v>0</v>
      </c>
      <c r="D16" s="11">
        <f>-D14</f>
        <v>42500</v>
      </c>
      <c r="E16" s="11">
        <f t="shared" ref="E16:I16" si="5">-E14</f>
        <v>42500</v>
      </c>
      <c r="F16" s="11">
        <f t="shared" si="5"/>
        <v>42500</v>
      </c>
      <c r="G16" s="11">
        <f t="shared" si="5"/>
        <v>42500</v>
      </c>
      <c r="H16" s="11">
        <f t="shared" si="5"/>
        <v>42500</v>
      </c>
      <c r="I16" s="11">
        <f t="shared" si="5"/>
        <v>42500</v>
      </c>
      <c r="J16" s="56">
        <f t="shared" si="1"/>
        <v>255000</v>
      </c>
    </row>
    <row r="17" spans="1:10" s="6" customFormat="1" ht="19.8" customHeight="1" x14ac:dyDescent="0.3">
      <c r="B17" s="8" t="s">
        <v>11</v>
      </c>
      <c r="C17" s="9">
        <f>SUM(C15:C16)</f>
        <v>0</v>
      </c>
      <c r="D17" s="9">
        <f>SUM(D15:D16)</f>
        <v>91800</v>
      </c>
      <c r="E17" s="9">
        <f t="shared" ref="E17:I17" si="6">SUM(E15:E16)</f>
        <v>91800</v>
      </c>
      <c r="F17" s="9">
        <f t="shared" si="6"/>
        <v>101800</v>
      </c>
      <c r="G17" s="9">
        <f t="shared" si="6"/>
        <v>101800</v>
      </c>
      <c r="H17" s="9">
        <f t="shared" si="6"/>
        <v>111800</v>
      </c>
      <c r="I17" s="9">
        <f t="shared" si="6"/>
        <v>111800</v>
      </c>
      <c r="J17" s="55">
        <f t="shared" si="1"/>
        <v>610800</v>
      </c>
    </row>
    <row r="18" spans="1:10" s="6" customFormat="1" ht="19.8" customHeight="1" x14ac:dyDescent="0.3">
      <c r="B18" s="6" t="s">
        <v>7</v>
      </c>
      <c r="C18" s="7">
        <f>-C5</f>
        <v>-425000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55">
        <f t="shared" si="1"/>
        <v>-425000</v>
      </c>
    </row>
    <row r="19" spans="1:10" s="6" customFormat="1" ht="19.8" customHeight="1" thickBot="1" x14ac:dyDescent="0.35">
      <c r="B19" s="10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65000</v>
      </c>
      <c r="J19" s="56">
        <f t="shared" si="1"/>
        <v>65000</v>
      </c>
    </row>
    <row r="20" spans="1:10" s="6" customFormat="1" ht="19.8" customHeight="1" x14ac:dyDescent="0.3">
      <c r="B20" s="8" t="s">
        <v>9</v>
      </c>
      <c r="C20" s="9">
        <f>SUM(C17:C19)</f>
        <v>-425000</v>
      </c>
      <c r="D20" s="9">
        <f>SUM(D17:D19)</f>
        <v>91800</v>
      </c>
      <c r="E20" s="9">
        <f t="shared" ref="E20:I20" si="7">SUM(E17:E19)</f>
        <v>91800</v>
      </c>
      <c r="F20" s="9">
        <f t="shared" si="7"/>
        <v>101800</v>
      </c>
      <c r="G20" s="9">
        <f t="shared" si="7"/>
        <v>101800</v>
      </c>
      <c r="H20" s="9">
        <f t="shared" si="7"/>
        <v>111800</v>
      </c>
      <c r="I20" s="9">
        <f t="shared" si="7"/>
        <v>176800</v>
      </c>
      <c r="J20" s="57">
        <f t="shared" si="1"/>
        <v>250800</v>
      </c>
    </row>
    <row r="21" spans="1:10" s="6" customFormat="1" ht="19.8" customHeight="1" x14ac:dyDescent="0.3">
      <c r="C21" s="7"/>
      <c r="D21" s="7"/>
      <c r="E21" s="7"/>
      <c r="F21" s="7"/>
      <c r="G21" s="7"/>
      <c r="H21" s="7"/>
      <c r="I21" s="7"/>
    </row>
    <row r="22" spans="1:10" ht="15.6" x14ac:dyDescent="0.3">
      <c r="B22" s="49" t="s">
        <v>13</v>
      </c>
      <c r="C22" s="2">
        <f>C20</f>
        <v>-425000</v>
      </c>
      <c r="D22" s="2">
        <f>D20/(1+C6)</f>
        <v>81964.28571428571</v>
      </c>
      <c r="E22" s="2">
        <f>E20/(1+C6)^2</f>
        <v>73182.397959183669</v>
      </c>
      <c r="F22" s="2">
        <f>F20/(1+C6)^3</f>
        <v>72459.229227405231</v>
      </c>
      <c r="G22" s="2">
        <f>G20/(1+C6)^4</f>
        <v>64695.740381611817</v>
      </c>
      <c r="H22" s="2">
        <f>H20/(1+C6)^5</f>
        <v>63438.322469339393</v>
      </c>
      <c r="I22" s="2">
        <f>I20/(1+C6)^6</f>
        <v>89572.382224150293</v>
      </c>
      <c r="J22" s="35">
        <f>SUM(C22:I22)</f>
        <v>20312.357975976047</v>
      </c>
    </row>
    <row r="23" spans="1:10" ht="15.6" x14ac:dyDescent="0.3">
      <c r="B23" s="3"/>
      <c r="J23" s="35"/>
    </row>
    <row r="24" spans="1:10" ht="18.600000000000001" x14ac:dyDescent="0.45">
      <c r="A24"/>
      <c r="B24" s="20" t="s">
        <v>45</v>
      </c>
    </row>
    <row r="25" spans="1:10" ht="18.600000000000001" x14ac:dyDescent="0.45">
      <c r="B25" s="20" t="s">
        <v>24</v>
      </c>
    </row>
    <row r="26" spans="1:10" ht="18.600000000000001" x14ac:dyDescent="0.45">
      <c r="B26" s="20"/>
    </row>
    <row r="27" spans="1:10" ht="15.6" x14ac:dyDescent="0.3">
      <c r="B27" s="49" t="s">
        <v>22</v>
      </c>
      <c r="C27" s="40">
        <v>500000</v>
      </c>
      <c r="E27" s="49" t="s">
        <v>13</v>
      </c>
      <c r="F27" s="58">
        <f>C42+(D42/(1+C28))+(E42/((1+C28)^2))+(F42/((1+C28)^3))+(G42/((1+C28)^4))+(H42/((1+C28)^5))+(I42/((1+C28)^6))</f>
        <v>-82279.068854715326</v>
      </c>
    </row>
    <row r="28" spans="1:10" ht="15.6" x14ac:dyDescent="0.3">
      <c r="B28" s="49" t="s">
        <v>12</v>
      </c>
      <c r="C28" s="54">
        <v>0.15</v>
      </c>
      <c r="D28" s="1"/>
      <c r="E28" s="49" t="s">
        <v>13</v>
      </c>
      <c r="F28" s="44">
        <f>NPV(C28,D42:I42)+C42</f>
        <v>-82279.068854715268</v>
      </c>
    </row>
    <row r="29" spans="1:10" ht="15.6" x14ac:dyDescent="0.3">
      <c r="B29" s="53" t="s">
        <v>19</v>
      </c>
      <c r="C29" s="40" t="s">
        <v>44</v>
      </c>
      <c r="D29" s="53"/>
      <c r="E29" s="49" t="s">
        <v>37</v>
      </c>
      <c r="F29" s="59">
        <f>IRR(C42:I42)</f>
        <v>9.4575843622541234E-2</v>
      </c>
    </row>
    <row r="31" spans="1:10" ht="15.6" x14ac:dyDescent="0.25">
      <c r="B31" s="62" t="s">
        <v>0</v>
      </c>
      <c r="C31" s="64" t="s">
        <v>1</v>
      </c>
      <c r="D31" s="64"/>
      <c r="E31" s="64"/>
      <c r="F31" s="64"/>
      <c r="G31" s="64"/>
      <c r="H31" s="64"/>
      <c r="I31" s="64"/>
      <c r="J31" s="70" t="s">
        <v>41</v>
      </c>
    </row>
    <row r="32" spans="1:10" ht="16.2" thickBot="1" x14ac:dyDescent="0.3">
      <c r="B32" s="63"/>
      <c r="C32" s="5">
        <v>0</v>
      </c>
      <c r="D32" s="5">
        <v>1</v>
      </c>
      <c r="E32" s="5">
        <v>2</v>
      </c>
      <c r="F32" s="5">
        <v>3</v>
      </c>
      <c r="G32" s="5">
        <v>4</v>
      </c>
      <c r="H32" s="5">
        <v>5</v>
      </c>
      <c r="I32" s="5">
        <v>6</v>
      </c>
      <c r="J32" s="71"/>
    </row>
    <row r="33" spans="1:10" ht="15.6" x14ac:dyDescent="0.25">
      <c r="B33" s="6" t="s">
        <v>2</v>
      </c>
      <c r="C33" s="7">
        <v>0</v>
      </c>
      <c r="D33" s="7">
        <v>105000</v>
      </c>
      <c r="E33" s="7">
        <v>105000</v>
      </c>
      <c r="F33" s="7">
        <v>128000</v>
      </c>
      <c r="G33" s="7">
        <v>128000</v>
      </c>
      <c r="H33" s="7">
        <v>140000</v>
      </c>
      <c r="I33" s="7">
        <v>140000</v>
      </c>
      <c r="J33" s="55">
        <f>SUM(C33:I33)</f>
        <v>746000</v>
      </c>
    </row>
    <row r="34" spans="1:10" ht="15.6" x14ac:dyDescent="0.25">
      <c r="A34" s="6"/>
      <c r="B34" s="6" t="s">
        <v>3</v>
      </c>
      <c r="C34" s="7">
        <v>0</v>
      </c>
      <c r="D34" s="7">
        <v>-18000</v>
      </c>
      <c r="E34" s="7">
        <f>D34</f>
        <v>-18000</v>
      </c>
      <c r="F34" s="7">
        <f t="shared" ref="F34:I34" si="8">E34</f>
        <v>-18000</v>
      </c>
      <c r="G34" s="7">
        <f t="shared" si="8"/>
        <v>-18000</v>
      </c>
      <c r="H34" s="7">
        <f t="shared" si="8"/>
        <v>-18000</v>
      </c>
      <c r="I34" s="7">
        <f t="shared" si="8"/>
        <v>-18000</v>
      </c>
      <c r="J34" s="55">
        <f t="shared" ref="J34:J42" si="9">SUM(C34:I34)</f>
        <v>-108000</v>
      </c>
    </row>
    <row r="35" spans="1:10" ht="15.6" x14ac:dyDescent="0.25">
      <c r="A35" s="6"/>
      <c r="B35" s="6" t="s">
        <v>4</v>
      </c>
      <c r="C35" s="7">
        <v>0</v>
      </c>
      <c r="D35" s="7">
        <f>-600*4</f>
        <v>-2400</v>
      </c>
      <c r="E35" s="7">
        <f t="shared" ref="E35:I35" si="10">-600*4</f>
        <v>-2400</v>
      </c>
      <c r="F35" s="7">
        <f t="shared" si="10"/>
        <v>-2400</v>
      </c>
      <c r="G35" s="7">
        <f t="shared" si="10"/>
        <v>-2400</v>
      </c>
      <c r="H35" s="7">
        <f t="shared" si="10"/>
        <v>-2400</v>
      </c>
      <c r="I35" s="7">
        <f t="shared" si="10"/>
        <v>-2400</v>
      </c>
      <c r="J35" s="55">
        <f t="shared" si="9"/>
        <v>-14400</v>
      </c>
    </row>
    <row r="36" spans="1:10" ht="16.2" thickBot="1" x14ac:dyDescent="0.3">
      <c r="A36" s="52">
        <v>0.1</v>
      </c>
      <c r="B36" s="10" t="s">
        <v>5</v>
      </c>
      <c r="C36" s="11">
        <v>0</v>
      </c>
      <c r="D36" s="11">
        <f>-$C$27*$A$36</f>
        <v>-50000</v>
      </c>
      <c r="E36" s="11">
        <f t="shared" ref="E36:I36" si="11">-$C$27*$A$36</f>
        <v>-50000</v>
      </c>
      <c r="F36" s="11">
        <f t="shared" si="11"/>
        <v>-50000</v>
      </c>
      <c r="G36" s="11">
        <f t="shared" si="11"/>
        <v>-50000</v>
      </c>
      <c r="H36" s="11">
        <f t="shared" si="11"/>
        <v>-50000</v>
      </c>
      <c r="I36" s="11">
        <f t="shared" si="11"/>
        <v>-50000</v>
      </c>
      <c r="J36" s="56">
        <f t="shared" si="9"/>
        <v>-300000</v>
      </c>
    </row>
    <row r="37" spans="1:10" ht="15.6" x14ac:dyDescent="0.25">
      <c r="A37" s="6"/>
      <c r="B37" s="8" t="s">
        <v>6</v>
      </c>
      <c r="C37" s="9">
        <f>C33-(SUM(C34:C36))</f>
        <v>0</v>
      </c>
      <c r="D37" s="9">
        <f>D33+(SUM(D34:D36))</f>
        <v>34600</v>
      </c>
      <c r="E37" s="9">
        <f t="shared" ref="E37" si="12">E33+(SUM(E34:E36))</f>
        <v>34600</v>
      </c>
      <c r="F37" s="9">
        <f t="shared" ref="F37" si="13">F33+(SUM(F34:F36))</f>
        <v>57600</v>
      </c>
      <c r="G37" s="9">
        <f t="shared" ref="G37" si="14">G33+(SUM(G34:G36))</f>
        <v>57600</v>
      </c>
      <c r="H37" s="9">
        <f t="shared" ref="H37" si="15">H33+(SUM(H34:H36))</f>
        <v>69600</v>
      </c>
      <c r="I37" s="9">
        <f t="shared" ref="I37" si="16">I33+(SUM(I34:I36))</f>
        <v>69600</v>
      </c>
      <c r="J37" s="55">
        <f t="shared" si="9"/>
        <v>323600</v>
      </c>
    </row>
    <row r="38" spans="1:10" ht="16.2" thickBot="1" x14ac:dyDescent="0.3">
      <c r="A38" s="6"/>
      <c r="B38" s="51" t="s">
        <v>8</v>
      </c>
      <c r="C38" s="11">
        <v>0</v>
      </c>
      <c r="D38" s="11">
        <f>-D36</f>
        <v>50000</v>
      </c>
      <c r="E38" s="11">
        <f t="shared" ref="E38:I38" si="17">-E36</f>
        <v>50000</v>
      </c>
      <c r="F38" s="11">
        <f t="shared" si="17"/>
        <v>50000</v>
      </c>
      <c r="G38" s="11">
        <f t="shared" si="17"/>
        <v>50000</v>
      </c>
      <c r="H38" s="11">
        <f t="shared" si="17"/>
        <v>50000</v>
      </c>
      <c r="I38" s="11">
        <f t="shared" si="17"/>
        <v>50000</v>
      </c>
      <c r="J38" s="56">
        <f t="shared" si="9"/>
        <v>300000</v>
      </c>
    </row>
    <row r="39" spans="1:10" ht="15.6" x14ac:dyDescent="0.25">
      <c r="A39" s="6"/>
      <c r="B39" s="8" t="s">
        <v>11</v>
      </c>
      <c r="C39" s="9">
        <f>SUM(C37:C38)</f>
        <v>0</v>
      </c>
      <c r="D39" s="9">
        <f>SUM(D37:D38)</f>
        <v>84600</v>
      </c>
      <c r="E39" s="9">
        <f t="shared" ref="E39" si="18">SUM(E37:E38)</f>
        <v>84600</v>
      </c>
      <c r="F39" s="9">
        <f t="shared" ref="F39" si="19">SUM(F37:F38)</f>
        <v>107600</v>
      </c>
      <c r="G39" s="9">
        <f t="shared" ref="G39" si="20">SUM(G37:G38)</f>
        <v>107600</v>
      </c>
      <c r="H39" s="9">
        <f t="shared" ref="H39" si="21">SUM(H37:H38)</f>
        <v>119600</v>
      </c>
      <c r="I39" s="9">
        <f t="shared" ref="I39" si="22">SUM(I37:I38)</f>
        <v>119600</v>
      </c>
      <c r="J39" s="55">
        <f t="shared" si="9"/>
        <v>623600</v>
      </c>
    </row>
    <row r="40" spans="1:10" ht="15.6" x14ac:dyDescent="0.25">
      <c r="A40" s="6"/>
      <c r="B40" s="6" t="s">
        <v>7</v>
      </c>
      <c r="C40" s="7">
        <f>-C27</f>
        <v>-500000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55">
        <f t="shared" si="9"/>
        <v>-500000</v>
      </c>
    </row>
    <row r="41" spans="1:10" ht="16.2" thickBot="1" x14ac:dyDescent="0.3">
      <c r="A41" s="6"/>
      <c r="B41" s="10" t="s">
        <v>10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85000</v>
      </c>
      <c r="J41" s="56">
        <f t="shared" si="9"/>
        <v>85000</v>
      </c>
    </row>
    <row r="42" spans="1:10" ht="15.6" x14ac:dyDescent="0.25">
      <c r="A42" s="6"/>
      <c r="B42" s="8" t="s">
        <v>9</v>
      </c>
      <c r="C42" s="9">
        <f>SUM(C39:C41)</f>
        <v>-500000</v>
      </c>
      <c r="D42" s="9">
        <f>SUM(D39:D41)</f>
        <v>84600</v>
      </c>
      <c r="E42" s="9">
        <f t="shared" ref="E42" si="23">SUM(E39:E41)</f>
        <v>84600</v>
      </c>
      <c r="F42" s="9">
        <f t="shared" ref="F42" si="24">SUM(F39:F41)</f>
        <v>107600</v>
      </c>
      <c r="G42" s="9">
        <f t="shared" ref="G42" si="25">SUM(G39:G41)</f>
        <v>107600</v>
      </c>
      <c r="H42" s="9">
        <f t="shared" ref="H42" si="26">SUM(H39:H41)</f>
        <v>119600</v>
      </c>
      <c r="I42" s="9">
        <f t="shared" ref="I42" si="27">SUM(I39:I41)</f>
        <v>204600</v>
      </c>
      <c r="J42" s="57">
        <f t="shared" si="9"/>
        <v>208600</v>
      </c>
    </row>
    <row r="43" spans="1:10" x14ac:dyDescent="0.25">
      <c r="A43" s="6"/>
      <c r="B43" s="6"/>
      <c r="C43" s="7"/>
      <c r="D43" s="7"/>
      <c r="E43" s="7"/>
      <c r="F43" s="7"/>
      <c r="G43" s="7"/>
      <c r="H43" s="7"/>
      <c r="I43" s="7"/>
      <c r="J43" s="6"/>
    </row>
    <row r="44" spans="1:10" ht="15.6" x14ac:dyDescent="0.3">
      <c r="B44" s="49" t="s">
        <v>13</v>
      </c>
      <c r="C44" s="2">
        <f>C42</f>
        <v>-500000</v>
      </c>
      <c r="D44" s="2">
        <f>D42/(1+C28)</f>
        <v>73565.217391304352</v>
      </c>
      <c r="E44" s="2">
        <f>E42/(1+C28)^2</f>
        <v>63969.754253308136</v>
      </c>
      <c r="F44" s="2">
        <f>F42/(1+C28)^3</f>
        <v>70748.746609681955</v>
      </c>
      <c r="G44" s="2">
        <f>G42/(1+C28)^4</f>
        <v>61520.64922581039</v>
      </c>
      <c r="H44" s="2">
        <f>H42/(1+C28)^5</f>
        <v>59462.337541675472</v>
      </c>
      <c r="I44" s="2">
        <f>I42/(1+C28)^6</f>
        <v>88454.226123504457</v>
      </c>
      <c r="J44" s="35">
        <f>SUM(C44:I44)</f>
        <v>-82279.068854715326</v>
      </c>
    </row>
    <row r="46" spans="1:10" ht="18.600000000000001" x14ac:dyDescent="0.45">
      <c r="A46"/>
      <c r="B46" s="20" t="s">
        <v>45</v>
      </c>
    </row>
    <row r="47" spans="1:10" ht="18.600000000000001" x14ac:dyDescent="0.45">
      <c r="B47" s="20" t="s">
        <v>46</v>
      </c>
    </row>
    <row r="48" spans="1:10" ht="18.600000000000001" x14ac:dyDescent="0.45">
      <c r="B48" s="20"/>
    </row>
    <row r="49" spans="1:10" ht="15.6" x14ac:dyDescent="0.3">
      <c r="B49" s="49" t="s">
        <v>22</v>
      </c>
      <c r="C49" s="40">
        <v>475000</v>
      </c>
      <c r="E49" s="49" t="s">
        <v>13</v>
      </c>
      <c r="F49" s="58">
        <f>C64+(D64/(1+C50))+(E64/((1+C50)^2))+(F64/((1+C50)^3))+(G64/((1+C50)^4))+(H64/((1+C50)^5))+(I64/((1+C50)^6))</f>
        <v>-13478.971505337729</v>
      </c>
    </row>
    <row r="50" spans="1:10" ht="15.6" x14ac:dyDescent="0.3">
      <c r="B50" s="49" t="s">
        <v>12</v>
      </c>
      <c r="C50" s="54">
        <v>0.13</v>
      </c>
      <c r="D50" s="1"/>
      <c r="E50" s="49" t="s">
        <v>13</v>
      </c>
      <c r="F50" s="44">
        <f>NPV(C50,D64:I64)+C64</f>
        <v>-13478.971505337686</v>
      </c>
    </row>
    <row r="51" spans="1:10" ht="15.6" x14ac:dyDescent="0.3">
      <c r="B51" s="53" t="s">
        <v>19</v>
      </c>
      <c r="C51" s="40" t="s">
        <v>44</v>
      </c>
      <c r="D51" s="53"/>
      <c r="E51" s="49" t="s">
        <v>37</v>
      </c>
      <c r="F51" s="59">
        <f>IRR(C64:I64)</f>
        <v>0.12064310861602978</v>
      </c>
    </row>
    <row r="53" spans="1:10" ht="15.6" x14ac:dyDescent="0.25">
      <c r="B53" s="62" t="s">
        <v>0</v>
      </c>
      <c r="C53" s="64" t="s">
        <v>1</v>
      </c>
      <c r="D53" s="64"/>
      <c r="E53" s="64"/>
      <c r="F53" s="64"/>
      <c r="G53" s="64"/>
      <c r="H53" s="64"/>
      <c r="I53" s="64"/>
      <c r="J53" s="70" t="s">
        <v>41</v>
      </c>
    </row>
    <row r="54" spans="1:10" ht="16.2" thickBot="1" x14ac:dyDescent="0.3">
      <c r="B54" s="63"/>
      <c r="C54" s="5">
        <v>0</v>
      </c>
      <c r="D54" s="5">
        <v>1</v>
      </c>
      <c r="E54" s="5">
        <v>2</v>
      </c>
      <c r="F54" s="5">
        <v>3</v>
      </c>
      <c r="G54" s="5">
        <v>4</v>
      </c>
      <c r="H54" s="5">
        <v>5</v>
      </c>
      <c r="I54" s="5">
        <v>6</v>
      </c>
      <c r="J54" s="71"/>
    </row>
    <row r="55" spans="1:10" ht="15.6" x14ac:dyDescent="0.25">
      <c r="B55" s="6" t="s">
        <v>2</v>
      </c>
      <c r="C55" s="7">
        <v>0</v>
      </c>
      <c r="D55" s="7">
        <v>115000</v>
      </c>
      <c r="E55" s="7">
        <v>115000</v>
      </c>
      <c r="F55" s="7">
        <v>115000</v>
      </c>
      <c r="G55" s="7">
        <v>130000</v>
      </c>
      <c r="H55" s="7">
        <v>130000</v>
      </c>
      <c r="I55" s="7">
        <v>145000</v>
      </c>
      <c r="J55" s="55">
        <f>SUM(C55:I55)</f>
        <v>750000</v>
      </c>
    </row>
    <row r="56" spans="1:10" ht="15.6" x14ac:dyDescent="0.25">
      <c r="A56" s="6"/>
      <c r="B56" s="6" t="s">
        <v>3</v>
      </c>
      <c r="C56" s="7">
        <v>0</v>
      </c>
      <c r="D56" s="7">
        <v>-12000</v>
      </c>
      <c r="E56" s="7">
        <f>D56</f>
        <v>-12000</v>
      </c>
      <c r="F56" s="7">
        <f t="shared" ref="F56:I56" si="28">E56</f>
        <v>-12000</v>
      </c>
      <c r="G56" s="7">
        <f t="shared" si="28"/>
        <v>-12000</v>
      </c>
      <c r="H56" s="7">
        <f t="shared" si="28"/>
        <v>-12000</v>
      </c>
      <c r="I56" s="7">
        <f t="shared" si="28"/>
        <v>-12000</v>
      </c>
      <c r="J56" s="55">
        <f t="shared" ref="J56:J64" si="29">SUM(C56:I56)</f>
        <v>-72000</v>
      </c>
    </row>
    <row r="57" spans="1:10" ht="15.6" x14ac:dyDescent="0.25">
      <c r="A57" s="6"/>
      <c r="B57" s="6" t="s">
        <v>4</v>
      </c>
      <c r="C57" s="7">
        <v>0</v>
      </c>
      <c r="D57" s="7">
        <f>-350*6</f>
        <v>-2100</v>
      </c>
      <c r="E57" s="7">
        <f t="shared" ref="E57:I57" si="30">-350*6</f>
        <v>-2100</v>
      </c>
      <c r="F57" s="7">
        <f t="shared" si="30"/>
        <v>-2100</v>
      </c>
      <c r="G57" s="7">
        <f t="shared" si="30"/>
        <v>-2100</v>
      </c>
      <c r="H57" s="7">
        <f t="shared" si="30"/>
        <v>-2100</v>
      </c>
      <c r="I57" s="7">
        <f t="shared" si="30"/>
        <v>-2100</v>
      </c>
      <c r="J57" s="55">
        <f t="shared" si="29"/>
        <v>-12600</v>
      </c>
    </row>
    <row r="58" spans="1:10" ht="16.2" thickBot="1" x14ac:dyDescent="0.3">
      <c r="A58" s="52">
        <v>0.1</v>
      </c>
      <c r="B58" s="10" t="s">
        <v>5</v>
      </c>
      <c r="C58" s="11">
        <v>0</v>
      </c>
      <c r="D58" s="11">
        <f>-$C$49*$A$58</f>
        <v>-47500</v>
      </c>
      <c r="E58" s="11">
        <f t="shared" ref="E58:I58" si="31">-$C$49*$A$58</f>
        <v>-47500</v>
      </c>
      <c r="F58" s="11">
        <f t="shared" si="31"/>
        <v>-47500</v>
      </c>
      <c r="G58" s="11">
        <f t="shared" si="31"/>
        <v>-47500</v>
      </c>
      <c r="H58" s="11">
        <f t="shared" si="31"/>
        <v>-47500</v>
      </c>
      <c r="I58" s="11">
        <f t="shared" si="31"/>
        <v>-47500</v>
      </c>
      <c r="J58" s="56">
        <f t="shared" si="29"/>
        <v>-285000</v>
      </c>
    </row>
    <row r="59" spans="1:10" ht="15.6" x14ac:dyDescent="0.25">
      <c r="A59" s="6"/>
      <c r="B59" s="8" t="s">
        <v>6</v>
      </c>
      <c r="C59" s="9">
        <f>C55-(SUM(C56:C58))</f>
        <v>0</v>
      </c>
      <c r="D59" s="9">
        <f>D55+(SUM(D56:D58))</f>
        <v>53400</v>
      </c>
      <c r="E59" s="9">
        <f t="shared" ref="E59" si="32">E55+(SUM(E56:E58))</f>
        <v>53400</v>
      </c>
      <c r="F59" s="9">
        <f t="shared" ref="F59" si="33">F55+(SUM(F56:F58))</f>
        <v>53400</v>
      </c>
      <c r="G59" s="9">
        <f t="shared" ref="G59" si="34">G55+(SUM(G56:G58))</f>
        <v>68400</v>
      </c>
      <c r="H59" s="9">
        <f t="shared" ref="H59" si="35">H55+(SUM(H56:H58))</f>
        <v>68400</v>
      </c>
      <c r="I59" s="9">
        <f t="shared" ref="I59" si="36">I55+(SUM(I56:I58))</f>
        <v>83400</v>
      </c>
      <c r="J59" s="55">
        <f t="shared" si="29"/>
        <v>380400</v>
      </c>
    </row>
    <row r="60" spans="1:10" ht="16.2" thickBot="1" x14ac:dyDescent="0.3">
      <c r="A60" s="6"/>
      <c r="B60" s="51" t="s">
        <v>8</v>
      </c>
      <c r="C60" s="11">
        <v>0</v>
      </c>
      <c r="D60" s="11">
        <f>-D58</f>
        <v>47500</v>
      </c>
      <c r="E60" s="11">
        <f t="shared" ref="E60:I60" si="37">-E58</f>
        <v>47500</v>
      </c>
      <c r="F60" s="11">
        <f t="shared" si="37"/>
        <v>47500</v>
      </c>
      <c r="G60" s="11">
        <f t="shared" si="37"/>
        <v>47500</v>
      </c>
      <c r="H60" s="11">
        <f t="shared" si="37"/>
        <v>47500</v>
      </c>
      <c r="I60" s="11">
        <f t="shared" si="37"/>
        <v>47500</v>
      </c>
      <c r="J60" s="56">
        <f t="shared" si="29"/>
        <v>285000</v>
      </c>
    </row>
    <row r="61" spans="1:10" ht="15.6" x14ac:dyDescent="0.25">
      <c r="A61" s="6"/>
      <c r="B61" s="8" t="s">
        <v>11</v>
      </c>
      <c r="C61" s="9">
        <f>SUM(C59:C60)</f>
        <v>0</v>
      </c>
      <c r="D61" s="9">
        <f>SUM(D59:D60)</f>
        <v>100900</v>
      </c>
      <c r="E61" s="9">
        <f t="shared" ref="E61" si="38">SUM(E59:E60)</f>
        <v>100900</v>
      </c>
      <c r="F61" s="9">
        <f t="shared" ref="F61" si="39">SUM(F59:F60)</f>
        <v>100900</v>
      </c>
      <c r="G61" s="9">
        <f t="shared" ref="G61" si="40">SUM(G59:G60)</f>
        <v>115900</v>
      </c>
      <c r="H61" s="9">
        <f t="shared" ref="H61" si="41">SUM(H59:H60)</f>
        <v>115900</v>
      </c>
      <c r="I61" s="9">
        <f t="shared" ref="I61" si="42">SUM(I59:I60)</f>
        <v>130900</v>
      </c>
      <c r="J61" s="55">
        <f t="shared" si="29"/>
        <v>665400</v>
      </c>
    </row>
    <row r="62" spans="1:10" ht="15.6" x14ac:dyDescent="0.25">
      <c r="A62" s="6"/>
      <c r="B62" s="6" t="s">
        <v>7</v>
      </c>
      <c r="C62" s="7">
        <f>-C49</f>
        <v>-475000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55">
        <f t="shared" si="29"/>
        <v>-475000</v>
      </c>
    </row>
    <row r="63" spans="1:10" ht="16.2" thickBot="1" x14ac:dyDescent="0.3">
      <c r="A63" s="6"/>
      <c r="B63" s="10" t="s">
        <v>10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55000</v>
      </c>
      <c r="J63" s="56">
        <f t="shared" si="29"/>
        <v>55000</v>
      </c>
    </row>
    <row r="64" spans="1:10" ht="15.6" x14ac:dyDescent="0.25">
      <c r="A64" s="6"/>
      <c r="B64" s="8" t="s">
        <v>9</v>
      </c>
      <c r="C64" s="9">
        <f>SUM(C61:C63)</f>
        <v>-475000</v>
      </c>
      <c r="D64" s="9">
        <f>SUM(D61:D63)</f>
        <v>100900</v>
      </c>
      <c r="E64" s="9">
        <f t="shared" ref="E64" si="43">SUM(E61:E63)</f>
        <v>100900</v>
      </c>
      <c r="F64" s="9">
        <f t="shared" ref="F64" si="44">SUM(F61:F63)</f>
        <v>100900</v>
      </c>
      <c r="G64" s="9">
        <f t="shared" ref="G64" si="45">SUM(G61:G63)</f>
        <v>115900</v>
      </c>
      <c r="H64" s="9">
        <f t="shared" ref="H64" si="46">SUM(H61:H63)</f>
        <v>115900</v>
      </c>
      <c r="I64" s="9">
        <f t="shared" ref="I64" si="47">SUM(I61:I63)</f>
        <v>185900</v>
      </c>
      <c r="J64" s="57">
        <f t="shared" si="29"/>
        <v>245400</v>
      </c>
    </row>
    <row r="65" spans="1:10" x14ac:dyDescent="0.25">
      <c r="A65" s="6"/>
      <c r="B65" s="6"/>
      <c r="C65" s="7"/>
      <c r="D65" s="7"/>
      <c r="E65" s="7"/>
      <c r="F65" s="7"/>
      <c r="G65" s="7"/>
      <c r="H65" s="7"/>
      <c r="I65" s="7"/>
      <c r="J65" s="6"/>
    </row>
    <row r="66" spans="1:10" ht="15.6" x14ac:dyDescent="0.3">
      <c r="B66" s="49" t="s">
        <v>13</v>
      </c>
      <c r="C66" s="2">
        <f>C64</f>
        <v>-475000</v>
      </c>
      <c r="D66" s="2">
        <f>D64/(1+C50)</f>
        <v>89292.035398230102</v>
      </c>
      <c r="E66" s="2">
        <f>E64/(1+C50)^2</f>
        <v>79019.500352416027</v>
      </c>
      <c r="F66" s="2">
        <f>F64/(1+C50)^3</f>
        <v>69928.761373819507</v>
      </c>
      <c r="G66" s="2">
        <f>G64/(1+C50)^4</f>
        <v>71083.640538039777</v>
      </c>
      <c r="H66" s="2">
        <f>H64/(1+C50)^5</f>
        <v>62905.876582336095</v>
      </c>
      <c r="I66" s="2">
        <f>I64/(1+C50)^6</f>
        <v>89291.214249820812</v>
      </c>
      <c r="J66" s="35">
        <f>SUM(C66:I66)</f>
        <v>-13478.971505337729</v>
      </c>
    </row>
    <row r="69" spans="1:10" x14ac:dyDescent="0.25">
      <c r="C69" s="69" t="s">
        <v>47</v>
      </c>
      <c r="D69" s="69"/>
      <c r="E69" s="69"/>
      <c r="F69" s="69"/>
      <c r="G69" s="69"/>
      <c r="H69" s="69"/>
      <c r="I69" s="69"/>
      <c r="J69" s="69"/>
    </row>
    <row r="70" spans="1:10" x14ac:dyDescent="0.25">
      <c r="C70" s="69"/>
      <c r="D70" s="69"/>
      <c r="E70" s="69"/>
      <c r="F70" s="69"/>
      <c r="G70" s="69"/>
      <c r="H70" s="69"/>
      <c r="I70" s="69"/>
      <c r="J70" s="69"/>
    </row>
    <row r="72" spans="1:10" ht="15.6" x14ac:dyDescent="0.3">
      <c r="C72"/>
    </row>
  </sheetData>
  <mergeCells count="10">
    <mergeCell ref="C69:J70"/>
    <mergeCell ref="B9:B10"/>
    <mergeCell ref="C9:I9"/>
    <mergeCell ref="J9:J10"/>
    <mergeCell ref="B31:B32"/>
    <mergeCell ref="C31:I31"/>
    <mergeCell ref="J31:J32"/>
    <mergeCell ref="B53:B54"/>
    <mergeCell ref="C53:I53"/>
    <mergeCell ref="J53:J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A7CC-26C9-45EC-939B-84D75BEA08D4}">
  <dimension ref="A1:H35"/>
  <sheetViews>
    <sheetView zoomScale="130" zoomScaleNormal="130" workbookViewId="0">
      <selection activeCell="B35" sqref="B35"/>
    </sheetView>
  </sheetViews>
  <sheetFormatPr defaultColWidth="11.5546875" defaultRowHeight="14.4" x14ac:dyDescent="0.3"/>
  <cols>
    <col min="1" max="1" width="11.5546875" style="23"/>
    <col min="2" max="2" width="42.33203125" style="23" customWidth="1"/>
    <col min="3" max="8" width="15.6640625" style="23" customWidth="1"/>
    <col min="9" max="16384" width="11.5546875" style="23"/>
  </cols>
  <sheetData>
    <row r="1" spans="1:8" s="1" customFormat="1" ht="18.600000000000001" x14ac:dyDescent="0.45">
      <c r="A1" s="23"/>
      <c r="B1" s="20" t="s">
        <v>21</v>
      </c>
      <c r="C1" s="2"/>
      <c r="D1" s="2"/>
      <c r="E1" s="2"/>
      <c r="F1" s="2"/>
      <c r="G1" s="2"/>
      <c r="H1" s="2"/>
    </row>
    <row r="2" spans="1:8" s="1" customFormat="1" ht="18.600000000000001" x14ac:dyDescent="0.45">
      <c r="B2" s="20" t="s">
        <v>23</v>
      </c>
      <c r="C2" s="2"/>
      <c r="D2" s="2"/>
      <c r="E2" s="2"/>
      <c r="F2" s="2"/>
      <c r="G2" s="2"/>
      <c r="H2" s="2"/>
    </row>
    <row r="3" spans="1:8" s="1" customFormat="1" ht="15.6" x14ac:dyDescent="0.3">
      <c r="B3" s="16" t="s">
        <v>22</v>
      </c>
      <c r="C3" s="4">
        <v>225000</v>
      </c>
      <c r="D3" s="2"/>
      <c r="E3" s="2"/>
      <c r="F3" s="2"/>
      <c r="G3" s="2"/>
      <c r="H3" s="2"/>
    </row>
    <row r="4" spans="1:8" s="1" customFormat="1" ht="15.6" x14ac:dyDescent="0.3">
      <c r="B4" s="16" t="s">
        <v>12</v>
      </c>
      <c r="C4" s="19">
        <v>0.14000000000000001</v>
      </c>
      <c r="D4" s="4" t="s">
        <v>19</v>
      </c>
      <c r="E4" s="4" t="s">
        <v>20</v>
      </c>
      <c r="F4" s="2"/>
      <c r="G4" s="2"/>
      <c r="H4" s="2"/>
    </row>
    <row r="5" spans="1:8" s="1" customFormat="1" ht="15" x14ac:dyDescent="0.25">
      <c r="C5" s="2"/>
      <c r="D5" s="2"/>
      <c r="E5" s="2"/>
      <c r="F5" s="2"/>
      <c r="G5" s="2"/>
      <c r="H5" s="2"/>
    </row>
    <row r="6" spans="1:8" s="1" customFormat="1" ht="15.6" x14ac:dyDescent="0.25">
      <c r="B6" s="72" t="s">
        <v>0</v>
      </c>
      <c r="C6" s="74" t="s">
        <v>1</v>
      </c>
      <c r="D6" s="74"/>
      <c r="E6" s="74"/>
      <c r="F6" s="74"/>
      <c r="G6" s="74"/>
      <c r="H6" s="74"/>
    </row>
    <row r="7" spans="1:8" s="1" customFormat="1" ht="16.2" thickBot="1" x14ac:dyDescent="0.3">
      <c r="B7" s="73"/>
      <c r="C7" s="24">
        <v>0</v>
      </c>
      <c r="D7" s="24">
        <v>1</v>
      </c>
      <c r="E7" s="24">
        <v>2</v>
      </c>
      <c r="F7" s="24">
        <v>3</v>
      </c>
      <c r="G7" s="24">
        <v>4</v>
      </c>
      <c r="H7" s="24">
        <v>5</v>
      </c>
    </row>
    <row r="8" spans="1:8" x14ac:dyDescent="0.3">
      <c r="B8" s="23" t="s">
        <v>31</v>
      </c>
      <c r="C8" s="25">
        <v>0</v>
      </c>
      <c r="D8" s="25">
        <v>75000</v>
      </c>
      <c r="E8" s="25">
        <v>75000</v>
      </c>
      <c r="F8" s="25">
        <v>75000</v>
      </c>
      <c r="G8" s="25">
        <v>90000</v>
      </c>
      <c r="H8" s="25">
        <v>90000</v>
      </c>
    </row>
    <row r="9" spans="1:8" x14ac:dyDescent="0.3">
      <c r="B9" s="23" t="s">
        <v>3</v>
      </c>
      <c r="C9" s="25">
        <v>0</v>
      </c>
      <c r="D9" s="25">
        <v>-15000</v>
      </c>
      <c r="E9" s="25">
        <v>-15000</v>
      </c>
      <c r="F9" s="25">
        <v>-15000</v>
      </c>
      <c r="G9" s="25">
        <v>-15000</v>
      </c>
      <c r="H9" s="25">
        <v>-15000</v>
      </c>
    </row>
    <row r="10" spans="1:8" x14ac:dyDescent="0.3">
      <c r="B10" s="23" t="s">
        <v>4</v>
      </c>
      <c r="C10" s="25">
        <v>0</v>
      </c>
      <c r="D10" s="25">
        <f>-600*2</f>
        <v>-1200</v>
      </c>
      <c r="E10" s="25">
        <f t="shared" ref="E10:H10" si="0">-600*2</f>
        <v>-1200</v>
      </c>
      <c r="F10" s="25">
        <f t="shared" si="0"/>
        <v>-1200</v>
      </c>
      <c r="G10" s="25">
        <f t="shared" si="0"/>
        <v>-1200</v>
      </c>
      <c r="H10" s="25">
        <f t="shared" si="0"/>
        <v>-1200</v>
      </c>
    </row>
    <row r="11" spans="1:8" x14ac:dyDescent="0.3">
      <c r="B11" s="23" t="s">
        <v>32</v>
      </c>
      <c r="C11" s="27">
        <v>0</v>
      </c>
      <c r="D11" s="27">
        <f>-$C$3*10%</f>
        <v>-22500</v>
      </c>
      <c r="E11" s="27">
        <f t="shared" ref="E11:H11" si="1">-$C$3*10%</f>
        <v>-22500</v>
      </c>
      <c r="F11" s="27">
        <f t="shared" si="1"/>
        <v>-22500</v>
      </c>
      <c r="G11" s="27">
        <f t="shared" si="1"/>
        <v>-22500</v>
      </c>
      <c r="H11" s="27">
        <f t="shared" si="1"/>
        <v>-22500</v>
      </c>
    </row>
    <row r="12" spans="1:8" x14ac:dyDescent="0.3">
      <c r="B12" s="26" t="s">
        <v>33</v>
      </c>
      <c r="C12" s="28">
        <f>C8-(SUM(C9:C11))</f>
        <v>0</v>
      </c>
      <c r="D12" s="28">
        <f>D8+(SUM(D9:D11))</f>
        <v>36300</v>
      </c>
      <c r="E12" s="28">
        <f t="shared" ref="E12:H12" si="2">E8+(SUM(E9:E11))</f>
        <v>36300</v>
      </c>
      <c r="F12" s="28">
        <f t="shared" si="2"/>
        <v>36300</v>
      </c>
      <c r="G12" s="28">
        <f t="shared" si="2"/>
        <v>51300</v>
      </c>
      <c r="H12" s="28">
        <f t="shared" si="2"/>
        <v>51300</v>
      </c>
    </row>
    <row r="13" spans="1:8" x14ac:dyDescent="0.3">
      <c r="B13" s="23" t="s">
        <v>8</v>
      </c>
      <c r="C13" s="27">
        <v>0</v>
      </c>
      <c r="D13" s="27">
        <f>-D11</f>
        <v>22500</v>
      </c>
      <c r="E13" s="27">
        <f t="shared" ref="E13:H13" si="3">-E11</f>
        <v>22500</v>
      </c>
      <c r="F13" s="27">
        <f t="shared" si="3"/>
        <v>22500</v>
      </c>
      <c r="G13" s="27">
        <f t="shared" si="3"/>
        <v>22500</v>
      </c>
      <c r="H13" s="27">
        <f t="shared" si="3"/>
        <v>22500</v>
      </c>
    </row>
    <row r="14" spans="1:8" x14ac:dyDescent="0.3">
      <c r="B14" s="26" t="s">
        <v>34</v>
      </c>
      <c r="C14" s="28">
        <f>SUM(C12:C13)</f>
        <v>0</v>
      </c>
      <c r="D14" s="28">
        <f t="shared" ref="D14:H14" si="4">SUM(D12:D13)</f>
        <v>58800</v>
      </c>
      <c r="E14" s="28">
        <f t="shared" si="4"/>
        <v>58800</v>
      </c>
      <c r="F14" s="28">
        <f t="shared" si="4"/>
        <v>58800</v>
      </c>
      <c r="G14" s="28">
        <f t="shared" si="4"/>
        <v>73800</v>
      </c>
      <c r="H14" s="28">
        <f t="shared" si="4"/>
        <v>73800</v>
      </c>
    </row>
    <row r="15" spans="1:8" x14ac:dyDescent="0.3">
      <c r="B15" s="23" t="s">
        <v>7</v>
      </c>
      <c r="C15" s="25">
        <v>-225000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</row>
    <row r="16" spans="1:8" x14ac:dyDescent="0.3">
      <c r="B16" s="23" t="s">
        <v>10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95000</v>
      </c>
    </row>
    <row r="17" spans="2:8" ht="15" thickBot="1" x14ac:dyDescent="0.35">
      <c r="B17" s="26" t="s">
        <v>35</v>
      </c>
      <c r="C17" s="29">
        <f>SUM(C14:C16)</f>
        <v>-225000</v>
      </c>
      <c r="D17" s="29">
        <f t="shared" ref="D17:H17" si="5">SUM(D14:D16)</f>
        <v>58800</v>
      </c>
      <c r="E17" s="29">
        <f t="shared" si="5"/>
        <v>58800</v>
      </c>
      <c r="F17" s="29">
        <f t="shared" si="5"/>
        <v>58800</v>
      </c>
      <c r="G17" s="29">
        <f t="shared" si="5"/>
        <v>73800</v>
      </c>
      <c r="H17" s="29">
        <f t="shared" si="5"/>
        <v>168800</v>
      </c>
    </row>
    <row r="18" spans="2:8" ht="15" thickTop="1" x14ac:dyDescent="0.3">
      <c r="C18" s="25"/>
      <c r="D18" s="25"/>
      <c r="E18" s="25"/>
      <c r="F18" s="25"/>
      <c r="G18" s="25"/>
      <c r="H18" s="25"/>
    </row>
    <row r="19" spans="2:8" s="1" customFormat="1" ht="18.600000000000001" x14ac:dyDescent="0.45">
      <c r="B19" s="20" t="s">
        <v>24</v>
      </c>
      <c r="C19" s="2"/>
      <c r="D19" s="2"/>
      <c r="E19" s="2"/>
      <c r="F19" s="2"/>
      <c r="G19" s="2"/>
      <c r="H19" s="2"/>
    </row>
    <row r="20" spans="2:8" s="1" customFormat="1" ht="15.6" x14ac:dyDescent="0.3">
      <c r="B20" s="16" t="s">
        <v>22</v>
      </c>
      <c r="C20" s="4">
        <v>300000</v>
      </c>
      <c r="D20" s="2"/>
      <c r="E20" s="2"/>
      <c r="F20" s="2"/>
      <c r="G20" s="2"/>
      <c r="H20" s="2"/>
    </row>
    <row r="21" spans="2:8" s="1" customFormat="1" ht="15.6" x14ac:dyDescent="0.3">
      <c r="B21" s="16" t="s">
        <v>12</v>
      </c>
      <c r="C21" s="19">
        <v>0.09</v>
      </c>
      <c r="D21" s="4" t="s">
        <v>19</v>
      </c>
      <c r="E21" s="4" t="s">
        <v>20</v>
      </c>
      <c r="F21" s="2"/>
      <c r="G21" s="2"/>
      <c r="H21" s="2"/>
    </row>
    <row r="22" spans="2:8" s="1" customFormat="1" ht="15" x14ac:dyDescent="0.25">
      <c r="C22" s="2"/>
      <c r="D22" s="2"/>
      <c r="E22" s="2"/>
      <c r="F22" s="2"/>
      <c r="G22" s="2"/>
      <c r="H22" s="2"/>
    </row>
    <row r="23" spans="2:8" s="1" customFormat="1" ht="15.6" x14ac:dyDescent="0.25">
      <c r="B23" s="72" t="s">
        <v>0</v>
      </c>
      <c r="C23" s="74" t="s">
        <v>1</v>
      </c>
      <c r="D23" s="74"/>
      <c r="E23" s="74"/>
      <c r="F23" s="74"/>
      <c r="G23" s="74"/>
      <c r="H23" s="74"/>
    </row>
    <row r="24" spans="2:8" s="1" customFormat="1" ht="16.2" thickBot="1" x14ac:dyDescent="0.3">
      <c r="B24" s="73"/>
      <c r="C24" s="24">
        <v>0</v>
      </c>
      <c r="D24" s="24">
        <v>1</v>
      </c>
      <c r="E24" s="24">
        <v>2</v>
      </c>
      <c r="F24" s="24">
        <v>3</v>
      </c>
      <c r="G24" s="24">
        <v>4</v>
      </c>
      <c r="H24" s="24">
        <v>5</v>
      </c>
    </row>
    <row r="25" spans="2:8" x14ac:dyDescent="0.3">
      <c r="B25" s="23" t="s">
        <v>31</v>
      </c>
      <c r="C25" s="25">
        <v>0</v>
      </c>
      <c r="D25" s="25">
        <v>70000</v>
      </c>
      <c r="E25" s="25">
        <v>70000</v>
      </c>
      <c r="F25" s="25">
        <v>75000</v>
      </c>
      <c r="G25" s="25">
        <v>95000</v>
      </c>
      <c r="H25" s="25">
        <v>95000</v>
      </c>
    </row>
    <row r="26" spans="2:8" x14ac:dyDescent="0.3">
      <c r="B26" s="23" t="s">
        <v>3</v>
      </c>
      <c r="C26" s="25">
        <v>0</v>
      </c>
      <c r="D26" s="25">
        <v>-14000</v>
      </c>
      <c r="E26" s="25">
        <v>-14000</v>
      </c>
      <c r="F26" s="25">
        <v>-14000</v>
      </c>
      <c r="G26" s="25">
        <v>-14000</v>
      </c>
      <c r="H26" s="25">
        <v>-14000</v>
      </c>
    </row>
    <row r="27" spans="2:8" x14ac:dyDescent="0.3">
      <c r="B27" s="23" t="s">
        <v>4</v>
      </c>
      <c r="C27" s="25">
        <v>0</v>
      </c>
      <c r="D27" s="25">
        <f>-700*2</f>
        <v>-1400</v>
      </c>
      <c r="E27" s="25">
        <f t="shared" ref="E27:H27" si="6">-700*2</f>
        <v>-1400</v>
      </c>
      <c r="F27" s="25">
        <f t="shared" si="6"/>
        <v>-1400</v>
      </c>
      <c r="G27" s="25">
        <f t="shared" si="6"/>
        <v>-1400</v>
      </c>
      <c r="H27" s="25">
        <f t="shared" si="6"/>
        <v>-1400</v>
      </c>
    </row>
    <row r="28" spans="2:8" x14ac:dyDescent="0.3">
      <c r="B28" s="23" t="s">
        <v>36</v>
      </c>
      <c r="C28" s="27">
        <v>0</v>
      </c>
      <c r="D28" s="27">
        <f>-$C$20*15%</f>
        <v>-45000</v>
      </c>
      <c r="E28" s="27">
        <f t="shared" ref="E28:H28" si="7">-$C$20*15%</f>
        <v>-45000</v>
      </c>
      <c r="F28" s="27">
        <f t="shared" si="7"/>
        <v>-45000</v>
      </c>
      <c r="G28" s="27">
        <f t="shared" si="7"/>
        <v>-45000</v>
      </c>
      <c r="H28" s="27">
        <f t="shared" si="7"/>
        <v>-45000</v>
      </c>
    </row>
    <row r="29" spans="2:8" x14ac:dyDescent="0.3">
      <c r="B29" s="26" t="s">
        <v>33</v>
      </c>
      <c r="C29" s="28">
        <f>C25-(SUM(C26:C28))</f>
        <v>0</v>
      </c>
      <c r="D29" s="28">
        <f>D25+(SUM(D26:D28))</f>
        <v>9600</v>
      </c>
      <c r="E29" s="28">
        <f t="shared" ref="E29" si="8">E25+(SUM(E26:E28))</f>
        <v>9600</v>
      </c>
      <c r="F29" s="28">
        <f t="shared" ref="F29" si="9">F25+(SUM(F26:F28))</f>
        <v>14600</v>
      </c>
      <c r="G29" s="28">
        <f t="shared" ref="G29" si="10">G25+(SUM(G26:G28))</f>
        <v>34600</v>
      </c>
      <c r="H29" s="28">
        <f t="shared" ref="H29" si="11">H25+(SUM(H26:H28))</f>
        <v>34600</v>
      </c>
    </row>
    <row r="30" spans="2:8" x14ac:dyDescent="0.3">
      <c r="B30" s="23" t="s">
        <v>8</v>
      </c>
      <c r="C30" s="27">
        <v>0</v>
      </c>
      <c r="D30" s="27">
        <f>-D28</f>
        <v>45000</v>
      </c>
      <c r="E30" s="27">
        <f t="shared" ref="E30:H30" si="12">-E28</f>
        <v>45000</v>
      </c>
      <c r="F30" s="27">
        <f t="shared" si="12"/>
        <v>45000</v>
      </c>
      <c r="G30" s="27">
        <f t="shared" si="12"/>
        <v>45000</v>
      </c>
      <c r="H30" s="27">
        <f t="shared" si="12"/>
        <v>45000</v>
      </c>
    </row>
    <row r="31" spans="2:8" x14ac:dyDescent="0.3">
      <c r="B31" s="26" t="s">
        <v>34</v>
      </c>
      <c r="C31" s="28">
        <f>SUM(C29:C30)</f>
        <v>0</v>
      </c>
      <c r="D31" s="28">
        <f t="shared" ref="D31" si="13">SUM(D29:D30)</f>
        <v>54600</v>
      </c>
      <c r="E31" s="28">
        <f t="shared" ref="E31" si="14">SUM(E29:E30)</f>
        <v>54600</v>
      </c>
      <c r="F31" s="28">
        <f t="shared" ref="F31" si="15">SUM(F29:F30)</f>
        <v>59600</v>
      </c>
      <c r="G31" s="28">
        <f t="shared" ref="G31" si="16">SUM(G29:G30)</f>
        <v>79600</v>
      </c>
      <c r="H31" s="28">
        <f t="shared" ref="H31" si="17">SUM(H29:H30)</f>
        <v>79600</v>
      </c>
    </row>
    <row r="32" spans="2:8" x14ac:dyDescent="0.3">
      <c r="B32" s="23" t="s">
        <v>7</v>
      </c>
      <c r="C32" s="25">
        <f>-C20</f>
        <v>-300000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</row>
    <row r="33" spans="2:8" x14ac:dyDescent="0.3">
      <c r="B33" s="23" t="s">
        <v>10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95000</v>
      </c>
    </row>
    <row r="34" spans="2:8" ht="15" thickBot="1" x14ac:dyDescent="0.35">
      <c r="B34" s="26" t="s">
        <v>35</v>
      </c>
      <c r="C34" s="29">
        <f>SUM(C31:C33)</f>
        <v>-300000</v>
      </c>
      <c r="D34" s="29">
        <f t="shared" ref="D34" si="18">SUM(D31:D33)</f>
        <v>54600</v>
      </c>
      <c r="E34" s="29">
        <f t="shared" ref="E34" si="19">SUM(E31:E33)</f>
        <v>54600</v>
      </c>
      <c r="F34" s="29">
        <f t="shared" ref="F34" si="20">SUM(F31:F33)</f>
        <v>59600</v>
      </c>
      <c r="G34" s="29">
        <f t="shared" ref="G34" si="21">SUM(G31:G33)</f>
        <v>79600</v>
      </c>
      <c r="H34" s="29">
        <f t="shared" ref="H34" si="22">SUM(H31:H33)</f>
        <v>174600</v>
      </c>
    </row>
    <row r="35" spans="2:8" ht="15" thickTop="1" x14ac:dyDescent="0.3"/>
  </sheetData>
  <mergeCells count="4">
    <mergeCell ref="B6:B7"/>
    <mergeCell ref="C6:H6"/>
    <mergeCell ref="B23:B24"/>
    <mergeCell ref="C23:H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 I</vt:lpstr>
      <vt:lpstr>TIR-VAN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daniel bautista</cp:lastModifiedBy>
  <dcterms:created xsi:type="dcterms:W3CDTF">2024-10-05T00:28:52Z</dcterms:created>
  <dcterms:modified xsi:type="dcterms:W3CDTF">2024-10-12T02:38:28Z</dcterms:modified>
</cp:coreProperties>
</file>