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dgeltner\Dropbox (MIT)\DG&amp;RdN2018ToolsClass\LectureNotes\Ch7&amp;AppdxPriceDynApr3DG\"/>
    </mc:Choice>
  </mc:AlternateContent>
  <bookViews>
    <workbookView xWindow="0" yWindow="0" windowWidth="28800" windowHeight="12132" tabRatio="855"/>
  </bookViews>
  <sheets>
    <sheet name="MktDynamicsInputs" sheetId="26" r:id="rId1"/>
    <sheet name="RealisticTradlDCFproforma" sheetId="48" r:id="rId2"/>
    <sheet name="ExPostInflex" sheetId="45" r:id="rId3"/>
    <sheet name="SinTest" sheetId="49" r:id="rId4"/>
    <sheet name="RiskSerializationData" sheetId="12" state="hidden" r:id="rId5"/>
  </sheets>
  <externalReferences>
    <externalReference r:id="rId6"/>
    <externalReference r:id="rId7"/>
  </externalReferences>
  <definedNames>
    <definedName name="__123Graph_AFSAMMCK" hidden="1">[1]Charts!$L$10:$L$175</definedName>
    <definedName name="__123Graph_ASAMMCK1" hidden="1">[1]Charts!$L$10:$L$175</definedName>
    <definedName name="__123Graph_ASAMMCK2" hidden="1">[1]Charts!$L$10:$L$175</definedName>
    <definedName name="__123Graph_BFSAMMCK" hidden="1">[1]Charts!$M$10:$M$175</definedName>
    <definedName name="__123Graph_BSAMMCK2" localSheetId="2" hidden="1">[1]Charts!#REF!</definedName>
    <definedName name="__123Graph_BSAMMCK2" localSheetId="1" hidden="1">[2]Charts!#REF!</definedName>
    <definedName name="__123Graph_BSAMMCK2" hidden="1">[1]Charts!#REF!</definedName>
    <definedName name="__123Graph_CSAMMCK1" localSheetId="2" hidden="1">[1]Charts!#REF!</definedName>
    <definedName name="__123Graph_CSAMMCK1" localSheetId="1" hidden="1">[2]Charts!#REF!</definedName>
    <definedName name="__123Graph_CSAMMCK1" hidden="1">[1]Charts!#REF!</definedName>
    <definedName name="__123Graph_CSAMMCK2" hidden="1">[1]Charts!$M$10:$M$175</definedName>
    <definedName name="__123Graph_DSAMMCK1" hidden="1">[1]Charts!$M$10:$M$175</definedName>
    <definedName name="__123Graph_XFSAMMCK" hidden="1">[1]Charts!$K$10:$K$175</definedName>
    <definedName name="__123Graph_XSAMMCK1" hidden="1">[1]Charts!$K$10:$K$175</definedName>
    <definedName name="__123Graph_XSAMMCK2" hidden="1">[1]Charts!$K$10:$K$175</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mplitude" localSheetId="3">SinTest!$B$3</definedName>
    <definedName name="AutoRegTerm">MktDynamicsInputs!$V$7</definedName>
    <definedName name="BaseTime" localSheetId="3">SinTest!$B$5</definedName>
    <definedName name="BlkSwnEffect">MktDynamicsInputs!$V$17</definedName>
    <definedName name="BlkSwnProb">MktDynamicsInputs!$V$16</definedName>
    <definedName name="CapAmp1" comment="The capital mkt amplitude for the &quot;outer&quot; sin function (in the asymmetrical wave cycle formula)" localSheetId="0">MktDynamicsInputs!$AS$3</definedName>
    <definedName name="CapAmp2" comment="The capital mkt amplitude for the &quot;inner&quot; sin function (in the asymmetrical wave cycle formula)" localSheetId="0">MktDynamicsInputs!$AT$3</definedName>
    <definedName name="CapPer1" comment="The capital mkt period for the &quot;outer&quot; sin function (in the asymmetrical wave cycle formula)" localSheetId="0">MktDynamicsInputs!$AS$2</definedName>
    <definedName name="CapPer2" comment="The capital mkt period for the &quot;inner&quot; sin function (in the asymmetrical wave cycle formula)" localSheetId="0">MktDynamicsInputs!$AT$2</definedName>
    <definedName name="CapPhs1" comment="Thecapital mkt phase for the &quot;outer&quot; sin function (in the asymmetrical wave cycle formula)" localSheetId="0">MktDynamicsInputs!$AS$4</definedName>
    <definedName name="CapPhs2" comment="Thecapital mkt phase for the &quot;inner&quot; sin function (in the asymmetrical wave cycle formula)" localSheetId="0">MktDynamicsInputs!$AT$4</definedName>
    <definedName name="CapRcycAmpli">MktDynamicsInputs!$V$10</definedName>
    <definedName name="CapRcycPer">MktDynamicsInputs!$V$14</definedName>
    <definedName name="CapRcycPhse">MktDynamicsInputs!$V$12</definedName>
    <definedName name="DiscRateInput">MktDynamicsInputs!$V$22</definedName>
    <definedName name="GivenPropPrice">MktDynamicsInputs!$V$23</definedName>
    <definedName name="InitPriceFactor">MktDynamicsInputs!$V$2</definedName>
    <definedName name="InnerAmp">SinTest!$C$3</definedName>
    <definedName name="InnerBaseT" localSheetId="3">SinTest!$C$5</definedName>
    <definedName name="InnerPer" localSheetId="3">SinTest!$C$2</definedName>
    <definedName name="InnerPhs" localSheetId="3">SinTest!$C$4</definedName>
    <definedName name="LRtrendMean">MktDynamicsInputs!$V$3</definedName>
    <definedName name="MeanRevertRate">MktDynamicsInputs!$V$8</definedName>
    <definedName name="NoiseAmt">MktDynamicsInputs!$V$15</definedName>
    <definedName name="Pal_Workbook_GUID" hidden="1">"VYQUYRG6KAL2ED7BYDQL88TN"</definedName>
    <definedName name="Period" localSheetId="3">SinTest!$B$2</definedName>
    <definedName name="Phase" localSheetId="3">SinTest!$B$4</definedName>
    <definedName name="ProFormaCFgroRateInput">MktDynamicsInputs!$V$21</definedName>
    <definedName name="RentCycAmpli">MktDynamicsInputs!$V$9</definedName>
    <definedName name="RentCycPer">MktDynamicsInputs!$V$13</definedName>
    <definedName name="RentCycPhse">MktDynamicsInputs!$V$11</definedName>
    <definedName name="RiskAfterRecalcMacro" hidden="1">""</definedName>
    <definedName name="RiskAfterSimMacro" hidden="1">""</definedName>
    <definedName name="riskATSSboxGraph" hidden="1">FALSE</definedName>
    <definedName name="riskATSSincludeSimtables" hidden="1">TRUE</definedName>
    <definedName name="riskATSSinputsGraphs" hidden="1">FALSE</definedName>
    <definedName name="riskATSSoutputStatistic" hidden="1">3</definedName>
    <definedName name="riskATSSpercentChangeGraph" hidden="1">TRUE</definedName>
    <definedName name="riskATSSpercentileGraph" hidden="1">TRUE</definedName>
    <definedName name="riskATSSpercentileValue" hidden="1">0.5</definedName>
    <definedName name="riskATSSprintReport" hidden="1">FALSE</definedName>
    <definedName name="riskATSSreportsInActiveBook" hidden="1">FALSE</definedName>
    <definedName name="riskATSSreportsSelected" hidden="1">TRUE</definedName>
    <definedName name="riskATSSsummaryReport" hidden="1">TRUE</definedName>
    <definedName name="riskATSStornadoGraph" hidden="1">TRUE</definedName>
    <definedName name="RiskBeforeRecalcMacro" hidden="1">""</definedName>
    <definedName name="RiskBeforeSimMacro" hidden="1">""</definedName>
    <definedName name="RiskCollectDistributionSamples" hidden="1">2</definedName>
    <definedName name="RiskFixedSeed" hidden="1">1</definedName>
    <definedName name="Riskfree_Rate">MktDynamicsInputs!$V$20</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lling_Expense">MktDynamicsInputs!$V$19</definedName>
    <definedName name="SpAmp1" comment="The space mkt amplitude for the &quot;outer&quot; sin function (in the asymmetrical wave cycle formula)" localSheetId="0">MktDynamicsInputs!$AQ$3</definedName>
    <definedName name="SpAmp2" comment="The space mkt amplitude for the &quot;inner&quot; sin function (in the asymmetrical wave cycle formula)" localSheetId="0">MktDynamicsInputs!$AR$3</definedName>
    <definedName name="SpPer1" comment="The space mkt period for the &quot;outer&quot; sin function (in the asymmetrical wave cycle formula)" localSheetId="0">MktDynamicsInputs!$AQ$2</definedName>
    <definedName name="SpPer2" comment="The space mkt period for the &quot;inner&quot; sin function (in the asymmetrical wave cycle formula)" localSheetId="0">MktDynamicsInputs!$AR$2</definedName>
    <definedName name="SpPhs1" comment="The space mkt phase for the &quot;outer&quot; sin function (in the asymmetrical wave cycle formula)" localSheetId="0">MktDynamicsInputs!$AQ$4</definedName>
    <definedName name="SpPhs2" comment="The space mkt phase for the &quot;inner&quot; sin function (in the asymmetrical wave cycle formula)" localSheetId="0">MktDynamicsInputs!$AR$4</definedName>
    <definedName name="StopGainTriggerInput">#REF!</definedName>
    <definedName name="StopLossTriggerInput">#REF!</definedName>
    <definedName name="TerminalCapRate">MktDynamicsInputs!$V$18</definedName>
    <definedName name="VolatilityInput">MktDynamicsInputs!$V$6</definedName>
    <definedName name="XLSIMPARAM" localSheetId="1" hidden="1">{"Param","Uncertainty!$B$26","NPV","1,000","1","3","1","level","Uncertainty!$E$12:$H$12","Uncertainty!$B$12"}</definedName>
    <definedName name="XLSIMPARAM" hidden="1">{"Param","Uncertainty!$B$26","NPV","1,000","1","3","1","level","Uncertainty!$E$12:$H$12","Uncertainty!$B$12"}</definedName>
    <definedName name="XLSIMSIM" localSheetId="1" hidden="1">{"Sim",1,"Output 1","'Uncertainty'!$B$26","1","3","1,000","0"}</definedName>
    <definedName name="XLSIMSIM" hidden="1">{"Sim",1,"Output 1","'Uncertainty'!$B$26","1","3","1,000","0"}</definedName>
  </definedNames>
  <calcPr calcId="162913" calcMode="autoNoTable"/>
  <extLst>
    <ext xmlns:mx="http://schemas.microsoft.com/office/mac/excel/2008/main" uri="{7523E5D3-25F3-A5E0-1632-64F254C22452}">
      <mx:ArchID Flags="2"/>
    </ext>
  </extLst>
</workbook>
</file>

<file path=xl/calcChain.xml><?xml version="1.0" encoding="utf-8"?>
<calcChain xmlns="http://schemas.openxmlformats.org/spreadsheetml/2006/main">
  <c r="B4" i="49" l="1"/>
  <c r="C2" i="49"/>
  <c r="C3" i="49" s="1"/>
  <c r="C4" i="49" l="1"/>
  <c r="AS3" i="26"/>
  <c r="AQ3" i="26"/>
  <c r="V13" i="26"/>
  <c r="V14" i="26" s="1"/>
  <c r="AS2" i="26" s="1"/>
  <c r="AT2" i="26" s="1"/>
  <c r="AT3" i="26" s="1"/>
  <c r="AQ2" i="26" l="1"/>
  <c r="V11" i="26"/>
  <c r="D7" i="49"/>
  <c r="A8" i="49"/>
  <c r="A9" i="49" s="1"/>
  <c r="B7" i="49"/>
  <c r="AR2" i="26" l="1"/>
  <c r="AR3" i="26" s="1"/>
  <c r="V12" i="26"/>
  <c r="AS4" i="26" s="1"/>
  <c r="AQ4" i="26"/>
  <c r="D9" i="49"/>
  <c r="D8" i="49"/>
  <c r="C7" i="49"/>
  <c r="B8" i="49"/>
  <c r="C8" i="49"/>
  <c r="A10" i="49"/>
  <c r="D10" i="49" s="1"/>
  <c r="B9" i="49"/>
  <c r="C9" i="49"/>
  <c r="AA65" i="26"/>
  <c r="AA63" i="26" s="1"/>
  <c r="AT4" i="26" l="1"/>
  <c r="J44" i="26" s="1"/>
  <c r="AR4" i="26"/>
  <c r="H44" i="26" s="1"/>
  <c r="C10" i="49"/>
  <c r="B10" i="49"/>
  <c r="A11" i="49"/>
  <c r="D11" i="49" s="1"/>
  <c r="AA66" i="26"/>
  <c r="AA64" i="26" s="1"/>
  <c r="V25" i="26"/>
  <c r="J63" i="26" l="1"/>
  <c r="J66" i="26"/>
  <c r="J55" i="26"/>
  <c r="J64" i="26"/>
  <c r="J51" i="26"/>
  <c r="J48" i="26"/>
  <c r="J50" i="26"/>
  <c r="J52" i="26"/>
  <c r="J67" i="26"/>
  <c r="J57" i="26"/>
  <c r="J47" i="26"/>
  <c r="J62" i="26"/>
  <c r="J46" i="26"/>
  <c r="J69" i="26"/>
  <c r="J53" i="26"/>
  <c r="J59" i="26"/>
  <c r="J60" i="26"/>
  <c r="J58" i="26"/>
  <c r="J68" i="26"/>
  <c r="J65" i="26"/>
  <c r="J49" i="26"/>
  <c r="J54" i="26"/>
  <c r="J56" i="26"/>
  <c r="J61" i="26"/>
  <c r="J45" i="26"/>
  <c r="H55" i="26"/>
  <c r="H48" i="26"/>
  <c r="H52" i="26"/>
  <c r="H54" i="26"/>
  <c r="H56" i="26"/>
  <c r="H57" i="26"/>
  <c r="H67" i="26"/>
  <c r="H51" i="26"/>
  <c r="H66" i="26"/>
  <c r="H50" i="26"/>
  <c r="H69" i="26"/>
  <c r="H53" i="26"/>
  <c r="H47" i="26"/>
  <c r="H46" i="26"/>
  <c r="H65" i="26"/>
  <c r="H49" i="26"/>
  <c r="H63" i="26"/>
  <c r="H62" i="26"/>
  <c r="H68" i="26"/>
  <c r="H59" i="26"/>
  <c r="H60" i="26"/>
  <c r="H58" i="26"/>
  <c r="H64" i="26"/>
  <c r="H61" i="26"/>
  <c r="H45" i="26"/>
  <c r="A12" i="49"/>
  <c r="D12" i="49" s="1"/>
  <c r="B11" i="49"/>
  <c r="C11" i="49"/>
  <c r="C34" i="26"/>
  <c r="C36" i="26"/>
  <c r="C42" i="26"/>
  <c r="C14" i="45"/>
  <c r="C12" i="45"/>
  <c r="C10" i="45"/>
  <c r="N36" i="26"/>
  <c r="N48" i="26" s="1"/>
  <c r="I39" i="26"/>
  <c r="F41" i="26"/>
  <c r="F10" i="48"/>
  <c r="F25" i="45"/>
  <c r="C24" i="48"/>
  <c r="G10" i="48" s="1"/>
  <c r="C23" i="48"/>
  <c r="F13" i="48"/>
  <c r="F11" i="48"/>
  <c r="F15" i="48"/>
  <c r="F30" i="45"/>
  <c r="F12" i="48"/>
  <c r="F27" i="45" s="1"/>
  <c r="F26" i="45"/>
  <c r="I40" i="26"/>
  <c r="CB12" i="12"/>
  <c r="BU12" i="12"/>
  <c r="BT12" i="12"/>
  <c r="BM12" i="12"/>
  <c r="BL12" i="12"/>
  <c r="BE12" i="12"/>
  <c r="BD12" i="12"/>
  <c r="AW12" i="12"/>
  <c r="AV12" i="12"/>
  <c r="AO12" i="12"/>
  <c r="AN12" i="12"/>
  <c r="AG12" i="12"/>
  <c r="A12" i="12"/>
  <c r="BL11" i="12"/>
  <c r="BE11" i="12"/>
  <c r="BD11" i="12"/>
  <c r="AW11" i="12"/>
  <c r="AV11" i="12"/>
  <c r="AO11" i="12"/>
  <c r="AN11" i="12"/>
  <c r="AG11" i="12"/>
  <c r="A11" i="12"/>
  <c r="AN10" i="12"/>
  <c r="AG10" i="12"/>
  <c r="A10" i="12"/>
  <c r="AN9" i="12"/>
  <c r="AG9" i="12"/>
  <c r="A9" i="12"/>
  <c r="BD8" i="12"/>
  <c r="AW8" i="12"/>
  <c r="AV8" i="12"/>
  <c r="AO8" i="12"/>
  <c r="AN8" i="12"/>
  <c r="AG8" i="12"/>
  <c r="A8" i="12"/>
  <c r="AV7" i="12"/>
  <c r="AO7" i="12"/>
  <c r="AN7" i="12"/>
  <c r="AG7" i="12"/>
  <c r="A7" i="12"/>
  <c r="AV6" i="12"/>
  <c r="AO6" i="12"/>
  <c r="AN6" i="12"/>
  <c r="AG6" i="12"/>
  <c r="A6" i="12"/>
  <c r="AV5" i="12"/>
  <c r="AO5" i="12"/>
  <c r="AN5" i="12"/>
  <c r="AG5" i="12"/>
  <c r="A5" i="12"/>
  <c r="AN4" i="12"/>
  <c r="AG4" i="12"/>
  <c r="A4" i="12"/>
  <c r="N2" i="12"/>
  <c r="G2" i="12"/>
  <c r="A2" i="12"/>
  <c r="C36" i="45"/>
  <c r="C20" i="45"/>
  <c r="E7" i="45"/>
  <c r="F3" i="45"/>
  <c r="G3" i="45"/>
  <c r="B45" i="26"/>
  <c r="B46" i="26" s="1"/>
  <c r="B47" i="26" s="1"/>
  <c r="B48" i="26"/>
  <c r="S44" i="26"/>
  <c r="R44" i="26"/>
  <c r="K39" i="26"/>
  <c r="F37" i="26"/>
  <c r="Q36" i="26"/>
  <c r="D36" i="26"/>
  <c r="Q35" i="26"/>
  <c r="P45" i="26" s="1"/>
  <c r="E35" i="26"/>
  <c r="E56" i="26" s="1"/>
  <c r="D35" i="26"/>
  <c r="F7" i="45"/>
  <c r="A13" i="49" l="1"/>
  <c r="B12" i="49"/>
  <c r="C12" i="49"/>
  <c r="E47" i="26"/>
  <c r="N62" i="26"/>
  <c r="E51" i="26"/>
  <c r="N46" i="26"/>
  <c r="N61" i="26"/>
  <c r="E61" i="26"/>
  <c r="E63" i="26"/>
  <c r="E66" i="26"/>
  <c r="E45" i="26"/>
  <c r="E65" i="26"/>
  <c r="E53" i="26"/>
  <c r="E59" i="26"/>
  <c r="N69" i="26"/>
  <c r="N53" i="26"/>
  <c r="N45" i="26"/>
  <c r="N54" i="26"/>
  <c r="N65" i="26"/>
  <c r="N57" i="26"/>
  <c r="N49" i="26"/>
  <c r="N66" i="26"/>
  <c r="N58" i="26"/>
  <c r="N50" i="26"/>
  <c r="N44" i="26"/>
  <c r="N67" i="26"/>
  <c r="N63" i="26"/>
  <c r="N59" i="26"/>
  <c r="N55" i="26"/>
  <c r="N51" i="26"/>
  <c r="N47" i="26"/>
  <c r="D42" i="26"/>
  <c r="N68" i="26"/>
  <c r="N64" i="26"/>
  <c r="N60" i="26"/>
  <c r="N56" i="26"/>
  <c r="N52" i="26"/>
  <c r="E50" i="26"/>
  <c r="E57" i="26"/>
  <c r="E55" i="26"/>
  <c r="E60" i="26"/>
  <c r="E64" i="26"/>
  <c r="E44" i="26"/>
  <c r="F44" i="26" s="1"/>
  <c r="E58" i="26"/>
  <c r="E62" i="26"/>
  <c r="K38" i="26"/>
  <c r="I38" i="26"/>
  <c r="P46" i="26"/>
  <c r="R45" i="26"/>
  <c r="H3" i="45"/>
  <c r="G7" i="45"/>
  <c r="B49" i="26"/>
  <c r="E46" i="26"/>
  <c r="E54" i="26"/>
  <c r="E49" i="26"/>
  <c r="E67" i="26"/>
  <c r="E69" i="26"/>
  <c r="E52" i="26"/>
  <c r="E68" i="26"/>
  <c r="E48" i="26"/>
  <c r="F28" i="45"/>
  <c r="F14" i="48"/>
  <c r="G11" i="48"/>
  <c r="G26" i="45" s="1"/>
  <c r="G25" i="45"/>
  <c r="H10" i="48"/>
  <c r="G13" i="48"/>
  <c r="G28" i="45" s="1"/>
  <c r="G15" i="48"/>
  <c r="G30" i="45" s="1"/>
  <c r="C28" i="48"/>
  <c r="U26" i="26" s="1"/>
  <c r="D13" i="49" l="1"/>
  <c r="A14" i="49"/>
  <c r="D14" i="49" s="1"/>
  <c r="C13" i="49"/>
  <c r="B13" i="49"/>
  <c r="V18" i="26"/>
  <c r="AA70" i="26"/>
  <c r="K35" i="26"/>
  <c r="F45" i="26"/>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K40" i="26"/>
  <c r="B50" i="26"/>
  <c r="P47" i="26"/>
  <c r="P48" i="26" s="1"/>
  <c r="R46" i="26"/>
  <c r="F16" i="48"/>
  <c r="F29" i="45"/>
  <c r="H15" i="48"/>
  <c r="H30" i="45" s="1"/>
  <c r="I10" i="48"/>
  <c r="H13" i="48"/>
  <c r="H28" i="45" s="1"/>
  <c r="H11" i="48"/>
  <c r="H26" i="45" s="1"/>
  <c r="H25" i="45"/>
  <c r="G12" i="48"/>
  <c r="I3" i="45"/>
  <c r="H7" i="45"/>
  <c r="B14" i="49" l="1"/>
  <c r="A15" i="49"/>
  <c r="D15" i="49" s="1"/>
  <c r="C14" i="49"/>
  <c r="C35" i="26"/>
  <c r="K45" i="26"/>
  <c r="K47" i="26"/>
  <c r="K49" i="26"/>
  <c r="K44" i="26"/>
  <c r="K48" i="26"/>
  <c r="K46" i="26"/>
  <c r="R48" i="26"/>
  <c r="I7" i="45"/>
  <c r="J3" i="45"/>
  <c r="F31" i="45"/>
  <c r="F18" i="48"/>
  <c r="I11" i="48"/>
  <c r="I26" i="45" s="1"/>
  <c r="I13" i="48"/>
  <c r="I28" i="45" s="1"/>
  <c r="I15" i="48"/>
  <c r="I30" i="45" s="1"/>
  <c r="I25" i="45"/>
  <c r="J10" i="48"/>
  <c r="B51" i="26"/>
  <c r="K50" i="26"/>
  <c r="G14" i="48"/>
  <c r="G27" i="45"/>
  <c r="H12" i="48"/>
  <c r="R47" i="26"/>
  <c r="P49" i="26"/>
  <c r="R49" i="26" s="1"/>
  <c r="C15" i="49" l="1"/>
  <c r="B15" i="49"/>
  <c r="A16" i="49"/>
  <c r="D16" i="49" s="1"/>
  <c r="C44" i="26"/>
  <c r="C45" i="26" s="1"/>
  <c r="C46" i="26" s="1"/>
  <c r="G16" i="48"/>
  <c r="G29" i="45"/>
  <c r="P50" i="26"/>
  <c r="P51" i="26" s="1"/>
  <c r="R51" i="26" s="1"/>
  <c r="B52" i="26"/>
  <c r="K51" i="26"/>
  <c r="F33" i="45"/>
  <c r="F20" i="48"/>
  <c r="F35" i="45" s="1"/>
  <c r="H27" i="45"/>
  <c r="H14" i="48"/>
  <c r="I12" i="48"/>
  <c r="J11" i="48"/>
  <c r="J26" i="45" s="1"/>
  <c r="J15" i="48"/>
  <c r="J30" i="45" s="1"/>
  <c r="K10" i="48"/>
  <c r="J13" i="48"/>
  <c r="J28" i="45" s="1"/>
  <c r="J25" i="45"/>
  <c r="K3" i="45"/>
  <c r="J7" i="45"/>
  <c r="A17" i="49" l="1"/>
  <c r="C16" i="49"/>
  <c r="B16" i="49"/>
  <c r="G44" i="26"/>
  <c r="I44" i="26" s="1"/>
  <c r="C47" i="26"/>
  <c r="D46" i="26"/>
  <c r="V46" i="26" s="1"/>
  <c r="D45" i="26"/>
  <c r="V45" i="26" s="1"/>
  <c r="D44" i="26"/>
  <c r="V44" i="26" s="1"/>
  <c r="J12" i="48"/>
  <c r="J14" i="48" s="1"/>
  <c r="P52" i="26"/>
  <c r="R52" i="26" s="1"/>
  <c r="K13" i="48"/>
  <c r="K28" i="45" s="1"/>
  <c r="K25" i="45"/>
  <c r="L10" i="48"/>
  <c r="K11" i="48"/>
  <c r="K26" i="45" s="1"/>
  <c r="K15" i="48"/>
  <c r="K30" i="45" s="1"/>
  <c r="H16" i="48"/>
  <c r="H29" i="45"/>
  <c r="K7" i="45"/>
  <c r="L3" i="45"/>
  <c r="R50" i="26"/>
  <c r="G31" i="45"/>
  <c r="G18" i="48"/>
  <c r="I14" i="48"/>
  <c r="I27" i="45"/>
  <c r="B53" i="26"/>
  <c r="K52" i="26"/>
  <c r="D17" i="49" l="1"/>
  <c r="A18" i="49"/>
  <c r="D18" i="49" s="1"/>
  <c r="C17" i="49"/>
  <c r="B17" i="49"/>
  <c r="G45" i="26"/>
  <c r="G46" i="26" s="1"/>
  <c r="C48" i="26"/>
  <c r="D47" i="26"/>
  <c r="V47" i="26" s="1"/>
  <c r="M44" i="26"/>
  <c r="L44" i="26"/>
  <c r="O44" i="26" s="1"/>
  <c r="Q44" i="26" s="1"/>
  <c r="J27" i="45"/>
  <c r="P53" i="26"/>
  <c r="P54" i="26" s="1"/>
  <c r="J29" i="45"/>
  <c r="J16" i="48"/>
  <c r="I16" i="48"/>
  <c r="I29" i="45"/>
  <c r="G20" i="48"/>
  <c r="G35" i="45" s="1"/>
  <c r="G33" i="45"/>
  <c r="K12" i="48"/>
  <c r="K53" i="26"/>
  <c r="B54" i="26"/>
  <c r="H31" i="45"/>
  <c r="H18" i="48"/>
  <c r="L7" i="45"/>
  <c r="M3" i="45"/>
  <c r="L25" i="45"/>
  <c r="L11" i="48"/>
  <c r="L26" i="45" s="1"/>
  <c r="L15" i="48"/>
  <c r="L30" i="45" s="1"/>
  <c r="L13" i="48"/>
  <c r="L28" i="45" s="1"/>
  <c r="M10" i="48"/>
  <c r="B18" i="49" l="1"/>
  <c r="A19" i="49"/>
  <c r="D19" i="49" s="1"/>
  <c r="C18" i="49"/>
  <c r="I45" i="26"/>
  <c r="L45" i="26" s="1"/>
  <c r="O45" i="26" s="1"/>
  <c r="D48" i="26"/>
  <c r="V48" i="26" s="1"/>
  <c r="C49" i="26"/>
  <c r="I46" i="26"/>
  <c r="G47" i="26"/>
  <c r="R53" i="26"/>
  <c r="J18" i="48"/>
  <c r="J31" i="45"/>
  <c r="H33" i="45"/>
  <c r="H20" i="48"/>
  <c r="H35" i="45" s="1"/>
  <c r="N10" i="48"/>
  <c r="M13" i="48"/>
  <c r="M28" i="45" s="1"/>
  <c r="M15" i="48"/>
  <c r="M30" i="45" s="1"/>
  <c r="M25" i="45"/>
  <c r="M11" i="48"/>
  <c r="M26" i="45" s="1"/>
  <c r="L12" i="48"/>
  <c r="M7" i="45"/>
  <c r="N3" i="45"/>
  <c r="K27" i="45"/>
  <c r="K14" i="48"/>
  <c r="I18" i="48"/>
  <c r="I31" i="45"/>
  <c r="B55" i="26"/>
  <c r="K54" i="26"/>
  <c r="R54" i="26"/>
  <c r="P55" i="26"/>
  <c r="C19" i="49" l="1"/>
  <c r="B19" i="49"/>
  <c r="A20" i="49"/>
  <c r="D20" i="49" s="1"/>
  <c r="T44" i="26"/>
  <c r="M45" i="26"/>
  <c r="C50" i="26"/>
  <c r="D49" i="26"/>
  <c r="V49" i="26" s="1"/>
  <c r="G48" i="26"/>
  <c r="I47" i="26"/>
  <c r="L47" i="26" s="1"/>
  <c r="L46" i="26"/>
  <c r="O46" i="26" s="1"/>
  <c r="M46" i="26"/>
  <c r="I33" i="45"/>
  <c r="I20" i="48"/>
  <c r="I35" i="45" s="1"/>
  <c r="O3" i="45"/>
  <c r="N7" i="45"/>
  <c r="M12" i="48"/>
  <c r="R55" i="26"/>
  <c r="P56" i="26"/>
  <c r="B56" i="26"/>
  <c r="K55" i="26"/>
  <c r="K16" i="48"/>
  <c r="K29" i="45"/>
  <c r="L14" i="48"/>
  <c r="L27" i="45"/>
  <c r="N25" i="45"/>
  <c r="N13" i="48"/>
  <c r="N28" i="45" s="1"/>
  <c r="O10" i="48"/>
  <c r="N11" i="48"/>
  <c r="N26" i="45" s="1"/>
  <c r="N15" i="48"/>
  <c r="N30" i="45" s="1"/>
  <c r="J33" i="45"/>
  <c r="J20" i="48"/>
  <c r="J35" i="45" s="1"/>
  <c r="A21" i="49" l="1"/>
  <c r="B20" i="49"/>
  <c r="C20" i="49"/>
  <c r="D50" i="26"/>
  <c r="V50" i="26" s="1"/>
  <c r="C51" i="26"/>
  <c r="M47" i="26"/>
  <c r="O47" i="26"/>
  <c r="I48" i="26"/>
  <c r="G49" i="26"/>
  <c r="N12" i="48"/>
  <c r="N14" i="48" s="1"/>
  <c r="K18" i="48"/>
  <c r="K31" i="45"/>
  <c r="R56" i="26"/>
  <c r="P57" i="26"/>
  <c r="O25" i="45"/>
  <c r="O13" i="48"/>
  <c r="O28" i="45" s="1"/>
  <c r="O11" i="48"/>
  <c r="O26" i="45" s="1"/>
  <c r="P10" i="48"/>
  <c r="O15" i="48"/>
  <c r="O30" i="45" s="1"/>
  <c r="O7" i="45"/>
  <c r="P3" i="45"/>
  <c r="P7" i="45" s="1"/>
  <c r="L29" i="45"/>
  <c r="L16" i="48"/>
  <c r="B57" i="26"/>
  <c r="K56" i="26"/>
  <c r="M27" i="45"/>
  <c r="M14" i="48"/>
  <c r="D21" i="49" l="1"/>
  <c r="A22" i="49"/>
  <c r="D22" i="49" s="1"/>
  <c r="C21" i="49"/>
  <c r="B21" i="49"/>
  <c r="D51" i="26"/>
  <c r="V51" i="26" s="1"/>
  <c r="C52" i="26"/>
  <c r="G50" i="26"/>
  <c r="I49" i="26"/>
  <c r="M48" i="26"/>
  <c r="L48" i="26"/>
  <c r="O48" i="26" s="1"/>
  <c r="N27" i="45"/>
  <c r="L18" i="48"/>
  <c r="L31" i="45"/>
  <c r="O12" i="48"/>
  <c r="R57" i="26"/>
  <c r="P58" i="26"/>
  <c r="M29" i="45"/>
  <c r="M16" i="48"/>
  <c r="N29" i="45"/>
  <c r="N16" i="48"/>
  <c r="P25" i="45"/>
  <c r="P15" i="48"/>
  <c r="P30" i="45" s="1"/>
  <c r="P11" i="48"/>
  <c r="P26" i="45" s="1"/>
  <c r="P13" i="48"/>
  <c r="P28" i="45" s="1"/>
  <c r="K33" i="45"/>
  <c r="K20" i="48"/>
  <c r="K35" i="45" s="1"/>
  <c r="B58" i="26"/>
  <c r="K57" i="26"/>
  <c r="B22" i="49" l="1"/>
  <c r="A23" i="49"/>
  <c r="D23" i="49" s="1"/>
  <c r="C22" i="49"/>
  <c r="C53" i="26"/>
  <c r="D52" i="26"/>
  <c r="V52" i="26" s="1"/>
  <c r="L49" i="26"/>
  <c r="O49" i="26" s="1"/>
  <c r="M49" i="26"/>
  <c r="G51" i="26"/>
  <c r="I50" i="26"/>
  <c r="P12" i="48"/>
  <c r="P27" i="45" s="1"/>
  <c r="M31" i="45"/>
  <c r="M18" i="48"/>
  <c r="O27" i="45"/>
  <c r="O14" i="48"/>
  <c r="B59" i="26"/>
  <c r="K58" i="26"/>
  <c r="N18" i="48"/>
  <c r="N31" i="45"/>
  <c r="R58" i="26"/>
  <c r="P59" i="26"/>
  <c r="L20" i="48"/>
  <c r="L35" i="45" s="1"/>
  <c r="L33" i="45"/>
  <c r="C23" i="49" l="1"/>
  <c r="B23" i="49"/>
  <c r="A24" i="49"/>
  <c r="D24" i="49" s="1"/>
  <c r="D53" i="26"/>
  <c r="V53" i="26" s="1"/>
  <c r="C54" i="26"/>
  <c r="P14" i="48"/>
  <c r="G52" i="26"/>
  <c r="I51" i="26"/>
  <c r="M50" i="26"/>
  <c r="L50" i="26"/>
  <c r="O50" i="26" s="1"/>
  <c r="R59" i="26"/>
  <c r="P60" i="26"/>
  <c r="B60" i="26"/>
  <c r="K59" i="26"/>
  <c r="O29" i="45"/>
  <c r="O16" i="48"/>
  <c r="P16" i="48"/>
  <c r="P29" i="45"/>
  <c r="M33" i="45"/>
  <c r="M20" i="48"/>
  <c r="M35" i="45" s="1"/>
  <c r="N33" i="45"/>
  <c r="N20" i="48"/>
  <c r="N35" i="45" s="1"/>
  <c r="A25" i="49" l="1"/>
  <c r="B24" i="49"/>
  <c r="C24" i="49"/>
  <c r="D54" i="26"/>
  <c r="V54" i="26" s="1"/>
  <c r="C55" i="26"/>
  <c r="M51" i="26"/>
  <c r="L51" i="26"/>
  <c r="O51" i="26" s="1"/>
  <c r="G53" i="26"/>
  <c r="I52" i="26"/>
  <c r="O31" i="45"/>
  <c r="C37" i="45" s="1"/>
  <c r="R60" i="26"/>
  <c r="P61" i="26"/>
  <c r="P31" i="45"/>
  <c r="O17" i="48"/>
  <c r="U25" i="26" s="1"/>
  <c r="B61" i="26"/>
  <c r="K60" i="26"/>
  <c r="D25" i="49" l="1"/>
  <c r="A26" i="49"/>
  <c r="D26" i="49" s="1"/>
  <c r="B25" i="49"/>
  <c r="C25" i="49"/>
  <c r="D55" i="26"/>
  <c r="V55" i="26" s="1"/>
  <c r="C56" i="26"/>
  <c r="L52" i="26"/>
  <c r="O52" i="26" s="1"/>
  <c r="M52" i="26"/>
  <c r="I53" i="26"/>
  <c r="G54" i="26"/>
  <c r="O32" i="45"/>
  <c r="O18" i="48"/>
  <c r="B62" i="26"/>
  <c r="K61" i="26"/>
  <c r="R61" i="26"/>
  <c r="P62" i="26"/>
  <c r="B26" i="49" l="1"/>
  <c r="A27" i="49"/>
  <c r="D27" i="49" s="1"/>
  <c r="C26" i="49"/>
  <c r="D56" i="26"/>
  <c r="V56" i="26" s="1"/>
  <c r="C57" i="26"/>
  <c r="G55" i="26"/>
  <c r="I54" i="26"/>
  <c r="M53" i="26"/>
  <c r="L53" i="26"/>
  <c r="O53" i="26" s="1"/>
  <c r="R62" i="26"/>
  <c r="P63" i="26"/>
  <c r="O33" i="45"/>
  <c r="O20" i="48"/>
  <c r="O35" i="45" s="1"/>
  <c r="E19" i="48"/>
  <c r="B63" i="26"/>
  <c r="K62" i="26"/>
  <c r="C27" i="49" l="1"/>
  <c r="B27" i="49"/>
  <c r="A28" i="49"/>
  <c r="D28" i="49" s="1"/>
  <c r="D57" i="26"/>
  <c r="V57" i="26" s="1"/>
  <c r="C58" i="26"/>
  <c r="L54" i="26"/>
  <c r="O54" i="26" s="1"/>
  <c r="M54" i="26"/>
  <c r="G56" i="26"/>
  <c r="I55" i="26"/>
  <c r="B64" i="26"/>
  <c r="K63" i="26"/>
  <c r="R63" i="26"/>
  <c r="P64" i="26"/>
  <c r="C29" i="48"/>
  <c r="E20" i="48"/>
  <c r="E34" i="45"/>
  <c r="A29" i="49" l="1"/>
  <c r="B28" i="49"/>
  <c r="C28" i="49"/>
  <c r="C59" i="26"/>
  <c r="D58" i="26"/>
  <c r="V58" i="26" s="1"/>
  <c r="U27" i="26"/>
  <c r="L55" i="26"/>
  <c r="O55" i="26" s="1"/>
  <c r="M55" i="26"/>
  <c r="E4" i="45" s="1" a="1"/>
  <c r="G57" i="26"/>
  <c r="I56" i="26"/>
  <c r="D20" i="48"/>
  <c r="D35" i="45" s="1"/>
  <c r="E35" i="45"/>
  <c r="R64" i="26"/>
  <c r="P65" i="26"/>
  <c r="B65" i="26"/>
  <c r="K64" i="26"/>
  <c r="D29" i="49" l="1"/>
  <c r="A30" i="49"/>
  <c r="D30" i="49" s="1"/>
  <c r="C29" i="49"/>
  <c r="B29" i="49"/>
  <c r="V23" i="26"/>
  <c r="E19" i="45" s="1"/>
  <c r="AA75" i="26"/>
  <c r="C60" i="26"/>
  <c r="D59" i="26"/>
  <c r="V59" i="26" s="1"/>
  <c r="I57" i="26"/>
  <c r="G58" i="26"/>
  <c r="L56" i="26"/>
  <c r="O56" i="26" s="1"/>
  <c r="M56" i="26"/>
  <c r="O4" i="45"/>
  <c r="O9" i="45" s="1"/>
  <c r="L4" i="45"/>
  <c r="L9" i="45" s="1"/>
  <c r="I4" i="45"/>
  <c r="I9" i="45" s="1"/>
  <c r="E4" i="45"/>
  <c r="F4" i="45"/>
  <c r="F9" i="45" s="1"/>
  <c r="J4" i="45"/>
  <c r="J9" i="45" s="1"/>
  <c r="K4" i="45"/>
  <c r="K9" i="45" s="1"/>
  <c r="G4" i="45"/>
  <c r="G9" i="45" s="1"/>
  <c r="P4" i="45"/>
  <c r="P9" i="45" s="1"/>
  <c r="M4" i="45"/>
  <c r="M9" i="45" s="1"/>
  <c r="N4" i="45"/>
  <c r="N9" i="45" s="1"/>
  <c r="H4" i="45"/>
  <c r="H9" i="45" s="1"/>
  <c r="B66" i="26"/>
  <c r="K65" i="26"/>
  <c r="R65" i="26"/>
  <c r="P66" i="26"/>
  <c r="B30" i="49" l="1"/>
  <c r="A31" i="49"/>
  <c r="D31" i="49" s="1"/>
  <c r="C30" i="49"/>
  <c r="C61" i="26"/>
  <c r="D60" i="26"/>
  <c r="V60" i="26" s="1"/>
  <c r="M14" i="45"/>
  <c r="M10" i="45"/>
  <c r="M11" i="45" s="1"/>
  <c r="M12" i="45"/>
  <c r="G59" i="26"/>
  <c r="I58" i="26"/>
  <c r="H12" i="45"/>
  <c r="H14" i="45"/>
  <c r="H10" i="45"/>
  <c r="H11" i="45" s="1"/>
  <c r="G14" i="45"/>
  <c r="G12" i="45"/>
  <c r="G10" i="45"/>
  <c r="G11" i="45" s="1"/>
  <c r="N14" i="45"/>
  <c r="N10" i="45"/>
  <c r="N11" i="45" s="1"/>
  <c r="N12" i="45"/>
  <c r="K12" i="45"/>
  <c r="K14" i="45"/>
  <c r="K10" i="45"/>
  <c r="K11" i="45" s="1"/>
  <c r="I14" i="45"/>
  <c r="I12" i="45"/>
  <c r="I10" i="45"/>
  <c r="I11" i="45" s="1"/>
  <c r="J12" i="45"/>
  <c r="J14" i="45"/>
  <c r="J10" i="45"/>
  <c r="J11" i="45" s="1"/>
  <c r="L12" i="45"/>
  <c r="L10" i="45"/>
  <c r="L11" i="45" s="1"/>
  <c r="L14" i="45"/>
  <c r="P14" i="45"/>
  <c r="P10" i="45"/>
  <c r="P11" i="45" s="1"/>
  <c r="P12" i="45"/>
  <c r="F10" i="45"/>
  <c r="F11" i="45" s="1"/>
  <c r="F14" i="45"/>
  <c r="F12" i="45"/>
  <c r="O10" i="45"/>
  <c r="O11" i="45" s="1"/>
  <c r="O14" i="45"/>
  <c r="O12" i="45"/>
  <c r="M57" i="26"/>
  <c r="L57" i="26"/>
  <c r="O57" i="26" s="1"/>
  <c r="R66" i="26"/>
  <c r="P67" i="26"/>
  <c r="B67" i="26"/>
  <c r="K66" i="26"/>
  <c r="C31" i="49" l="1"/>
  <c r="B31" i="49"/>
  <c r="A32" i="49"/>
  <c r="D32" i="49" s="1"/>
  <c r="D61" i="26"/>
  <c r="V61" i="26" s="1"/>
  <c r="C62" i="26"/>
  <c r="J13" i="45"/>
  <c r="J15" i="45" s="1"/>
  <c r="J17" i="45" s="1"/>
  <c r="J19" i="45" s="1"/>
  <c r="F13" i="45"/>
  <c r="F15" i="45" s="1"/>
  <c r="F17" i="45" s="1"/>
  <c r="F19" i="45" s="1"/>
  <c r="M13" i="45"/>
  <c r="M15" i="45" s="1"/>
  <c r="M17" i="45" s="1"/>
  <c r="M19" i="45" s="1"/>
  <c r="L13" i="45"/>
  <c r="L15" i="45" s="1"/>
  <c r="L17" i="45" s="1"/>
  <c r="L19" i="45" s="1"/>
  <c r="P13" i="45"/>
  <c r="P15" i="45" s="1"/>
  <c r="I13" i="45"/>
  <c r="I15" i="45" s="1"/>
  <c r="I17" i="45" s="1"/>
  <c r="I19" i="45" s="1"/>
  <c r="H13" i="45"/>
  <c r="H15" i="45" s="1"/>
  <c r="H17" i="45" s="1"/>
  <c r="H19" i="45" s="1"/>
  <c r="I59" i="26"/>
  <c r="G60" i="26"/>
  <c r="G13" i="45"/>
  <c r="G15" i="45" s="1"/>
  <c r="G17" i="45" s="1"/>
  <c r="G19" i="45" s="1"/>
  <c r="O13" i="45"/>
  <c r="O15" i="45" s="1"/>
  <c r="K13" i="45"/>
  <c r="K15" i="45" s="1"/>
  <c r="K17" i="45" s="1"/>
  <c r="K19" i="45" s="1"/>
  <c r="N13" i="45"/>
  <c r="N15" i="45" s="1"/>
  <c r="N17" i="45" s="1"/>
  <c r="N19" i="45" s="1"/>
  <c r="L58" i="26"/>
  <c r="O58" i="26" s="1"/>
  <c r="M58" i="26"/>
  <c r="R67" i="26"/>
  <c r="P68" i="26"/>
  <c r="B68" i="26"/>
  <c r="K67" i="26"/>
  <c r="A33" i="49" l="1"/>
  <c r="C32" i="49"/>
  <c r="B32" i="49"/>
  <c r="D62" i="26"/>
  <c r="V62" i="26" s="1"/>
  <c r="C63" i="26"/>
  <c r="M59" i="26"/>
  <c r="L59" i="26"/>
  <c r="O59" i="26" s="1"/>
  <c r="C21" i="45"/>
  <c r="G61" i="26"/>
  <c r="I60" i="26"/>
  <c r="R68" i="26"/>
  <c r="P69" i="26"/>
  <c r="K68" i="26"/>
  <c r="B69" i="26"/>
  <c r="D33" i="49" l="1"/>
  <c r="A34" i="49"/>
  <c r="D34" i="49" s="1"/>
  <c r="B33" i="49"/>
  <c r="C33" i="49"/>
  <c r="C64" i="26"/>
  <c r="D63" i="26"/>
  <c r="V63" i="26" s="1"/>
  <c r="G62" i="26"/>
  <c r="I61" i="26"/>
  <c r="L60" i="26"/>
  <c r="O60" i="26" s="1"/>
  <c r="M60" i="26"/>
  <c r="S48" i="26"/>
  <c r="Q48" i="26" s="1"/>
  <c r="T48" i="26" s="1"/>
  <c r="S45" i="26"/>
  <c r="Q45" i="26" s="1"/>
  <c r="S46" i="26"/>
  <c r="Q46" i="26" s="1"/>
  <c r="S47" i="26"/>
  <c r="Q47" i="26" s="1"/>
  <c r="S49" i="26"/>
  <c r="Q49" i="26" s="1"/>
  <c r="S52" i="26"/>
  <c r="Q52" i="26" s="1"/>
  <c r="S50" i="26"/>
  <c r="Q50" i="26" s="1"/>
  <c r="S53" i="26"/>
  <c r="Q53" i="26" s="1"/>
  <c r="S51" i="26"/>
  <c r="Q51" i="26" s="1"/>
  <c r="S54" i="26"/>
  <c r="Q54" i="26" s="1"/>
  <c r="S57" i="26"/>
  <c r="Q57" i="26" s="1"/>
  <c r="S55" i="26"/>
  <c r="Q55" i="26" s="1"/>
  <c r="S56" i="26"/>
  <c r="Q56" i="26" s="1"/>
  <c r="S60" i="26"/>
  <c r="S58" i="26"/>
  <c r="Q58" i="26" s="1"/>
  <c r="S59" i="26"/>
  <c r="Q59" i="26" s="1"/>
  <c r="S61" i="26"/>
  <c r="S64" i="26"/>
  <c r="S62" i="26"/>
  <c r="S67" i="26"/>
  <c r="S63" i="26"/>
  <c r="S65" i="26"/>
  <c r="S68" i="26"/>
  <c r="S66" i="26"/>
  <c r="K69" i="26"/>
  <c r="R69" i="26"/>
  <c r="S69" i="26"/>
  <c r="B34" i="49" l="1"/>
  <c r="C34" i="49"/>
  <c r="A35" i="49"/>
  <c r="D35" i="49" s="1"/>
  <c r="C65" i="26"/>
  <c r="D64" i="26"/>
  <c r="V64" i="26" s="1"/>
  <c r="M61" i="26"/>
  <c r="L61" i="26"/>
  <c r="O61" i="26" s="1"/>
  <c r="Q61" i="26" s="1"/>
  <c r="G63" i="26"/>
  <c r="I62" i="26"/>
  <c r="Q60" i="26"/>
  <c r="U60" i="26" s="1"/>
  <c r="T46" i="26"/>
  <c r="U46" i="26"/>
  <c r="T45" i="26"/>
  <c r="U45" i="26"/>
  <c r="U47" i="26"/>
  <c r="T47" i="26"/>
  <c r="U48" i="26"/>
  <c r="U58" i="26"/>
  <c r="T58" i="26"/>
  <c r="U57" i="26"/>
  <c r="T57" i="26"/>
  <c r="U50" i="26"/>
  <c r="T50" i="26"/>
  <c r="U54" i="26"/>
  <c r="T54" i="26"/>
  <c r="U38" i="26"/>
  <c r="U52" i="26"/>
  <c r="T52" i="26"/>
  <c r="U56" i="26"/>
  <c r="T56" i="26"/>
  <c r="U51" i="26"/>
  <c r="T51" i="26"/>
  <c r="U49" i="26"/>
  <c r="T49" i="26"/>
  <c r="Q41" i="26"/>
  <c r="U59" i="26"/>
  <c r="T59" i="26"/>
  <c r="U55" i="26"/>
  <c r="T55" i="26"/>
  <c r="U53" i="26"/>
  <c r="T53" i="26"/>
  <c r="C35" i="49" l="1"/>
  <c r="A36" i="49"/>
  <c r="D36" i="49" s="1"/>
  <c r="B35" i="49"/>
  <c r="D65" i="26"/>
  <c r="V65" i="26" s="1"/>
  <c r="C66" i="26"/>
  <c r="U61" i="26"/>
  <c r="T60" i="26"/>
  <c r="T61" i="26"/>
  <c r="L62" i="26"/>
  <c r="O62" i="26" s="1"/>
  <c r="Q62" i="26" s="1"/>
  <c r="U62" i="26" s="1"/>
  <c r="M62" i="26"/>
  <c r="I63" i="26"/>
  <c r="G64" i="26"/>
  <c r="E5" i="45" a="1"/>
  <c r="F5" i="45" s="1"/>
  <c r="U37" i="26"/>
  <c r="A37" i="49" l="1"/>
  <c r="B36" i="49"/>
  <c r="C36" i="49"/>
  <c r="C67" i="26"/>
  <c r="D66" i="26"/>
  <c r="V66" i="26" s="1"/>
  <c r="M63" i="26"/>
  <c r="L63" i="26"/>
  <c r="O63" i="26" s="1"/>
  <c r="Q63" i="26" s="1"/>
  <c r="T62" i="26"/>
  <c r="G65" i="26"/>
  <c r="I64" i="26"/>
  <c r="P5" i="45"/>
  <c r="K5" i="45"/>
  <c r="L5" i="45"/>
  <c r="J5" i="45"/>
  <c r="O5" i="45"/>
  <c r="O16" i="45" s="1"/>
  <c r="O17" i="45" s="1"/>
  <c r="O19" i="45" s="1"/>
  <c r="D19" i="45" s="1"/>
  <c r="H5" i="45"/>
  <c r="E5" i="45"/>
  <c r="G5" i="45"/>
  <c r="M5" i="45"/>
  <c r="N5" i="45"/>
  <c r="I5" i="45"/>
  <c r="D37" i="49" l="1"/>
  <c r="A38" i="49"/>
  <c r="D38" i="49" s="1"/>
  <c r="B37" i="49"/>
  <c r="C37" i="49"/>
  <c r="C68" i="26"/>
  <c r="D67" i="26"/>
  <c r="V67" i="26" s="1"/>
  <c r="I65" i="26"/>
  <c r="G66" i="26"/>
  <c r="T63" i="26"/>
  <c r="U63" i="26"/>
  <c r="L64" i="26"/>
  <c r="O64" i="26" s="1"/>
  <c r="Q64" i="26" s="1"/>
  <c r="U64" i="26" s="1"/>
  <c r="M64" i="26"/>
  <c r="E18" i="45"/>
  <c r="E22" i="45"/>
  <c r="B38" i="49" l="1"/>
  <c r="C38" i="49"/>
  <c r="A39" i="49"/>
  <c r="D39" i="49" s="1"/>
  <c r="C69" i="26"/>
  <c r="D69" i="26" s="1"/>
  <c r="D68" i="26"/>
  <c r="V68" i="26" s="1"/>
  <c r="G67" i="26"/>
  <c r="I66" i="26"/>
  <c r="M65" i="26"/>
  <c r="T64" i="26"/>
  <c r="L65" i="26"/>
  <c r="O65" i="26" s="1"/>
  <c r="Q65" i="26" s="1"/>
  <c r="U65" i="26" s="1"/>
  <c r="E21" i="45"/>
  <c r="C39" i="49" l="1"/>
  <c r="B39" i="49"/>
  <c r="A40" i="49"/>
  <c r="D40" i="49" s="1"/>
  <c r="L66" i="26"/>
  <c r="O66" i="26" s="1"/>
  <c r="Q66" i="26" s="1"/>
  <c r="U66" i="26" s="1"/>
  <c r="T65" i="26"/>
  <c r="M66" i="26"/>
  <c r="G68" i="26"/>
  <c r="I67" i="26"/>
  <c r="A41" i="49" l="1"/>
  <c r="B40" i="49"/>
  <c r="C40" i="49"/>
  <c r="M67" i="26"/>
  <c r="L67" i="26"/>
  <c r="O67" i="26" s="1"/>
  <c r="Q67" i="26" s="1"/>
  <c r="U67" i="26" s="1"/>
  <c r="T66" i="26"/>
  <c r="G69" i="26"/>
  <c r="I69" i="26" s="1"/>
  <c r="I68" i="26"/>
  <c r="D41" i="49" l="1"/>
  <c r="A42" i="49"/>
  <c r="D42" i="49" s="1"/>
  <c r="C41" i="49"/>
  <c r="B41" i="49"/>
  <c r="M68" i="26"/>
  <c r="T67" i="26"/>
  <c r="L68" i="26"/>
  <c r="O68" i="26" s="1"/>
  <c r="Q68" i="26" s="1"/>
  <c r="T68" i="26" s="1"/>
  <c r="M69" i="26"/>
  <c r="B42" i="49" l="1"/>
  <c r="A43" i="49"/>
  <c r="D43" i="49" s="1"/>
  <c r="C42" i="49"/>
  <c r="U40" i="26"/>
  <c r="U68" i="26"/>
  <c r="Q40" i="26"/>
  <c r="C43" i="49" l="1"/>
  <c r="B43" i="49"/>
  <c r="A44" i="49"/>
  <c r="D44" i="49" s="1"/>
  <c r="U35" i="26"/>
  <c r="U36" i="26"/>
  <c r="U39" i="26"/>
  <c r="A45" i="49" l="1"/>
  <c r="B44" i="49"/>
  <c r="C44" i="49"/>
  <c r="D45" i="49" l="1"/>
  <c r="A46" i="49"/>
  <c r="D46" i="49" s="1"/>
  <c r="B45" i="49"/>
  <c r="C45" i="49"/>
  <c r="B46" i="49" l="1"/>
  <c r="A47" i="49"/>
  <c r="D47" i="49" s="1"/>
  <c r="C46" i="49"/>
  <c r="C47" i="49" l="1"/>
  <c r="B47" i="49"/>
  <c r="A48" i="49"/>
  <c r="D48" i="49" s="1"/>
  <c r="A49" i="49" l="1"/>
  <c r="B48" i="49"/>
  <c r="C48" i="49"/>
  <c r="D49" i="49" l="1"/>
  <c r="A50" i="49"/>
  <c r="D50" i="49" s="1"/>
  <c r="C49" i="49"/>
  <c r="B49" i="49"/>
  <c r="B50" i="49" l="1"/>
  <c r="A51" i="49"/>
  <c r="D51" i="49" s="1"/>
  <c r="C50" i="49"/>
  <c r="C51" i="49" l="1"/>
  <c r="B51" i="49"/>
  <c r="A52" i="49"/>
  <c r="D52" i="49" s="1"/>
  <c r="A53" i="49" l="1"/>
  <c r="C52" i="49"/>
  <c r="B52" i="49"/>
  <c r="D53" i="49" l="1"/>
  <c r="A54" i="49"/>
  <c r="D54" i="49" s="1"/>
  <c r="B53" i="49"/>
  <c r="C53" i="49"/>
  <c r="A55" i="49" l="1"/>
  <c r="D55" i="49" s="1"/>
  <c r="C54" i="49"/>
  <c r="B54" i="49"/>
  <c r="B55" i="49" l="1"/>
  <c r="A56" i="49"/>
  <c r="D56" i="49" s="1"/>
  <c r="C55" i="49"/>
  <c r="A57" i="49" l="1"/>
  <c r="C56" i="49"/>
  <c r="B56" i="49"/>
  <c r="D57" i="49" l="1"/>
  <c r="A58" i="49"/>
  <c r="D58" i="49" s="1"/>
  <c r="C57" i="49"/>
  <c r="B57" i="49"/>
  <c r="C58" i="49" l="1"/>
  <c r="A59" i="49"/>
  <c r="D59" i="49" s="1"/>
  <c r="B58" i="49"/>
  <c r="C59" i="49" l="1"/>
  <c r="B59" i="49"/>
  <c r="A60" i="49"/>
  <c r="D60" i="49" s="1"/>
  <c r="A61" i="49" l="1"/>
  <c r="B60" i="49"/>
  <c r="C60" i="49"/>
  <c r="D61" i="49" l="1"/>
  <c r="A62" i="49"/>
  <c r="D62" i="49" s="1"/>
  <c r="C61" i="49"/>
  <c r="B61" i="49"/>
  <c r="A63" i="49" l="1"/>
  <c r="D63" i="49" s="1"/>
  <c r="C62" i="49"/>
  <c r="B62" i="49"/>
  <c r="C63" i="49" l="1"/>
  <c r="A64" i="49"/>
  <c r="D64" i="49" s="1"/>
  <c r="B63" i="49"/>
  <c r="C64" i="49" l="1"/>
  <c r="B64" i="49"/>
  <c r="A65" i="49"/>
  <c r="D65" i="49" l="1"/>
  <c r="A66" i="49"/>
  <c r="D66" i="49" s="1"/>
  <c r="B65" i="49"/>
  <c r="C65" i="49"/>
  <c r="B66" i="49" l="1"/>
  <c r="A67" i="49"/>
  <c r="D67" i="49" s="1"/>
  <c r="C66" i="49"/>
  <c r="B67" i="49" l="1"/>
  <c r="A68" i="49"/>
  <c r="D68" i="49" s="1"/>
  <c r="C67" i="49"/>
  <c r="B68" i="49" l="1"/>
  <c r="A69" i="49"/>
  <c r="C68" i="49"/>
  <c r="D69" i="49" l="1"/>
  <c r="A70" i="49"/>
  <c r="D70" i="49" s="1"/>
  <c r="B69" i="49"/>
  <c r="C69" i="49"/>
  <c r="C70" i="49" l="1"/>
  <c r="B70" i="49"/>
  <c r="A71" i="49"/>
  <c r="D71" i="49" s="1"/>
  <c r="C71" i="49" l="1"/>
  <c r="B71" i="49"/>
  <c r="A72" i="49"/>
  <c r="D72" i="49" s="1"/>
  <c r="A73" i="49" l="1"/>
  <c r="C72" i="49"/>
  <c r="B72" i="49"/>
  <c r="D73" i="49" l="1"/>
  <c r="B73" i="49"/>
  <c r="C73" i="49"/>
  <c r="A74" i="49"/>
  <c r="D74" i="49" s="1"/>
  <c r="B74" i="49" l="1"/>
  <c r="A75" i="49"/>
  <c r="D75" i="49" s="1"/>
  <c r="C74" i="49"/>
  <c r="C75" i="49" l="1"/>
  <c r="A76" i="49"/>
  <c r="D76" i="49" s="1"/>
  <c r="B75" i="49"/>
  <c r="A77" i="49" l="1"/>
  <c r="C76" i="49"/>
  <c r="B76" i="49"/>
  <c r="D77" i="49" l="1"/>
  <c r="A78" i="49"/>
  <c r="D78" i="49" s="1"/>
  <c r="B77" i="49"/>
  <c r="C77" i="49"/>
  <c r="A79" i="49" l="1"/>
  <c r="D79" i="49" s="1"/>
  <c r="C78" i="49"/>
  <c r="B78" i="49"/>
  <c r="C79" i="49" l="1"/>
  <c r="B79" i="49"/>
  <c r="A80" i="49"/>
  <c r="D80" i="49" s="1"/>
  <c r="A81" i="49" l="1"/>
  <c r="C80" i="49"/>
  <c r="B80" i="49"/>
  <c r="D81" i="49" l="1"/>
  <c r="A82" i="49"/>
  <c r="D82" i="49" s="1"/>
  <c r="B81" i="49"/>
  <c r="C81" i="49"/>
  <c r="B82" i="49" l="1"/>
  <c r="C82" i="49"/>
  <c r="A83" i="49"/>
  <c r="D83" i="49" s="1"/>
  <c r="C83" i="49" l="1"/>
  <c r="B83" i="49"/>
  <c r="A84" i="49"/>
  <c r="D84" i="49" s="1"/>
  <c r="A85" i="49" l="1"/>
  <c r="C84" i="49"/>
  <c r="B84" i="49"/>
  <c r="D85" i="49" l="1"/>
  <c r="A86" i="49"/>
  <c r="D86" i="49" s="1"/>
  <c r="C85" i="49"/>
  <c r="B85" i="49"/>
  <c r="A87" i="49" l="1"/>
  <c r="D87" i="49" s="1"/>
  <c r="C86" i="49"/>
  <c r="B86" i="49"/>
  <c r="C87" i="49" l="1"/>
  <c r="A88" i="49"/>
  <c r="D88" i="49" s="1"/>
  <c r="B87" i="49"/>
  <c r="C88" i="49" l="1"/>
  <c r="B88" i="49"/>
  <c r="A89" i="49"/>
  <c r="D89" i="49" l="1"/>
  <c r="B89" i="49"/>
  <c r="C89" i="49"/>
  <c r="A90" i="49"/>
  <c r="D90" i="49" s="1"/>
  <c r="A91" i="49" l="1"/>
  <c r="D91" i="49" s="1"/>
  <c r="C90" i="49"/>
  <c r="B90" i="49"/>
  <c r="C91" i="49" l="1"/>
  <c r="B91" i="49"/>
  <c r="A92" i="49"/>
  <c r="D92" i="49" s="1"/>
  <c r="C92" i="49" l="1"/>
  <c r="B92" i="49"/>
  <c r="A93" i="49"/>
  <c r="D93" i="49" l="1"/>
  <c r="B93" i="49"/>
  <c r="A94" i="49"/>
  <c r="D94" i="49" s="1"/>
  <c r="C93" i="49"/>
  <c r="A95" i="49" l="1"/>
  <c r="D95" i="49" s="1"/>
  <c r="C94" i="49"/>
  <c r="B94" i="49"/>
  <c r="C95" i="49" l="1"/>
  <c r="A96" i="49"/>
  <c r="D96" i="49" s="1"/>
  <c r="B95" i="49"/>
  <c r="C96" i="49" l="1"/>
  <c r="B96" i="49"/>
  <c r="A97" i="49"/>
  <c r="D97" i="49" l="1"/>
  <c r="B97" i="49"/>
  <c r="C97" i="49"/>
  <c r="A98" i="49"/>
  <c r="D98" i="49" s="1"/>
  <c r="C98" i="49" l="1"/>
  <c r="A99" i="49"/>
  <c r="D99" i="49" s="1"/>
  <c r="B98" i="49"/>
  <c r="A100" i="49" l="1"/>
  <c r="D100" i="49" s="1"/>
  <c r="C99" i="49"/>
  <c r="B99" i="49"/>
  <c r="A101" i="49" l="1"/>
  <c r="B100" i="49"/>
  <c r="C100" i="49"/>
  <c r="D101" i="49" l="1"/>
  <c r="C101" i="49"/>
  <c r="B101" i="49"/>
  <c r="A102" i="49"/>
  <c r="D102" i="49" s="1"/>
  <c r="B102" i="49" l="1"/>
  <c r="A103" i="49"/>
  <c r="D103" i="49" s="1"/>
  <c r="C102" i="49"/>
  <c r="B103" i="49" l="1"/>
  <c r="C103" i="49"/>
  <c r="A104" i="49"/>
  <c r="D104" i="49" s="1"/>
  <c r="C104" i="49" l="1"/>
  <c r="B104" i="49"/>
  <c r="A105" i="49"/>
  <c r="D105" i="49" l="1"/>
  <c r="B105" i="49"/>
  <c r="C105" i="49"/>
  <c r="A106" i="49"/>
  <c r="D106" i="49" s="1"/>
  <c r="C106" i="49" l="1"/>
  <c r="B106" i="49"/>
  <c r="A107" i="49"/>
  <c r="D107" i="49" s="1"/>
  <c r="C107" i="49" l="1"/>
  <c r="B107" i="49"/>
</calcChain>
</file>

<file path=xl/comments1.xml><?xml version="1.0" encoding="utf-8"?>
<comments xmlns="http://schemas.openxmlformats.org/spreadsheetml/2006/main">
  <authors>
    <author>dgeltner</author>
    <author>Eric Mo</author>
    <author>saurabh</author>
  </authors>
  <commentList>
    <comment ref="A1" authorId="0" shapeId="0">
      <text>
        <r>
          <rPr>
            <b/>
            <sz val="9"/>
            <color indexed="81"/>
            <rFont val="Tahoma"/>
            <family val="2"/>
          </rPr>
          <t>dgeltner:</t>
        </r>
        <r>
          <rPr>
            <sz val="9"/>
            <color indexed="81"/>
            <rFont val="Tahoma"/>
            <family val="2"/>
          </rPr>
          <t xml:space="preserve">
This workbook is just like the basic "InfoForClassDemo" workbook except that it has an enhanced, asymmetrical wave fucntion to represent the space and asset market cycles, recognizing that in economic cycles the downturn is often a lot sharper and quicker than the subsequent recovery. See the last tab to play around with the asymmetric wave function.</t>
        </r>
      </text>
    </comment>
    <comment ref="U2" authorId="0" shapeId="0">
      <text>
        <r>
          <rPr>
            <sz val="10"/>
            <color indexed="81"/>
            <rFont val="Tahoma"/>
            <family val="2"/>
          </rPr>
          <t xml:space="preserve">This will govern the central tendency or deterministic component of the initial rent value. </t>
        </r>
      </text>
    </comment>
    <comment ref="V2" authorId="0" shapeId="0">
      <text>
        <r>
          <rPr>
            <b/>
            <sz val="10"/>
            <color indexed="81"/>
            <rFont val="Tahoma"/>
            <family val="2"/>
          </rPr>
          <t>dgeltner:</t>
        </r>
        <r>
          <rPr>
            <sz val="10"/>
            <color indexed="81"/>
            <rFont val="Tahoma"/>
            <family val="2"/>
          </rPr>
          <t xml:space="preserve">
The default value here should be 1.00.</t>
        </r>
      </text>
    </comment>
    <comment ref="A3" authorId="0" shapeId="0">
      <text>
        <r>
          <rPr>
            <sz val="10"/>
            <color indexed="81"/>
            <rFont val="Tahoma"/>
            <family val="2"/>
          </rPr>
          <t>This worksheet generates one 24-year random history. See comments below for explanation about the modeling of the uncertainties and pricing dynamics.</t>
        </r>
      </text>
    </comment>
    <comment ref="U3" authorId="0" shapeId="0">
      <text>
        <r>
          <rPr>
            <sz val="10"/>
            <color indexed="81"/>
            <rFont val="Tahoma"/>
            <family val="2"/>
          </rPr>
          <t>This will govern the central tendency of the long-run growth rate trend that will apply over the entire scenario. As Pricing Factors are only RELATIVE TO the traditional pro-forma which should contain any realistic expected growth, the default value input here should normally be zero in principle. However, in the Base Case we make this incremental trend slightly negative to counteract the effect of "convexity bias" induced by geometric compounding of zero-mean price-change increments in the cash flow Pricing Factors. Ideally for a more representative sample and better "apples-to-apples" comparisons, you want to set this input so that the t-statistic of the InflxPV-ProFormaPV (cell K13) is generally near zero (and almost always &lt; 1.96 in absolute value). You may need to change the LR Trend Mean input as you change other price dynamics input parameter assumptions away from the Base Case assumptions.</t>
        </r>
      </text>
    </comment>
    <comment ref="U4" authorId="0" shapeId="0">
      <text>
        <r>
          <rPr>
            <sz val="10"/>
            <color indexed="81"/>
            <rFont val="Tahoma"/>
            <family val="2"/>
          </rPr>
          <t>This is for if you want to model uncertainty in the initial rent estimated in the pro-forma. This is half-range of triangular distribution as a proportion of Initial Rent Price Factor (entered above). Typically you wouldn't enter more than 0.05 or 0.1 here, at most. Initial rents should be able to be estimated pretty accurately in the realistic pro-forma, especially for existing buildings.</t>
        </r>
      </text>
    </comment>
    <comment ref="U5" authorId="0" shapeId="0">
      <text>
        <r>
          <rPr>
            <sz val="10"/>
            <color indexed="81"/>
            <rFont val="Tahoma"/>
            <family val="2"/>
          </rPr>
          <t>This is to model uncertainty in the long-run trend growth rate (that applies throughout the entire scenario. This is a triangular distribution half-range, and should typically be a small value, at most .01 or .02, unless there is great uncertainty in thelong-run average growth rate in the economy (such as perhaps in some emerging market countries), or if one is modeling nominal values and there is great uncertainty about what the future rate of inflation will be (but in such cases it is better to model real values, net of inflation anyway).</t>
        </r>
      </text>
    </comment>
    <comment ref="U6" authorId="0" shapeId="0">
      <text>
        <r>
          <rPr>
            <sz val="10"/>
            <color indexed="81"/>
            <rFont val="Tahoma"/>
            <family val="2"/>
          </rPr>
          <t>Evidence indicates that in mature markets such as the U.S., real estate market volatility (not including individual building idiosyncratic risk) is on the order of 10%. However, this includes the effect of long-term cycles as well as annual accumulating volatility. If you are modeling an individual stabilized building, then you should probably set this in the range of 10% to 15% (which would reflect some idiosyncratic risk as well as market risk).</t>
        </r>
      </text>
    </comment>
    <comment ref="U7" authorId="0" shapeId="0">
      <text>
        <r>
          <rPr>
            <sz val="10"/>
            <color indexed="81"/>
            <rFont val="Tahoma"/>
            <family val="2"/>
          </rPr>
          <t>This is the proportion of the current period's return that will be "baked in" reflecting the previous period's return. The greater this parameter (which must be &gt;0 &amp; &lt; 1), the more inertia or momentum the real estate prices will have. Empirical evidence indicates that this should probably be a small positive fraction, perhaps in the neighborhood of 0.2.</t>
        </r>
      </text>
    </comment>
    <comment ref="U8" authorId="0" shapeId="0">
      <text>
        <r>
          <rPr>
            <sz val="10"/>
            <color indexed="81"/>
            <rFont val="Tahoma"/>
            <family val="2"/>
          </rPr>
          <t>This parameter will also impart inertia or momentum into the real estate prices, but in a special way, pulling the prices back towards the long-run trend level (not including any cycle that is in the price dynamics). This parameter is the proportion of the deviation between the current price level and the long-run trend level that will be reduced in each year. Evidence suggests that a mean reversion rate on the order of 0.1 to 0.4 is probably appropriate, especially for individual properties (as distinct from total market aggregates).</t>
        </r>
      </text>
    </comment>
    <comment ref="U9" authorId="0" shapeId="0">
      <text>
        <r>
          <rPr>
            <sz val="10"/>
            <color indexed="81"/>
            <rFont val="Tahoma"/>
            <family val="2"/>
          </rPr>
          <t>This is the peak-to-trough full cycle amplitude as a fraction of the mid-cycle level. Historically in the U.S. such cycles in investment property have been as much as 50% or more in some markets in the rental market (including both rent prices &amp; occupancy effect and considering the leverage that fixed operating expenses have on the bottom-line net cash flow). The Pricing Factors in this model apply to net cash flows, not just top-line potential gross rental revenue.</t>
        </r>
      </text>
    </comment>
    <comment ref="U10" authorId="0" shapeId="0">
      <text>
        <r>
          <rPr>
            <sz val="10"/>
            <color indexed="81"/>
            <rFont val="Tahoma"/>
            <family val="2"/>
          </rPr>
          <t>This is the asset market (capital) cycle, which operates in addition to (but not entirely unrelated to) the rent market cycle. Cap rates may cycle +/- 100 to 200 basis-points.</t>
        </r>
      </text>
    </comment>
    <comment ref="V10" authorId="0" shapeId="0">
      <text>
        <r>
          <rPr>
            <b/>
            <sz val="10"/>
            <color indexed="81"/>
            <rFont val="Tahoma"/>
            <family val="2"/>
          </rPr>
          <t>dgeltner:</t>
        </r>
        <r>
          <rPr>
            <sz val="10"/>
            <color indexed="81"/>
            <rFont val="Tahoma"/>
            <family val="2"/>
          </rPr>
          <t xml:space="preserve">
This is in cap rate units, so keep in mind the magnitude of the initial cap rate entered on the MktDynamicsInputs sheet. For example, if the initial (base) cap rate entered there is 5.00%, and you enter 2.00% here, then this will mean a cap rate cycle swinging between 4.00% &amp; 6.00%, which corresponds roughly to a property value swing of +/-20% (other things equal).</t>
        </r>
      </text>
    </comment>
    <comment ref="U11" authorId="0" shapeId="0">
      <text>
        <r>
          <rPr>
            <sz val="10"/>
            <color indexed="81"/>
            <rFont val="Tahoma"/>
            <family val="2"/>
          </rPr>
          <t>If you are agnostic about where the market currently is in the cycle, and you want to simulate all possitilities, then make this input a uniform random variable across the entire length of the cycle period entered in the cell for the cycle period input, below, as in:
=RAND()*RentCyclePeriod
If you think you know where the market currently is in the cycle, then enter a value here as follows:
Mid-cycle headed up: Enter 0.
Peak headed down: Enter (3/4)*(CyclePeriod).
Mid-cycle headed down: Enter (1/2)*(CyclePeriod).
Bottom headed up: Enter (1/4)*CyclePeriod).</t>
        </r>
      </text>
    </comment>
    <comment ref="V11" authorId="0" shapeId="0">
      <text>
        <r>
          <rPr>
            <b/>
            <sz val="10"/>
            <color indexed="81"/>
            <rFont val="Tahoma"/>
            <family val="2"/>
          </rPr>
          <t>dgeltner:</t>
        </r>
        <r>
          <rPr>
            <sz val="10"/>
            <color indexed="81"/>
            <rFont val="Tahoma"/>
            <family val="2"/>
          </rPr>
          <t xml:space="preserve">
If you are agnostic about where the market currently is in the cycle, and you want to simulate all possitilities, then make this input a uniform random variable across the entire length of the cycle period entered in the cell for the cycle period input, below, as in:
=RAND()*RentCycPeriod
If you think you know where the market currently is in the cycle, then enter a value here as follows:
Mid-cycle headed up: Enter 0.
Peak headed down: Enter (3/4)*(CyclePeriod).
Mid-cycle headed down: Enter (1/2)*(CyclePeriod).
Bottom headed up: Enter (1/4)*CyclePeriod).</t>
        </r>
      </text>
    </comment>
    <comment ref="U12" authorId="0" shapeId="0">
      <text>
        <r>
          <rPr>
            <sz val="10"/>
            <color indexed="81"/>
            <rFont val="Tahoma"/>
            <family val="2"/>
          </rPr>
          <t>Since we input this cycle as the negative of the actual cap rate cycle, you can think of the phase in the same way as the space market phase. These two cycles are not generally exactly in sync, but they usually are not too far off from each other. Hence, probably makes sense to set this asset market phase equal to the space market phase +/- some random difference that is a pretty small fraction of the cycle period. Remember that peak-to-trough is half period, LR mean to either peak or trough is quarter period. 
E.g.:
=SpaceCyclePhase+(RAND()*CapCyclePeriod/5-CapCyclePeriod/10)
Above would let asset phase differ from space phase by +/- a bit less than a quarter-period (here, a fifth of the asset cycle period).</t>
        </r>
      </text>
    </comment>
    <comment ref="U13" authorId="0" shapeId="0">
      <text>
        <r>
          <rPr>
            <sz val="10"/>
            <color indexed="81"/>
            <rFont val="Tahoma"/>
            <family val="2"/>
          </rPr>
          <t>In the U.S. the real estate market cycle seems to be in the range of 10 to 20 years. 
E.g.:
=RAND()*10+10
This will randomly generate the cycle period governing each future history to be between 10 and 20 years.</t>
        </r>
      </text>
    </comment>
    <comment ref="U14" authorId="0" shapeId="0">
      <text>
        <r>
          <rPr>
            <sz val="10"/>
            <color indexed="81"/>
            <rFont val="Tahoma"/>
            <family val="2"/>
          </rPr>
          <t>This  can be randomly different from rent cycle period, but probably not too different, maybe +/- 1 year.
E.g.:
=RentCyclePeriod+(RAND()*2-1)</t>
        </r>
      </text>
    </comment>
    <comment ref="U15" authorId="0" shapeId="0">
      <text>
        <r>
          <rPr>
            <sz val="10"/>
            <color indexed="81"/>
            <rFont val="Tahoma"/>
            <family val="2"/>
          </rPr>
          <t>This is the non-accumulating (hence, different from "volatility") random price dispersion that occurs whenever transactions take place, due to imperfect knowledge about actual market values in real estate.</t>
        </r>
      </text>
    </comment>
    <comment ref="U16" authorId="0" shapeId="0">
      <text>
        <r>
          <rPr>
            <sz val="10"/>
            <color indexed="81"/>
            <rFont val="Tahoma"/>
            <family val="2"/>
          </rPr>
          <t>This is the likelihood of a "Black Swan" event occurring in any one year, given that it has not occurred yet in the scenario.</t>
        </r>
      </text>
    </comment>
    <comment ref="U17" authorId="0" shapeId="0">
      <text>
        <r>
          <rPr>
            <sz val="10"/>
            <color indexed="81"/>
            <rFont val="Tahoma"/>
            <family val="2"/>
          </rPr>
          <t>This should probably be a negative fraction, as "black swans" are usually negative impacts. Perhaps a fraction in the range of -0.2 to -0.4 could be consistent with historical experieince.</t>
        </r>
      </text>
    </comment>
    <comment ref="U18" authorId="0" shapeId="0">
      <text>
        <r>
          <rPr>
            <sz val="10"/>
            <color indexed="81"/>
            <rFont val="Tahoma"/>
            <family val="2"/>
          </rPr>
          <t>This is the long-run mean cap rate around which the capital market cycle varies, that is, this is the cap rate toward which the market reverts over the cycle. This relates to the reversion (going-out) cap rate that will be applied upon resale.
You can set this so that the inflexible (10yr) reversion will exactly match a pro-forma reversion amount in the Base Case. Just set this as the ratio of the pro-forma Yr11 NOI divided by the pro-forma reversion (gross of selling expenses).
Note that if this long-run cap rate is set to a value much above (below) the going-in cap rate implied by the initial price, then the result will be to tend to favor flexible resale timing later (earlier), so as to mitigate (maximize) the unfavorable (favorable) effect of the yield change between the buy and the sell.
A plausible value for this input would equal the discount rate minus the pro-forma growth rate, plus 100 to 200 basis-points for capital improvements expenditures.</t>
        </r>
      </text>
    </comment>
    <comment ref="U20" authorId="0" shapeId="0">
      <text>
        <r>
          <rPr>
            <sz val="10"/>
            <color indexed="81"/>
            <rFont val="Tahoma"/>
            <family val="2"/>
          </rPr>
          <t>This is only used as an input to the "RiskPrem/DnSideStdDev" measure of risk-adjusted return for the IRR in the Simulation Results table below.</t>
        </r>
      </text>
    </comment>
    <comment ref="U21" authorId="0" shapeId="0">
      <text>
        <r>
          <rPr>
            <sz val="10"/>
            <color indexed="81"/>
            <rFont val="Tahoma"/>
            <family val="2"/>
          </rPr>
          <t>This is not used for the holding period covered by the given pro-forma. This growth rate is only used in the Flexible DCF for the periods beyond the original pro-forma, in order to extend the same general type of growth as is given in the pro-forma. This is necessary in order to treat the model-generated Price Factors as essentially "zero-mean" (or unit ratio) differences from the prof-forma's expected cash flows.</t>
        </r>
      </text>
    </comment>
    <comment ref="U23" authorId="0" shapeId="0">
      <text>
        <r>
          <rPr>
            <sz val="10"/>
            <color indexed="81"/>
            <rFont val="Tahoma"/>
            <family val="2"/>
          </rPr>
          <t>This is an exogenous input by the analyst. May or may not equal the mkt value of the property. If price &lt;&gt; MktVal then NPV&lt;&gt;0. To set this equal to Mkt Value (good default assumption), reference  this value to the PV computed on the ProForma sheet and set the Discount Rate equal to the mkt OCC.</t>
        </r>
      </text>
    </comment>
    <comment ref="U25" authorId="0" shapeId="0">
      <text>
        <r>
          <rPr>
            <sz val="10"/>
            <color indexed="81"/>
            <rFont val="Tahoma"/>
            <family val="2"/>
          </rPr>
          <t>The formula in this cell, input for the Mean Reversion Cap Rate, will preserve the pro-forma reversion that is given in the Base Case. Make sure the selling expense rate subtracted out in the divisor of the denominator is the same as whatever is used in the pro-forma.</t>
        </r>
      </text>
    </comment>
    <comment ref="V25" authorId="0" shapeId="0">
      <text>
        <r>
          <rPr>
            <sz val="10"/>
            <color indexed="81"/>
            <rFont val="Tahoma"/>
            <family val="2"/>
          </rPr>
          <t>The formula in this cell, input for the Mean Reversion Cap Rate, will provide a plausible long-run cap rate for reversion based on the given discount rate (which should be the OCC, if you want to relate PV to mkt value) and on the given Pro-forma Growth Rate. This formula reflects the constant-growth perpetuity ("Gordon Growth Model") perspective of the DCF PV, assuming "cap rate" (current yield) is based on NOI (not on net cash flow), and  assuming capital improvement expenditures average 1.5% /yr of property value over long run. (Recall that PBTCF = NOI - CapEx.)</t>
        </r>
      </text>
    </comment>
    <comment ref="U26" authorId="0" shapeId="0">
      <text>
        <r>
          <rPr>
            <sz val="10"/>
            <color indexed="81"/>
            <rFont val="Tahoma"/>
            <family val="2"/>
          </rPr>
          <t>This is the reversion cap rate implied by the original example (realistic) pro-forma.</t>
        </r>
      </text>
    </comment>
    <comment ref="U27" authorId="0" shapeId="0">
      <text>
        <r>
          <rPr>
            <sz val="10"/>
            <color indexed="81"/>
            <rFont val="Tahoma"/>
            <family val="2"/>
          </rPr>
          <t>This is the Property PV (estimated market value) given in the original example (realistic) pro-forma.</t>
        </r>
      </text>
    </comment>
    <comment ref="E33" authorId="0" shapeId="0">
      <text>
        <r>
          <rPr>
            <sz val="10"/>
            <color indexed="81"/>
            <rFont val="Tahoma"/>
            <family val="2"/>
          </rPr>
          <t>"Volatility" refers to the standard deviation across time (longitudinal dispersion), in the changes or returns (differences from one period to the next). Volatility "accumulates" in the sense that the realization of the change in one period becomes imbedded in the level (of rents) going forward into the next period, whose change is then added on top of the previous level (of rents). The volatility realizations tracked in this column apply only to the "innovations" in the rent level. If there is autoregression (next columns) then that will also affect the annual volatility in the rent changes. "Innovations" refers to the component of changes or returns that is completely "new" each period, the component that could not have been predicted at all.  Enter the innovations volatility (magnitude per year) in the cell below unless overriden by input on the Dashboard.</t>
        </r>
      </text>
    </comment>
    <comment ref="F33" authorId="0" shapeId="0">
      <text>
        <r>
          <rPr>
            <sz val="10"/>
            <color indexed="81"/>
            <rFont val="Tahoma"/>
            <family val="2"/>
          </rPr>
          <t>This reflects the inertia in the price movements.</t>
        </r>
      </text>
    </comment>
    <comment ref="I33" authorId="0" shapeId="0">
      <text>
        <r>
          <rPr>
            <sz val="10"/>
            <color indexed="81"/>
            <rFont val="Tahoma"/>
            <family val="2"/>
          </rPr>
          <t>In this column the cycle is applied to the rent history previously computed reflecting volatility.</t>
        </r>
      </text>
    </comment>
    <comment ref="K33" authorId="0" shapeId="0">
      <text>
        <r>
          <rPr>
            <sz val="10"/>
            <color indexed="81"/>
            <rFont val="Tahoma"/>
            <family val="2"/>
          </rPr>
          <t>This is another (separate) cycle, applied to "convert" the current rents to an asset PV (via the capital market's "cap rate"). The cycle whose parameters are entered in this column is applied to the cap rate (aka "cash yield": capitalization rate = income/value). The capital market and the space market are two separate markets, and their cycles don't generally exactly coincide.</t>
        </r>
      </text>
    </comment>
    <comment ref="L33" authorId="0" shapeId="0">
      <text>
        <r>
          <rPr>
            <sz val="10"/>
            <color indexed="81"/>
            <rFont val="Tahoma"/>
            <family val="2"/>
          </rPr>
          <t>This applies the capital market cycle to the rent history to obtain the history of "true values," that is, the asset values (PVs) that would prevail if there were no "noise" (transaction or observation "error"), and at this point also ignoring "black swan" events.</t>
        </r>
      </text>
    </comment>
    <comment ref="M33" authorId="0" shapeId="0">
      <text>
        <r>
          <rPr>
            <sz val="10"/>
            <color indexed="81"/>
            <rFont val="Tahoma"/>
            <family val="2"/>
          </rPr>
          <t>This is the "true value" Pricing Factor for just the space market, not reflecting the asset market cycle (cap rate). We have actually already computed this, and we're here just making it into a ratio of the initial rent, in order to calibrate it as a Pricing Factor to be applied multiplicatively to the Pro Forma Base Case cash flows. This series of Pricing factors will apply to operating cash flows.</t>
        </r>
      </text>
    </comment>
    <comment ref="N33" authorId="0" shapeId="0">
      <text>
        <r>
          <rPr>
            <sz val="10"/>
            <color indexed="81"/>
            <rFont val="Tahoma"/>
            <family val="2"/>
          </rPr>
          <t xml:space="preserve">This column computes the random realization of "deal noise." Similar to volatility, only unlike volatility noise does not accumulate over time. It applies directly to the value LEVELs (not returns). By definition, deal-level noise would not exist at the level of aggregate market prices, so you may want to zero out this parameter here if you're not using this sheet to represent individual asset or project values. </t>
        </r>
      </text>
    </comment>
    <comment ref="O33" authorId="0" shapeId="0">
      <text>
        <r>
          <rPr>
            <sz val="10"/>
            <color indexed="81"/>
            <rFont val="Tahoma"/>
            <family val="2"/>
          </rPr>
          <t>In this column the noise we generated in the previous column is applied to the noise-free value history in the "TrueValue" column, to generate the actually-observable value each year (excluding any "black swan" impact).</t>
        </r>
      </text>
    </comment>
    <comment ref="P33" authorId="0" shapeId="0">
      <text>
        <r>
          <rPr>
            <sz val="10"/>
            <color indexed="81"/>
            <rFont val="Tahoma"/>
            <family val="2"/>
          </rPr>
          <t>This random variable will determine whether a "black swan" event occurs in any given year. We employ the Excel uniform distribution (RAND()) between zero and one to generate a "1" with probability as given. The outer IF() statement insures that no more than one black swan will occur in the 24-yr history, as black swans are by definition rare events.</t>
        </r>
      </text>
    </comment>
    <comment ref="Q33" authorId="1" shapeId="0">
      <text>
        <r>
          <rPr>
            <sz val="10"/>
            <color indexed="81"/>
            <rFont val="Tahoma"/>
            <family val="2"/>
          </rPr>
          <t>This is another source or type of uncertainty in real estate pricing. This column will apply the given "black swan" result when/if a "1" appears in the adjacent column (randomly generated), but then reduces the subsequent impact of the event gradually as mean-reversion takes effect.</t>
        </r>
      </text>
    </comment>
    <comment ref="T33" authorId="0" shapeId="0">
      <text>
        <r>
          <rPr>
            <sz val="10"/>
            <color indexed="81"/>
            <rFont val="Tahoma"/>
            <family val="2"/>
          </rPr>
          <t>These are the forward-looking cap rates implied for each year of the scenario. These will govern the reversion (resale) cash flows in the DCF model of PV.</t>
        </r>
      </text>
    </comment>
    <comment ref="U33" authorId="0" shapeId="0">
      <text>
        <r>
          <rPr>
            <sz val="10"/>
            <color indexed="81"/>
            <rFont val="Tahoma"/>
            <family val="2"/>
          </rPr>
          <t>This is the implied capital returns series for the scenario. It reflects the overall pricing dynamics and uncertainty in the property value over time.</t>
        </r>
      </text>
    </comment>
    <comment ref="B34" authorId="0" shapeId="0">
      <text>
        <r>
          <rPr>
            <sz val="10"/>
            <color indexed="81"/>
            <rFont val="Tahoma"/>
            <family val="2"/>
          </rPr>
          <t xml:space="preserve">This will govern the central tendency or deterministic component of the initial rent value. </t>
        </r>
      </text>
    </comment>
    <comment ref="C34" authorId="0" shapeId="0">
      <text>
        <r>
          <rPr>
            <sz val="10"/>
            <color indexed="81"/>
            <rFont val="Tahoma"/>
            <family val="2"/>
          </rPr>
          <t>The default value here should be 1.00.</t>
        </r>
      </text>
    </comment>
    <comment ref="C35" authorId="0" shapeId="0">
      <text>
        <r>
          <rPr>
            <sz val="10"/>
            <color indexed="81"/>
            <rFont val="Tahoma"/>
            <family val="2"/>
          </rPr>
          <t>This governs the base rental (net income) value as a fraction of asset value. To normalize the values by giving them a "base" value of 1.00, we have set this equal to the cap rate (net income yield). This will make the resulting rental market price factor 1.00 in Year 0, such that subsequent price factors will be ratios of the pro-forma cash flow expectations.</t>
        </r>
      </text>
    </comment>
    <comment ref="D35" authorId="2" shapeId="0">
      <text>
        <r>
          <rPr>
            <sz val="9"/>
            <color indexed="81"/>
            <rFont val="Tahoma"/>
            <family val="2"/>
          </rPr>
          <t xml:space="preserve">Enter on the Dashboard Sheet. This input will govern the central tendency of the long-run growth rate trend that will apply over the entire scenario. As Pricing Factors are only RELATIVE TO the Base Case pro-forma which should contain any realistic expected growth, the default value input here should normally be zero in principle. However, we make it slightly negative to counteract the effect of "convexity bias" induced by geometric compounding of zero-mean returns in the cash flow Pricing Factors. Ideally for a more representative sample and better "apples-to-apples" comparisons, you want to set this input so that the t-stat of the InflxPV-ProFormaPV is generally near zero (and almost always &lt; 1.96 in absolute value). </t>
        </r>
      </text>
    </comment>
    <comment ref="Q36" authorId="0" shapeId="0">
      <text>
        <r>
          <rPr>
            <sz val="10"/>
            <color indexed="81"/>
            <rFont val="Tahoma"/>
            <family val="2"/>
          </rPr>
          <t>This should probably be a negative fraction, as "black swans" are usually negative impacts. Perhaps a fraction in the range of -0.2 to -0.4 could be consistent with historical experieince.</t>
        </r>
      </text>
    </comment>
    <comment ref="F37" authorId="0" shapeId="0">
      <text>
        <r>
          <rPr>
            <sz val="10"/>
            <color indexed="81"/>
            <rFont val="Tahoma"/>
            <family val="2"/>
          </rPr>
          <t>Unless overriden by input on the Dashboard, enter here a value which for the relevant market indicates the degree of inertia. This is the autoregression parameter, which indicates what proportion of the previous period's return (price change) will automatically become a component of the current period's return (price change). In most real estate markets this would typically be a positive fraction, perhaps in the range +0.1 to +0.5. In more liquid and informationally efficient asset markets such as stock markets you might leave this at zero (no inertia). A "noisy" market would have a negative autoregression parameter, however, we deal with noise separately in a column farther to the right.</t>
        </r>
      </text>
    </comment>
    <comment ref="I39" authorId="0" shapeId="0">
      <text>
        <r>
          <rPr>
            <b/>
            <sz val="9"/>
            <color indexed="81"/>
            <rFont val="Tahoma"/>
            <family val="2"/>
          </rPr>
          <t>dgeltner:</t>
        </r>
        <r>
          <rPr>
            <sz val="9"/>
            <color indexed="81"/>
            <rFont val="Tahoma"/>
            <family val="2"/>
          </rPr>
          <t xml:space="preserve">
You can eliminate any cycle by making its amplitude deterministically always zero. Input here may be overriden by input on the Dashboard sheet.</t>
        </r>
      </text>
    </comment>
    <comment ref="H40" authorId="0" shapeId="0">
      <text>
        <r>
          <rPr>
            <sz val="10"/>
            <color indexed="81"/>
            <rFont val="Tahoma"/>
            <family val="2"/>
          </rPr>
          <t>This models a (possibly somewhat) predictable long-term cycle in the pricing. In fact, there are two cycles, not necessarily in sync, one for the space market (rents) and another separate cycle for the asset market (capital flows), the latter reflected by the cap rate. We model each separately, the space market cycle in this column and the asset market cycle in a column to the right. Cycles are modeled by generalized sine functions governed by the given input period, amplitude, and phase.</t>
        </r>
      </text>
    </comment>
    <comment ref="J40" authorId="0" shapeId="0">
      <text>
        <r>
          <rPr>
            <sz val="10"/>
            <color indexed="81"/>
            <rFont val="Tahoma"/>
            <family val="2"/>
          </rPr>
          <t>Negative of actual cap rate cycle. This makes this cycle directly reflect the asset pricing, as prices are an inverse function of the cap rate. By taking the negative of the actual cap rate, we therefore make it easier to envision the effect on prices.</t>
        </r>
      </text>
    </comment>
    <comment ref="F41" authorId="0" shapeId="0">
      <text>
        <r>
          <rPr>
            <sz val="10"/>
            <color indexed="81"/>
            <rFont val="Tahoma"/>
            <family val="2"/>
          </rPr>
          <t>This is the mean reversion parameter. It determines the strength (or speed) of the mean reversion tendency in the price levels. It is the proportion of the previous period's difference of the price level from the long-term trend price level that will be eliminated in the current price level. This parameter should be between zero and 1, probably not very close to 1. For example, if the previous price level were 1.0, and the long-term trend price level for that period were 1.2, and if the mean reversion parameter were 0.5, then 0.5*(1.2-1.0) = 0.10 will be added to this period's price level.  Input here may be overriden by input on the Dashboard sheet.</t>
        </r>
      </text>
    </comment>
    <comment ref="D42" authorId="0" shapeId="0">
      <text>
        <r>
          <rPr>
            <sz val="10"/>
            <color indexed="81"/>
            <rFont val="Tahoma"/>
            <family val="2"/>
          </rPr>
          <t>This is the realization of uncertainty in the long-run trend growth rate. Here we model this uncertainty with a triangular distribution. Note that the random outcome is generated only once per history. There is only one "long-term trend rate" in the rent growth in any given history. In a Monte Carlo simulation (such as you can do using a Data Table), a new random number would be automatically generated here for each of the (thousands of) "trials" you run. This is so for all of the random number generators in this workbook.</t>
        </r>
      </text>
    </comment>
    <comment ref="R42" authorId="0" shapeId="0">
      <text>
        <r>
          <rPr>
            <sz val="10"/>
            <color indexed="81"/>
            <rFont val="Tahoma"/>
            <family val="2"/>
          </rPr>
          <t>This column keeps track of the year in which a Black Swan event happens. This is simply to be used in the next column, in order to cause the Black Swan effect to dissipate over time.</t>
        </r>
      </text>
    </comment>
    <comment ref="S42" authorId="0" shapeId="0">
      <text>
        <r>
          <rPr>
            <sz val="10"/>
            <color indexed="81"/>
            <rFont val="Tahoma"/>
            <family val="2"/>
          </rPr>
          <t>This column causes the effect of the Black Swan event to dissipate over time, geometrically, at the same mean reversion rate as is applied in general to the rents (entered in co.F).</t>
        </r>
      </text>
    </comment>
    <comment ref="B43" authorId="0" shapeId="0">
      <text>
        <r>
          <rPr>
            <sz val="10"/>
            <color indexed="81"/>
            <rFont val="Tahoma"/>
            <family val="2"/>
          </rPr>
          <t>A (possibly randomly) generated 24-year future history (ex post realizations) is constructed in the range here below, that is, one "scenario". The "History Year" refers to future history, years in the scenario. The various sources &amp; types of uncertainties &amp; price dynamics (and their realizations in each year in a given 24-year history) culminate in the ex post realized values in column "M" (for the space market) and columns "Q" &amp; "T" for the asset market.</t>
        </r>
      </text>
    </comment>
    <comment ref="C44" authorId="0" shapeId="0">
      <text>
        <r>
          <rPr>
            <b/>
            <sz val="9"/>
            <color indexed="81"/>
            <rFont val="Tahoma"/>
            <family val="2"/>
          </rPr>
          <t>dgeltner:</t>
        </r>
        <r>
          <rPr>
            <sz val="9"/>
            <color indexed="81"/>
            <rFont val="Tahoma"/>
            <family val="2"/>
          </rPr>
          <t xml:space="preserve">
This is a triangular distribution. Note that the random outcome is generated only once per history, here in Year 0. There is only one "initial" rent level in a given history. </t>
        </r>
      </text>
    </comment>
    <comment ref="E44" authorId="0" shapeId="0">
      <text>
        <r>
          <rPr>
            <sz val="10"/>
            <color indexed="81"/>
            <rFont val="Tahoma"/>
            <family val="2"/>
          </rPr>
          <t>This is a normal (Gaussian) distribution. Note that volatility is realized (new random increment is generated) in EACH period, so that this "risk" outcome accumulates in the history of rent levels. But this is just the volatility in the innovations. If there is autoregression then that will also affect the annual volatility. Cycles well also affect the average volatility observed  empirically across the scenario.</t>
        </r>
      </text>
    </comment>
    <comment ref="K44" authorId="0" shapeId="0">
      <text>
        <r>
          <rPr>
            <sz val="10"/>
            <color indexed="81"/>
            <rFont val="Tahoma"/>
            <family val="2"/>
          </rPr>
          <t>We're subtracting the cap rate cycle from the long-term mean cap rate, rather than adding it, because we're entering the cap rate cycle negative to the actual cap rate cycle, so that the cycle is up when prices are up and down when prices are down. Recall that the actual cap rate is inversely related to prices (high cap rates ==&gt; low prices &amp; vice versa). It's easier to think about cycles positively.</t>
        </r>
      </text>
    </comment>
    <comment ref="N44" authorId="0" shapeId="0">
      <text>
        <r>
          <rPr>
            <sz val="10"/>
            <color indexed="81"/>
            <rFont val="Tahoma"/>
            <family val="2"/>
          </rPr>
          <t>This is a triangular distribution. Note that a random realization of noise is generated each period, but it is applied to the value LEVELs (not to the returns or increments), hence, noise does not accumulate over time in the levels (unlike volatility). In actuality noise would be "realized" only when/if the asset is sold, or its value is formally estimated. But of course, in principle, an asset sale (or formal value estimation) could take place at any time.</t>
        </r>
      </text>
    </comment>
    <comment ref="D45" authorId="0" shapeId="0">
      <text>
        <r>
          <rPr>
            <sz val="10"/>
            <color indexed="81"/>
            <rFont val="Tahoma"/>
            <family val="2"/>
          </rPr>
          <t>Note that the growth trend is geometric. This makes sense if this rent series will translate via a cap rate to a property asset value series, as asset values cannot be negative.</t>
        </r>
      </text>
    </comment>
    <comment ref="F45" authorId="0" shapeId="0">
      <text>
        <r>
          <rPr>
            <sz val="10"/>
            <color indexed="81"/>
            <rFont val="Tahoma"/>
            <family val="2"/>
          </rPr>
          <t>Here we construct the autoregressive returns.</t>
        </r>
      </text>
    </comment>
    <comment ref="G45" authorId="0" shapeId="0">
      <text>
        <r>
          <rPr>
            <sz val="10"/>
            <color indexed="81"/>
            <rFont val="Tahoma"/>
            <family val="2"/>
          </rPr>
          <t>Here we accumulate the volatility generated in the previous column, also reflecting here the mean reversion tendency.</t>
        </r>
      </text>
    </comment>
    <comment ref="Z54" authorId="0" shapeId="0">
      <text>
        <r>
          <rPr>
            <sz val="10"/>
            <color indexed="81"/>
            <rFont val="Tahoma"/>
            <family val="2"/>
          </rPr>
          <t xml:space="preserve">This will govern the central tendency or deterministic component of the initial rent value. </t>
        </r>
      </text>
    </comment>
    <comment ref="AA54" authorId="0" shapeId="0">
      <text>
        <r>
          <rPr>
            <b/>
            <sz val="10"/>
            <color indexed="81"/>
            <rFont val="Tahoma"/>
            <family val="2"/>
          </rPr>
          <t>dgeltner:</t>
        </r>
        <r>
          <rPr>
            <sz val="10"/>
            <color indexed="81"/>
            <rFont val="Tahoma"/>
            <family val="2"/>
          </rPr>
          <t xml:space="preserve">
The default value here should be 1.00.</t>
        </r>
      </text>
    </comment>
    <comment ref="Z55" authorId="0" shapeId="0">
      <text>
        <r>
          <rPr>
            <sz val="10"/>
            <color indexed="81"/>
            <rFont val="Tahoma"/>
            <family val="2"/>
          </rPr>
          <t>This will govern the central tendency of the long-run growth rate trend that will apply over the entire scenario. As Pricing Factors are only RELATIVE TO the traditional pro-forma which should contain any realistic expected growth, the default value input here should normally be zero in principle. However, in the Base Case we make this incremental trend slightly negative to counteract the effect of "convexity bias" induced by geometric compounding of zero-mean price-change increments in the cash flow Pricing Factors. Ideally for a more representative sample and better "apples-to-apples" comparisons, you want to set this input so that the t-statistic of the InflxPV-ProFormaPV (cell K13) is generally near zero (and almost always &lt; 1.96 in absolute value). You may need to change the LR Trend Mean input as you change other price dynamics input parameter assumptions away from the Base Case assumptions.</t>
        </r>
      </text>
    </comment>
    <comment ref="Z56" authorId="0" shapeId="0">
      <text>
        <r>
          <rPr>
            <sz val="10"/>
            <color indexed="81"/>
            <rFont val="Tahoma"/>
            <family val="2"/>
          </rPr>
          <t>This is for if you want to model uncertainty in the initial rent estimated in the pro-forma. This is half-range of triangular distribution as a proportion of Initial Rent Price Factor (entered above). Typically you wouldn't enter more than 0.05 or 0.1 here, at most. Initial rents should be able to be estimated pretty accurately in the realistic pro-forma, especially for existing buildings.</t>
        </r>
      </text>
    </comment>
    <comment ref="Z57" authorId="0" shapeId="0">
      <text>
        <r>
          <rPr>
            <sz val="10"/>
            <color indexed="81"/>
            <rFont val="Tahoma"/>
            <family val="2"/>
          </rPr>
          <t>This is to model uncertainty in the long-run trend growth rate (that applies throughout the entire scenario. This is a triangular distribution half-range, and should typically be a small value, at most .01 or .02, unless there is great uncertainty in thelong-run average growth rate in the economy (such as perhaps in some emerging market countries), or if one is modeling nominal values and there is great uncertainty about what the future rate of inflation will be (but in such cases it is better to model real values, net of inflation anyway).</t>
        </r>
      </text>
    </comment>
    <comment ref="Z58" authorId="0" shapeId="0">
      <text>
        <r>
          <rPr>
            <sz val="10"/>
            <color indexed="81"/>
            <rFont val="Tahoma"/>
            <family val="2"/>
          </rPr>
          <t>Evidence indicates that in mature markets such as the U.S., real estate market volatility (not including individual building idiosyncratic risk) is on the order of 10%. However, this includes the effect of long-term cycles as well as annual accumulating volatility. If you are modeling an individual stabilized building, then you should probably set this in the range of 10% to 15% (which would reflect some idiosyncratic risk as well as market risk).</t>
        </r>
      </text>
    </comment>
    <comment ref="Z59" authorId="0" shapeId="0">
      <text>
        <r>
          <rPr>
            <sz val="10"/>
            <color indexed="81"/>
            <rFont val="Tahoma"/>
            <family val="2"/>
          </rPr>
          <t>This is the proportion of the current period's return that will be "baked in" reflecting the previous period's return. The greater this parameter (which must be &gt;0 &amp; &lt; 1), the more inertia or momentum the real estate prices will have. Empirical evidence indicates that this should probably be a small positive fraction, perhaps in the neighborhood of 0.2.</t>
        </r>
      </text>
    </comment>
    <comment ref="Z60" authorId="0" shapeId="0">
      <text>
        <r>
          <rPr>
            <sz val="10"/>
            <color indexed="81"/>
            <rFont val="Tahoma"/>
            <family val="2"/>
          </rPr>
          <t>This parameter will also impart inertia or momentum into the real estate prices, but in a special way, pulling the prices back towards the long-run trend level (not including any cycle that is in the price dynamics). This parameter is the proportion of the deviation between the current price level and the long-run trend level that will be reduced in each year. Evidence suggests that a mean reversion rate on the order of 0.1 to 0.4 is probably appropriate, especially for individual properties (as distinct from total market aggregates).</t>
        </r>
      </text>
    </comment>
    <comment ref="Z61" authorId="0" shapeId="0">
      <text>
        <r>
          <rPr>
            <sz val="10"/>
            <color indexed="81"/>
            <rFont val="Tahoma"/>
            <family val="2"/>
          </rPr>
          <t>This is the peak-to-trough full cycle amplitude as a fraction of the mid-cycle level. Historically in the U.S. such cycles in investment property have been as much as 50% or more in some markets in the rental market (including both rent prices &amp; occupancy effect and considering the leverage that fixed operating expenses have on the bottom-line net cash flow). The Pricing Factors in this model apply to net cash flows, not just top-line potential gross rental revenue.</t>
        </r>
      </text>
    </comment>
    <comment ref="Z62" authorId="0" shapeId="0">
      <text>
        <r>
          <rPr>
            <sz val="10"/>
            <color indexed="81"/>
            <rFont val="Tahoma"/>
            <family val="2"/>
          </rPr>
          <t>This is the asset market (capital) cycle, which operates in addition to (but not entirely unrelated to) the rent market cycle. Cap rates may cycle +/- 100 to 200 basis-points.</t>
        </r>
      </text>
    </comment>
    <comment ref="AA62" authorId="0" shapeId="0">
      <text>
        <r>
          <rPr>
            <b/>
            <sz val="10"/>
            <color indexed="81"/>
            <rFont val="Tahoma"/>
            <family val="2"/>
          </rPr>
          <t>dgeltner:</t>
        </r>
        <r>
          <rPr>
            <sz val="10"/>
            <color indexed="81"/>
            <rFont val="Tahoma"/>
            <family val="2"/>
          </rPr>
          <t xml:space="preserve">
This is in cap rate units, so keep in mind the magnitude of the initial cap rate entered on the MktDynamicsInputs sheet. For example, if the initial (base) cap rate entered there is 5.00%, and you enter 2.00% here, then this will mean a cap rate cycle swinging between 4.00% &amp; 6.00%, which corresponds roughly to a property value swing of +/-20% (other things equal).</t>
        </r>
      </text>
    </comment>
    <comment ref="Z63" authorId="0" shapeId="0">
      <text>
        <r>
          <rPr>
            <sz val="10"/>
            <color indexed="81"/>
            <rFont val="Tahoma"/>
            <family val="2"/>
          </rPr>
          <t>If you are agnostic about where the market currently is in the cycle, and you want to simulate all possitilities, then make this input a uniform random variable across the entire length of the cycle period entered in the cell for the cycle period input, below, as in:
=RAND()*RentCyclePeriod
If you think you know where the market currently is in the cycle, then enter a value here as follows:
Mid-cycle headed up: Enter 0.
Peak headed down: Enter (3/4)*(CyclePeriod).
Mid-cycle headed down: Enter (1/2)*(CyclePeriod).
Bottom headed up: Enter (1/4)*CyclePeriod).</t>
        </r>
      </text>
    </comment>
    <comment ref="AA63" authorId="0" shapeId="0">
      <text>
        <r>
          <rPr>
            <b/>
            <sz val="10"/>
            <color indexed="81"/>
            <rFont val="Tahoma"/>
            <family val="2"/>
          </rPr>
          <t>dgeltner:</t>
        </r>
        <r>
          <rPr>
            <sz val="10"/>
            <color indexed="81"/>
            <rFont val="Tahoma"/>
            <family val="2"/>
          </rPr>
          <t xml:space="preserve">
If you are agnostic about where the market currently is in the cycle, and you want to simulate all possitilities, then make this input a uniform random variable across the entire length of the cycle period entered in the cell for the cycle period input, below, as in:
=RAND()*RentCycPeriod
If you think you know where the market currently is in the cycle, then enter a value here as follows:
Mid-cycle headed up: Enter 0.
Peak headed down: Enter (3/4)*(CyclePeriod).
Mid-cycle headed down: Enter (1/2)*(CyclePeriod).
Bottom headed up: Enter (1/4)*CyclePeriod).</t>
        </r>
      </text>
    </comment>
    <comment ref="Z64" authorId="0" shapeId="0">
      <text>
        <r>
          <rPr>
            <sz val="10"/>
            <color indexed="81"/>
            <rFont val="Tahoma"/>
            <family val="2"/>
          </rPr>
          <t>Since we input this cycle as the negative of the actual cap rate cycle, you can think of the phase in the same way as the space market phase. These two cycles are not generally exactly in sync, but they usually are not too far off from each other. Hence, probably makes sense to set this asset market phase equal to the space market phase +/- some random difference that is a pretty small fraction of the cycle period. Remember that peak-to-trough is half period, LR mean to either peak or trough is quarter period. 
E.g.:
=SpaceCyclePhase+(RAND()*CapCyclePeriod/5-CapCyclePeriod/10)
Above would let asset phase differ from space phase by +/- a bit less than a quarter-period (here, a fifth of the asset cycle period).</t>
        </r>
      </text>
    </comment>
    <comment ref="Z65" authorId="0" shapeId="0">
      <text>
        <r>
          <rPr>
            <sz val="10"/>
            <color indexed="81"/>
            <rFont val="Tahoma"/>
            <family val="2"/>
          </rPr>
          <t>In the U.S. the real estate market cycle seems to be in the range of 10 to 20 years. 
E.g.:
=RAND()*10+10
This will randomly generate the cycle period governing each future history to be between 10 and 20 years.</t>
        </r>
      </text>
    </comment>
    <comment ref="Z66" authorId="0" shapeId="0">
      <text>
        <r>
          <rPr>
            <sz val="10"/>
            <color indexed="81"/>
            <rFont val="Tahoma"/>
            <family val="2"/>
          </rPr>
          <t>This  can be randomly different from rent cycle period, but probably not too different, maybe +/- 1 year.
E.g.:
=RentCyclePeriod+(RAND()*2-1)</t>
        </r>
      </text>
    </comment>
    <comment ref="Z67" authorId="0" shapeId="0">
      <text>
        <r>
          <rPr>
            <sz val="10"/>
            <color indexed="81"/>
            <rFont val="Tahoma"/>
            <family val="2"/>
          </rPr>
          <t>This is the non-accumulating (hence, different from "volatility") random price dispersion that occurs whenever transactions take place, due to imperfect knowledge about actual market values in real estate.</t>
        </r>
      </text>
    </comment>
    <comment ref="Z68" authorId="0" shapeId="0">
      <text>
        <r>
          <rPr>
            <sz val="10"/>
            <color indexed="81"/>
            <rFont val="Tahoma"/>
            <family val="2"/>
          </rPr>
          <t>This is the likelihood of a "Black Swan" event occurring in any one year, given that it has not occurred yet in the scenario.</t>
        </r>
      </text>
    </comment>
    <comment ref="Z69" authorId="0" shapeId="0">
      <text>
        <r>
          <rPr>
            <sz val="10"/>
            <color indexed="81"/>
            <rFont val="Tahoma"/>
            <family val="2"/>
          </rPr>
          <t>This should probably be a negative fraction, as "black swans" are usually negative impacts. Perhaps a fraction in the range of -0.2 to -0.4 could be consistent with historical experieince.</t>
        </r>
      </text>
    </comment>
    <comment ref="Z70" authorId="0" shapeId="0">
      <text>
        <r>
          <rPr>
            <sz val="10"/>
            <color indexed="81"/>
            <rFont val="Tahoma"/>
            <family val="2"/>
          </rPr>
          <t>This is the long-run mean cap rate around which the capital market cycle varies, that is, this is the cap rate toward which the market reverts over the cycle. This relates to the reversion (going-out) cap rate that will be applied upon resale.
You can set this so that the inflexible (10yr) reversion will exactly match a pro-forma reversion amount in the Base Case. Just set this as the ratio of the pro-forma Yr11 NOI divided by the pro-forma reversion (gross of selling expenses).
Note that if this long-run cap rate is set to a value much above (below) the going-in cap rate implied by the initial price, then the result will be to tend to favor flexible resale timing later (earlier), so as to mitigate (maximize) the unfavorable (favorable) effect of the yield change between the buy and the sell.
A plausible value for this input would equal the discount rate minus the pro-forma growth rate, plus 100 to 200 basis-points for capital improvements expenditures.</t>
        </r>
      </text>
    </comment>
    <comment ref="Z72" authorId="0" shapeId="0">
      <text>
        <r>
          <rPr>
            <sz val="10"/>
            <color indexed="81"/>
            <rFont val="Tahoma"/>
            <family val="2"/>
          </rPr>
          <t>This is only used as an input to the "RiskPrem/DnSideStdDev" measure of risk-adjusted return for the IRR in the Simulation Results table below.</t>
        </r>
      </text>
    </comment>
    <comment ref="Z73" authorId="0" shapeId="0">
      <text>
        <r>
          <rPr>
            <sz val="10"/>
            <color indexed="81"/>
            <rFont val="Tahoma"/>
            <family val="2"/>
          </rPr>
          <t>This is not used for the holding period covered by the given pro-forma. This growth rate is only used in the Flexible DCF for the periods beyond the original pro-forma, in order to extend the same general type of growth as is given in the pro-forma. This is necessary in order to treat the model-generated Price Factors as essentially "zero-mean" (or unit ratio) differences from the prof-forma's expected cash flows.</t>
        </r>
      </text>
    </comment>
    <comment ref="Z75" authorId="0" shapeId="0">
      <text>
        <r>
          <rPr>
            <sz val="10"/>
            <color indexed="81"/>
            <rFont val="Tahoma"/>
            <family val="2"/>
          </rPr>
          <t>This is an exogenous input by the analyst. May or may not equal the mkt value of the property. If price &lt;&gt; MktVal then NPV&lt;&gt;0. To set this equal to Mkt Value (good default assumption), reference  this value to the PV computed on the ProForma sheet and set the Discount Rate equal to the mkt OCC.</t>
        </r>
      </text>
    </comment>
  </commentList>
</comments>
</file>

<file path=xl/comments2.xml><?xml version="1.0" encoding="utf-8"?>
<comments xmlns="http://schemas.openxmlformats.org/spreadsheetml/2006/main">
  <authors>
    <author>saurabh</author>
    <author>dgeltner</author>
  </authors>
  <commentList>
    <comment ref="D20" authorId="0" shapeId="0">
      <text>
        <r>
          <rPr>
            <sz val="10"/>
            <color indexed="81"/>
            <rFont val="Tahoma"/>
            <family val="2"/>
          </rPr>
          <t>We use the Excel ISERROR() function to identify scanarios in which Excel cannot compute the IRR, causing the Excel IRR() function to return an "error" flag. To obtain statistical results in our Monte Carlo simulation, we need to have numerical values for all scenarios. Therefore, if Excel cannot compute the IRR, we substitute the numerical value "-50%" for the value in this cell, in effect, treating the IRR as if it were -50%, This is an accommodation based on experiment. Usually when Excel cannot compute an IRR in a real estate project it occurs in scenarios in which the project is doing very poorly. An IRR of -50% often corresponds well to the IRRs of other scenarios with similar NPVs in which the IRR can be computed.</t>
        </r>
      </text>
    </comment>
    <comment ref="B22" authorId="1" shapeId="0">
      <text>
        <r>
          <rPr>
            <sz val="10"/>
            <color indexed="81"/>
            <rFont val="Tahoma"/>
            <family val="2"/>
          </rPr>
          <t>These will be used in the ex post worksheets (green tabs to right) that implement the simulation model. These factors are used as a simplification device in the simulated ex post cash flows, in order to preserve the relative values of the cash flow components as a proportion of the Base Rental Revenue. As a simplification, this model reflects all future real estate market uncertainty and price dynamics as multiplicative Pricing Factors times the Base Rental Revenue provided in the (realistic) traditional pro-forma. Therefore, in order to carry through the effect of the Pricing Factor realizations to the net cash flow, we preserve the original relationship between the Base Rental Revenue and the cash flow components in the traditional pro-forma. Given that the cash flow pro forma is assumed to be unbiased, the Pricing Factor distributions are generally approximately "zero mean" (ratio 1.0).</t>
        </r>
      </text>
    </comment>
  </commentList>
</comments>
</file>

<file path=xl/comments3.xml><?xml version="1.0" encoding="utf-8"?>
<comments xmlns="http://schemas.openxmlformats.org/spreadsheetml/2006/main">
  <authors>
    <author>Eric Mo</author>
    <author>dgeltner</author>
  </authors>
  <commentList>
    <comment ref="A2" authorId="0" shapeId="0">
      <text>
        <r>
          <rPr>
            <sz val="10"/>
            <color indexed="81"/>
            <rFont val="Tahoma"/>
            <family val="2"/>
          </rPr>
          <t>There are three parts to this worksheet. The blue-background box at top tracing out a 10-year history presents the scenario realized Pricing Factors. The green background section below that is the reulting cash flows and DCF valuation corresponding to the cash flow scenario reflecting the last Recalculation of the workbook. The bottom portion of this workbook is a presentation of the original ex ante pro-forma DCF.</t>
        </r>
      </text>
    </comment>
    <comment ref="B3" authorId="1" shapeId="0">
      <text>
        <r>
          <rPr>
            <sz val="10"/>
            <color indexed="81"/>
            <rFont val="Tahoma"/>
            <family val="2"/>
          </rPr>
          <t>The "Price Factors" are how we represent the realization of relevant real estate pricing dynamics and random uncertainty in the "future history" (scenario). The Price Factors are generated on the DynamicsInputs sheet from all the uncertainty and dynamics parameters entered on that sheet. Here we take the price factors from the appropriate columns of the DynamicsInputs sheet.</t>
        </r>
      </text>
    </comment>
    <comment ref="D19" authorId="1" shapeId="0">
      <text>
        <r>
          <rPr>
            <sz val="10"/>
            <color indexed="81"/>
            <rFont val="Tahoma"/>
            <family val="2"/>
          </rPr>
          <t>We use the Excel ISERROR() function to identify scanarios in which Excel cannot compute the IRR, causing the Excel IRR() function to return an "error" flag. To obtain statistical results in our Monte Carlo simulation, we need to have numerical values for all scenarios. Therefore, if Excel cannot compute the IRR, we substitute the numerical value "-50%" for the value in this cell, in effect, treating the IRR as if it were -50%, This is an accommodation based on experiment. Usually when Excel cannot compute an IRR in a real estate project it occurs in scenarios in which the project is doing very poorly. An IRR of -50% often corresponds well to the IRRs of other scenarios with similar NPVs in which the IRR can be computed.</t>
        </r>
      </text>
    </comment>
    <comment ref="B21" authorId="1" shapeId="0">
      <text>
        <r>
          <rPr>
            <sz val="10"/>
            <color indexed="81"/>
            <rFont val="Tahoma"/>
            <family val="2"/>
          </rPr>
          <t>Operating cash flow only not counting reversion. This is to indicate the relative favorability of the scenario outcomes in terms of the real estate space market, the fundamental economic basis of the property value.</t>
        </r>
      </text>
    </comment>
  </commentList>
</comments>
</file>

<file path=xl/comments4.xml><?xml version="1.0" encoding="utf-8"?>
<comments xmlns="http://schemas.openxmlformats.org/spreadsheetml/2006/main">
  <authors>
    <author>dgeltner</author>
  </authors>
  <commentList>
    <comment ref="A1" authorId="0" shapeId="0">
      <text>
        <r>
          <rPr>
            <b/>
            <sz val="9"/>
            <color indexed="81"/>
            <rFont val="Tahoma"/>
            <family val="2"/>
          </rPr>
          <t>dgeltner:</t>
        </r>
        <r>
          <rPr>
            <sz val="9"/>
            <color indexed="81"/>
            <rFont val="Tahoma"/>
            <family val="2"/>
          </rPr>
          <t xml:space="preserve">
This sheet allows you to play around with the compound sine function to see how to create various asymmetrical cycle shapes.</t>
        </r>
      </text>
    </comment>
    <comment ref="C2" authorId="0" shapeId="0">
      <text>
        <r>
          <rPr>
            <b/>
            <sz val="9"/>
            <color indexed="81"/>
            <rFont val="Tahoma"/>
            <family val="2"/>
          </rPr>
          <t>dgeltner:</t>
        </r>
        <r>
          <rPr>
            <sz val="9"/>
            <color indexed="81"/>
            <rFont val="Tahoma"/>
            <family val="2"/>
          </rPr>
          <t xml:space="preserve">
This needs to be the same as OuterPeriod</t>
        </r>
      </text>
    </comment>
    <comment ref="C3" authorId="0" shapeId="0">
      <text>
        <r>
          <rPr>
            <b/>
            <sz val="9"/>
            <color indexed="81"/>
            <rFont val="Tahoma"/>
            <family val="2"/>
          </rPr>
          <t>dgeltner:</t>
        </r>
        <r>
          <rPr>
            <sz val="9"/>
            <color indexed="81"/>
            <rFont val="Tahoma"/>
            <family val="2"/>
          </rPr>
          <t xml:space="preserve">
This needs to be a small fraction (say around 1/10) of the period. Less than that will produce very little asymmetry in the cycle. More than that will produce a more complex cycle with a pause or dip in the up-market. The larger is this fraction of the period, the quicker the downturn relative to the up-market.</t>
        </r>
      </text>
    </comment>
    <comment ref="B4" authorId="0" shapeId="0">
      <text>
        <r>
          <rPr>
            <b/>
            <sz val="9"/>
            <color indexed="81"/>
            <rFont val="Tahoma"/>
            <family val="2"/>
          </rPr>
          <t>dgeltner:</t>
        </r>
        <r>
          <rPr>
            <sz val="9"/>
            <color indexed="81"/>
            <rFont val="Tahoma"/>
            <family val="2"/>
          </rPr>
          <t xml:space="preserve">
As a fraction of the period, roughly (but thrown off a bit by the inner wave):
1 (or 0) ==&gt; Mid-cycle headed up.
3/4 ==&gt; Peak headed down.
 1/2 ==&gt; Mid-cycle headed down.
1/4 ==&gt; Bottom headed up.</t>
        </r>
      </text>
    </comment>
    <comment ref="C4" authorId="0" shapeId="0">
      <text>
        <r>
          <rPr>
            <b/>
            <sz val="9"/>
            <color indexed="81"/>
            <rFont val="Tahoma"/>
            <family val="2"/>
          </rPr>
          <t>dgeltner:</t>
        </r>
        <r>
          <rPr>
            <sz val="9"/>
            <color indexed="81"/>
            <rFont val="Tahoma"/>
            <family val="2"/>
          </rPr>
          <t xml:space="preserve">
This needs to be the same as the InnerPhase</t>
        </r>
      </text>
    </comment>
    <comment ref="C5" authorId="0" shapeId="0">
      <text>
        <r>
          <rPr>
            <b/>
            <sz val="9"/>
            <color indexed="81"/>
            <rFont val="Tahoma"/>
            <family val="2"/>
          </rPr>
          <t>dgeltner:</t>
        </r>
        <r>
          <rPr>
            <sz val="9"/>
            <color indexed="81"/>
            <rFont val="Tahoma"/>
            <family val="2"/>
          </rPr>
          <t xml:space="preserve">
This should be left at zero, or dropped from the formula, as it is redundant with the phase.</t>
        </r>
      </text>
    </comment>
  </commentList>
</comments>
</file>

<file path=xl/sharedStrings.xml><?xml version="1.0" encoding="utf-8"?>
<sst xmlns="http://schemas.openxmlformats.org/spreadsheetml/2006/main" count="221" uniqueCount="150">
  <si>
    <t>Cumulative</t>
  </si>
  <si>
    <t>GF1_rK0qDwEACACyAAwjACYAOQBRAFoAWwBnAHMAkAApAKwALQD//wAAAAABAQEAAQQAAAAAAjAlAAAAARJCZW5nYWwgU2hyYWNoaSBwY3QBAAEBBQABAAEDAQEA/wEBAQEBAAEBAQACAAEBAQEBAAEBAQACAAF3AAAXABBVbmlmb3JtKDAuMywwLjQpAAAlAQIAmACiAAEBAgGamZmZmZmpPwAAZmZmZmZm7j8AAAUAAQEBAA==</t>
  </si>
  <si>
    <t>GF1_rK0qDwEACAC2AAwjACYAOQBRAFoAWwBnAHMAlAApALAALQD//wAAAAABAQEAAQQAAAAAAjAlAAAAARJJUlIgb2YgdGhlIHByb2plY3QBAAEBBQABAAEDAQEA/wEBAQEBAAEBAQACAAEBAQEBAAEBAQACAAF3AAIZABJJUlIgb2YgdGhlIHByb2plY3QAAC8BAgACAJwApgABAQIBmpmZmZmZqT8AAGZmZmZmZu4/AAAFAAEBAQA=</t>
  </si>
  <si>
    <t>&gt;75%</t>
  </si>
  <si>
    <t>&lt;25%</t>
  </si>
  <si>
    <t>&gt;90%</t>
  </si>
  <si>
    <t>GF1_rK0qDwEACADeAAwjACYAOQBUAF0AXgBqAHYAvAApANgALQD//wAEAAABAQEAAQQAAAAAAjAlAAAAARVJUlIgb2YgdGhlIHByb2plY3QgREYBAAEBBQABAAEDAQEA/wEBAQEBAAEBAQACAAEBAQEBAAEBAQACAAJ9AAKdAAIcABVJUlIgb2YgdGhlIHByb2plY3QgREYAAC8BAgACABsAFElSUiBvZiB0aGUgcHJvamVjdCBNAAElAQIAAgDEAM4AAQECAZqZmZmZmak/AABmZmZmZmbuPwAABQABAQEA</t>
  </si>
  <si>
    <t>GF1_Z0CmcQEACACZAAwjACYAMgAAAGQAZQCCAI4AAAAAAAAAKAD//wABEAEEAAAAAAAAAAABFUlSUiBvZiB0aGUgcHJvamVjdCBERgEXUmVncmVzc2lvbiBDb2VmZmljaWVudHMBAf8BAQEBARFDb2VmZmljaWVudCBWYWx1ZQEBAQACAAEBAQABAAEBAQACAAGSAAMHAAAAAC8B_x0001_0~0~&gt;75%~&lt;25%~&gt;90%</t>
  </si>
  <si>
    <t>GF1_rK0qDwEACADdAAwjACYAOQBTAFwAXQBpAHUAuwApANcALQD//wAEAAABAQEAAQQAAAAAAjAlAAAAARRJUlIgb2YgdGhlIHByb2plY3QgTQEAAQEFAAEAAQMBAQD/AQEBAQEAAQEBAAIAAQEBAQEAAQEBAAIAAnwAApsAAhsAFElSUiBvZiB0aGUgcHJvamVjdCBNAAAvAQIAAgAcABVJUlIgb2YgdGhlIHByb2plY3QgREYBASUBAgACAMMAzQABAQIBmpmZmZmZqT8AAGZmZmZmZu4/AAAFAAEBAQA=</t>
  </si>
  <si>
    <t>GF1_rK0qDwEACADcAAwjACYAOQBUAF0AXgBqAHYAugApANYALQD//wAEAAABAQEAAQQAAAAAAjAlAAAAARVJUlIgb2YgdGhlIHByb2plY3QgREYBAAEBBQABAAEDAQEA/wEBAQEBAAEBAQACAAEBAQEBAAEBAQACAAJ9AAKdAAIcABVJUlIgb2YgdGhlIHByb2plY3QgREYAAC8BAgACABkAEklSUiBvZiB0aGUgcHJvamVjdAEBJQECAAIAwgDMAAEBAgGamZmZmZmpPwAAZmZmZmZm7j8AAAUAAQEBAA==</t>
  </si>
  <si>
    <t>GF1_rK0qDwEACADnAAwjACYAOQBRAFoAWwBnAHMAxQApAOEALQD//wAEAAABAQEAAQQAAAAAAjAlAAAAARJJUlIgb2YgdGhlIHByb2plY3QBAAEBBQABAAEDAQEA/wEBAQEBAAEBAQACAAEBAQEBAAEBAQACAAN9AAKaAAKvAAIZABJJUlIgb2YgdGhlIHByb2plY3QAAC8BAgACABEACklSUiBYYW5kZXIBASUBAgACABIAC0lSUiBTaHJhY2hpAAJPAQIAAgDNANcAAQECAZqZmZmZmak/AABmZmZmZmbuPwAABQABAQEA</t>
  </si>
  <si>
    <t>GF1_Z0CmcQEACACOAAwjACYAMgAAAFkAWgB3AIMAAAAAAAAAKAD//wABEAEEAAAAAAAAAAABCklSUiBYYW5kZXIBF1JlZ3Jlc3Npb24gQ29lZmZpY2llbnRzAQH/AQEBAQERQ29lZmZpY2llbnQgVmFsdWUBAQEAAgABAQEAAQABAQEAAgABhwADBwAAAAAvAQ==_x0001_0~0~&gt;75%~&lt;25%~&gt;90%</t>
  </si>
  <si>
    <t>GF1_Z0CmcQEACACRAAwjACYAMgAAAFwAXQB6AIYAAAAAAAAAKAD//wABEAEEAAAAAAAAAAABDUlSUiBTaHJhY2hpIE0BF1JlZ3Jlc3Npb24gQ29lZmZpY2llbnRzAQH/AQEBAQERQ29lZmZpY2llbnQgVmFsdWUBAQEAAgABAQEAAQABAQEAAgABigADBwAAAAAvAQ==_x0001_0~0~&gt;75%~&lt;25%~&gt;90%</t>
  </si>
  <si>
    <t>GF1_rK0qDwEACAAjAQwjACYAOQBUAF0AXgBqAHYAAQEpAB0BLQD//wAEAAABAQEAAQQAAAAAAjAlAAAAARVJUlIgb2YgdGhlIHByb2plY3QgREYBAAEBBQABAAEDAQEA/wEBAQEBAAEBAQACAAEBAQEBAAEBAQACAASDAAKjAALCAALiAAIcABVJUlIgb2YgdGhlIHByb2plY3QgREYAAC8BAgACABsAFElSUiBvZiB0aGUgcHJvamVjdCBNAQElAQIAAgAcABVJUlIgb2YgdGhlIHByb2plY3QgREYBAk8BAgACABsAFElSUiBvZiB0aGUgcHJvamVjdCBNAAOMAQIAAgAJARMBAQECAZqZmZmZmak/AABmZmZmZmbuPwAABQABAQEA</t>
  </si>
  <si>
    <t>GF1_rK0qDwEACAA3AQwjACYAOwBPAFgAWQBlAHEAFQEpADEBLQD//wAEAAABAQEAAQQAAAAABDAuMCUAAAABDklSUiBTaHJhY2hpIERGAQABAQUAAQABAwEBAP8BAQEBAQABAQEAAgABAQEBAQABAQEAAgAGhAACnQACtQACzgAC5AAC/QACFQAOSVJSIFNocmFjaGkgREYAAC8BAgACABQADUlSUiBTaHJhY2hpIE0BASUBAgACABUADklSUiBTaHJhY2hpIERGAQJPAQIAAgASAAtJUlIgU2hyYWNoaQEDjAECAAIAFQAOSVJSIFNocmFjaGkgREYBBEwBAgACABQADUlSUiBTaHJhY2hpIE0BBTkBAgACAB0BJwEBAQIBmpmZmZmZqT8AAGZmZmZmZu4/AAAFAAEBAQA=</t>
  </si>
  <si>
    <t>Black Swan</t>
  </si>
  <si>
    <t>Noise</t>
  </si>
  <si>
    <t>Event</t>
  </si>
  <si>
    <t xml:space="preserve">Mean </t>
  </si>
  <si>
    <t>Black Swan Effect</t>
  </si>
  <si>
    <t>Totals</t>
  </si>
  <si>
    <t>Auto Regression</t>
  </si>
  <si>
    <t>Period for Full Cycle (Years)</t>
  </si>
  <si>
    <t>Amplitude (Peak-to-Trough)</t>
  </si>
  <si>
    <t>Phase (Years)</t>
  </si>
  <si>
    <t>Half-Range (+/-)</t>
  </si>
  <si>
    <t>Initial Price Factor</t>
  </si>
  <si>
    <t>History Year</t>
  </si>
  <si>
    <t>Probability (each year)</t>
  </si>
  <si>
    <t>Market Dynamics Inputs</t>
  </si>
  <si>
    <t>Volatility/Year</t>
  </si>
  <si>
    <t>Trend/Year Half Range</t>
  </si>
  <si>
    <t>Noise (Half Range)</t>
  </si>
  <si>
    <t>Black Swan Probability</t>
  </si>
  <si>
    <t>UNCERTAINTY AND DYNAMICS INPUTS</t>
  </si>
  <si>
    <t>Trend/Year</t>
  </si>
  <si>
    <t>Impact (one-time)</t>
  </si>
  <si>
    <t>Autoregressive Retrns Parameter</t>
  </si>
  <si>
    <t>Rent Cycle Phase</t>
  </si>
  <si>
    <t>Cap Rate Cycle Phase</t>
  </si>
  <si>
    <t>Cap Rate Cycle Period</t>
  </si>
  <si>
    <t>Cap Rate Cycle Amplitude</t>
  </si>
  <si>
    <t>Rent Cycle Amplitude</t>
  </si>
  <si>
    <t>Cycle</t>
  </si>
  <si>
    <t>Cap Rate</t>
  </si>
  <si>
    <t>Volatility/
Year</t>
  </si>
  <si>
    <t>AR Retrns</t>
  </si>
  <si>
    <t>Rent Cycle Period</t>
  </si>
  <si>
    <t>Effective Gross Income</t>
  </si>
  <si>
    <t>Operating Expenses</t>
  </si>
  <si>
    <t>Expected Cash Flows</t>
  </si>
  <si>
    <t>Example Future Scenario With Fixed 10-yr Resale Timing</t>
  </si>
  <si>
    <t>Holding Period (ex post)</t>
  </si>
  <si>
    <t>Average annual cash flow</t>
  </si>
  <si>
    <t>Holding Period (ex ante)</t>
  </si>
  <si>
    <t xml:space="preserve">Time 0 PV @ OCC </t>
  </si>
  <si>
    <t>Projected IRR @ Mkt Val Price</t>
  </si>
  <si>
    <t>Input pricing dynamics parameters for modeling the future history of the real estate market.</t>
  </si>
  <si>
    <t>Cyclicality</t>
  </si>
  <si>
    <t>Rental Mkt Price Dynamics</t>
  </si>
  <si>
    <t>Capital Mkt Price Dynamics</t>
  </si>
  <si>
    <t>Innovations</t>
  </si>
  <si>
    <t>Returns</t>
  </si>
  <si>
    <t>Levels</t>
  </si>
  <si>
    <t>Space Mkt</t>
  </si>
  <si>
    <t>Asset Mkt</t>
  </si>
  <si>
    <t>Init Rent</t>
  </si>
  <si>
    <t>NoisyVal</t>
  </si>
  <si>
    <t>Historical Val</t>
  </si>
  <si>
    <t>Recalculate (F9) to see effect of inputs on typical scenario.</t>
  </si>
  <si>
    <t>Initial Rent Half Range</t>
  </si>
  <si>
    <t>Pro-forma Growth Rate</t>
  </si>
  <si>
    <t>Discount Rate for PV</t>
  </si>
  <si>
    <t>Mean Reversion Parameter</t>
  </si>
  <si>
    <t>Asset Cycle</t>
  </si>
  <si>
    <t>Implied Reversion Cap Rate</t>
  </si>
  <si>
    <t>Yr of Blk Swn</t>
  </si>
  <si>
    <t>MnRevrsn</t>
  </si>
  <si>
    <t>Volatility</t>
  </si>
  <si>
    <t>AC1</t>
  </si>
  <si>
    <t>Riskfree Rate</t>
  </si>
  <si>
    <t>Mean 24y</t>
  </si>
  <si>
    <t>Mean 10y</t>
  </si>
  <si>
    <t>Gmean 10y</t>
  </si>
  <si>
    <t>Gmean 24y</t>
  </si>
  <si>
    <t>Selling Expense</t>
  </si>
  <si>
    <t>Projected Operations (Realistic Assumptions):</t>
  </si>
  <si>
    <t>Ex Ante Pro-forma Cash Flow Projection</t>
  </si>
  <si>
    <t>Totals:</t>
  </si>
  <si>
    <t>Space Market (Cash Flows During Hold)</t>
  </si>
  <si>
    <t>Asset Market (Cap Rate for Reversion)</t>
  </si>
  <si>
    <t>Expected Cash Flows:</t>
  </si>
  <si>
    <t>Mean Reversion Cap Rate</t>
  </si>
  <si>
    <t>LR Trend Mean</t>
  </si>
  <si>
    <t>Initial Price Factor Base</t>
  </si>
  <si>
    <t>Given Property Price</t>
  </si>
  <si>
    <t>Projected IRR @ Price=ProForma PV</t>
  </si>
  <si>
    <t>Realized IRR @ Given Price</t>
  </si>
  <si>
    <r>
      <t xml:space="preserve">Template for various components of uncertainty and pricing dynamics for real estate space market &amp; asset market prices. </t>
    </r>
    <r>
      <rPr>
        <b/>
        <sz val="11"/>
        <color theme="3"/>
        <rFont val="Calibri"/>
        <family val="2"/>
        <scheme val="minor"/>
      </rPr>
      <t/>
    </r>
  </si>
  <si>
    <t>Returns Series Stats</t>
  </si>
  <si>
    <t>Asset True Value</t>
  </si>
  <si>
    <t>Space Mkt Price Factors</t>
  </si>
  <si>
    <t>Ex post realizations including uncertainty (variable price factors).</t>
  </si>
  <si>
    <t>= Percentage Difference of Scenario PV Minus Pro-forma PV</t>
  </si>
  <si>
    <t>= Difference of Scenario IRR minus Pro-forma IRR</t>
  </si>
  <si>
    <t>Potential Gross Income</t>
  </si>
  <si>
    <t>Vacancy Allowance</t>
  </si>
  <si>
    <t>Net Operating Income</t>
  </si>
  <si>
    <t>Capital Improvement Expenditures</t>
  </si>
  <si>
    <t>Net Cash Flow from Operations</t>
  </si>
  <si>
    <t xml:space="preserve">Reversion </t>
  </si>
  <si>
    <t>Sale Horizon Year Cash Flow (inclu Reversion)</t>
  </si>
  <si>
    <t>Fixed Multiplicative Factors From Original Pro-forma, keyed off PGI:</t>
  </si>
  <si>
    <t>r=</t>
  </si>
  <si>
    <t>g=</t>
  </si>
  <si>
    <t>v=</t>
  </si>
  <si>
    <t>ER=</t>
  </si>
  <si>
    <t>ci=</t>
  </si>
  <si>
    <t>y=</t>
  </si>
  <si>
    <t>P=</t>
  </si>
  <si>
    <t>InitCF=</t>
  </si>
  <si>
    <r>
      <t>Potential Gross Income (</t>
    </r>
    <r>
      <rPr>
        <b/>
        <sz val="11"/>
        <color theme="1"/>
        <rFont val="Calibri"/>
        <family val="2"/>
        <scheme val="minor"/>
      </rPr>
      <t>PGI</t>
    </r>
    <r>
      <rPr>
        <sz val="11"/>
        <color theme="1"/>
        <rFont val="Calibri"/>
        <family val="2"/>
        <scheme val="minor"/>
      </rPr>
      <t>)</t>
    </r>
  </si>
  <si>
    <r>
      <t>Net Operating Income (</t>
    </r>
    <r>
      <rPr>
        <b/>
        <sz val="11"/>
        <color theme="1"/>
        <rFont val="Calibri"/>
        <family val="2"/>
        <scheme val="minor"/>
      </rPr>
      <t>NOI</t>
    </r>
    <r>
      <rPr>
        <sz val="11"/>
        <color theme="1"/>
        <rFont val="Calibri"/>
        <family val="2"/>
        <scheme val="minor"/>
      </rPr>
      <t>)</t>
    </r>
  </si>
  <si>
    <t>PBTCF from Reversion</t>
  </si>
  <si>
    <t>PBTCF Total (Including Reversion)</t>
  </si>
  <si>
    <t>Scenario Ex Post Cash Flows</t>
  </si>
  <si>
    <t>Example Simple Rental Property</t>
  </si>
  <si>
    <r>
      <t xml:space="preserve">Effective Gross Income </t>
    </r>
    <r>
      <rPr>
        <b/>
        <sz val="11"/>
        <color theme="1"/>
        <rFont val="Calibri"/>
        <family val="2"/>
        <scheme val="minor"/>
      </rPr>
      <t>(EGI)</t>
    </r>
  </si>
  <si>
    <r>
      <t xml:space="preserve">Net Cash Flow from Operations </t>
    </r>
    <r>
      <rPr>
        <b/>
        <sz val="11"/>
        <color theme="1"/>
        <rFont val="Calibri"/>
        <family val="2"/>
        <scheme val="minor"/>
      </rPr>
      <t>(PBTCF)</t>
    </r>
  </si>
  <si>
    <r>
      <t xml:space="preserve">Net Operating Income </t>
    </r>
    <r>
      <rPr>
        <b/>
        <sz val="11"/>
        <color theme="1"/>
        <rFont val="Calibri"/>
        <family val="2"/>
        <scheme val="minor"/>
      </rPr>
      <t>(NOI)</t>
    </r>
  </si>
  <si>
    <t>Assumptions</t>
  </si>
  <si>
    <r>
      <t xml:space="preserve">Note: These are factors that combine multiplicatively with the pro-forma cash flows, i.e., are effects only relative to the pro-forma. Some cells set to take input from the </t>
    </r>
    <r>
      <rPr>
        <b/>
        <sz val="11"/>
        <color theme="9"/>
        <rFont val="Calibri"/>
        <family val="2"/>
        <scheme val="minor"/>
      </rPr>
      <t>OptionAnalysisDashboard</t>
    </r>
    <r>
      <rPr>
        <sz val="11"/>
        <color theme="1" tint="0.499984740745262"/>
        <rFont val="Calibri"/>
        <family val="2"/>
        <scheme val="minor"/>
      </rPr>
      <t xml:space="preserve"> sheet.</t>
    </r>
    <r>
      <rPr>
        <b/>
        <sz val="11"/>
        <color theme="1" tint="0.499984740745262"/>
        <rFont val="Calibri"/>
        <family val="2"/>
        <scheme val="minor"/>
      </rPr>
      <t xml:space="preserve"> Enter input in </t>
    </r>
    <r>
      <rPr>
        <b/>
        <sz val="11"/>
        <color rgb="FF3333FF"/>
        <rFont val="Calibri"/>
        <family val="2"/>
        <scheme val="minor"/>
      </rPr>
      <t>BLUE</t>
    </r>
    <r>
      <rPr>
        <b/>
        <sz val="11"/>
        <color theme="1" tint="0.499984740745262"/>
        <rFont val="Calibri"/>
        <family val="2"/>
        <scheme val="minor"/>
      </rPr>
      <t xml:space="preserve"> cells only!</t>
    </r>
  </si>
  <si>
    <t>Orange values entered on Dashboard sheet.</t>
  </si>
  <si>
    <t>We assume this cash flow projection is unbiased expectations (any "rose-tinting" has been corrected)...</t>
  </si>
  <si>
    <t>PRICING FACTORS</t>
  </si>
  <si>
    <t>BASE CASE INPUTS</t>
  </si>
  <si>
    <t>Time</t>
  </si>
  <si>
    <t>Amplitude</t>
  </si>
  <si>
    <t>Period</t>
  </si>
  <si>
    <t>Phase</t>
  </si>
  <si>
    <t>OuterSin</t>
  </si>
  <si>
    <t>BaseTime</t>
  </si>
  <si>
    <t>InnerSin</t>
  </si>
  <si>
    <t>WaveCyc1</t>
  </si>
  <si>
    <t>TimeScale</t>
  </si>
  <si>
    <t>SpSine1</t>
  </si>
  <si>
    <t>SpSine2</t>
  </si>
  <si>
    <t>CapSine1</t>
  </si>
  <si>
    <t>CapSine2</t>
  </si>
  <si>
    <t>InnerAmpFraction==&gt;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</si>
</sst>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5" formatCode="&quot;$&quot;#,##0_);\(&quot;$&quot;#,##0\)"/>
    <numFmt numFmtId="41" formatCode="_(* #,##0_);_(* \(#,##0\);_(* &quot;-&quot;_);_(@_)"/>
    <numFmt numFmtId="44" formatCode="_(&quot;$&quot;* #,##0.00_);_(&quot;$&quot;* \(#,##0.00\);_(&quot;$&quot;* &quot;-&quot;??_);_(@_)"/>
    <numFmt numFmtId="43" formatCode="_(* #,##0.00_);_(* \(#,##0.00\);_(* &quot;-&quot;??_);_(@_)"/>
    <numFmt numFmtId="164" formatCode="0.0"/>
    <numFmt numFmtId="165" formatCode="0.0%"/>
    <numFmt numFmtId="166" formatCode="General_)"/>
    <numFmt numFmtId="167" formatCode="0.0000"/>
    <numFmt numFmtId="168" formatCode="&quot;$&quot;#,##0.00"/>
    <numFmt numFmtId="169" formatCode="0.000"/>
    <numFmt numFmtId="170" formatCode="&quot;$&quot;#,##0.000_);\(&quot;$&quot;#,##0.000\)"/>
    <numFmt numFmtId="171" formatCode="#,##0_ ;[Red]\-#,##0\ "/>
    <numFmt numFmtId="172" formatCode="&quot;Year&quot;\ General"/>
    <numFmt numFmtId="173" formatCode="#,##0.0"/>
    <numFmt numFmtId="174" formatCode="#,##0.00000"/>
    <numFmt numFmtId="175" formatCode="&quot;$&quot;#,##0"/>
    <numFmt numFmtId="176" formatCode="#,##0.0000_);\(#,##0.0000\)"/>
    <numFmt numFmtId="177" formatCode="0_);\(0\)"/>
    <numFmt numFmtId="178" formatCode="#,##0.00000_);[Red]\(#,##0.00000\)"/>
    <numFmt numFmtId="179" formatCode="&quot;@ &quot;0%"/>
    <numFmt numFmtId="180" formatCode="#,##0.000_);[Red]\(#,##0.000\)"/>
    <numFmt numFmtId="181" formatCode="#,##0.00000_);\(#,##0.00000\)"/>
    <numFmt numFmtId="182" formatCode="0.00000_);\(0.00000\)"/>
  </numFmts>
  <fonts count="64">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u/>
      <sz val="11"/>
      <color theme="1"/>
      <name val="Calibri"/>
      <family val="2"/>
    </font>
    <font>
      <b/>
      <sz val="11"/>
      <color theme="1"/>
      <name val="Calibri"/>
      <family val="2"/>
    </font>
    <font>
      <sz val="11"/>
      <name val="Calibri"/>
      <family val="2"/>
    </font>
    <font>
      <sz val="12"/>
      <name val="Arial MT"/>
      <family val="2"/>
    </font>
    <font>
      <sz val="10"/>
      <name val="Arial"/>
      <family val="2"/>
    </font>
    <font>
      <sz val="11"/>
      <color rgb="FF3333FF"/>
      <name val="Calibri"/>
      <family val="2"/>
      <scheme val="minor"/>
    </font>
    <font>
      <sz val="11"/>
      <name val="Calibri"/>
      <family val="2"/>
      <scheme val="minor"/>
    </font>
    <font>
      <b/>
      <sz val="11"/>
      <name val="Calibri"/>
      <family val="2"/>
      <scheme val="minor"/>
    </font>
    <font>
      <sz val="11"/>
      <color rgb="FF000000"/>
      <name val="Calibri"/>
      <family val="2"/>
    </font>
    <font>
      <sz val="12"/>
      <name val="宋体"/>
      <charset val="134"/>
    </font>
    <font>
      <u/>
      <sz val="11"/>
      <color theme="10"/>
      <name val="Calibri"/>
      <family val="2"/>
    </font>
    <font>
      <u/>
      <sz val="11"/>
      <color theme="11"/>
      <name val="Calibri"/>
      <family val="2"/>
    </font>
    <font>
      <b/>
      <sz val="11"/>
      <color theme="0"/>
      <name val="Calibri"/>
      <family val="2"/>
      <scheme val="minor"/>
    </font>
    <font>
      <b/>
      <sz val="18"/>
      <name val="Calibri"/>
      <family val="2"/>
      <scheme val="minor"/>
    </font>
    <font>
      <sz val="11"/>
      <color theme="1" tint="0.499984740745262"/>
      <name val="Calibri"/>
      <family val="2"/>
      <scheme val="minor"/>
    </font>
    <font>
      <sz val="11"/>
      <color theme="8" tint="-0.499984740745262"/>
      <name val="Calibri"/>
      <family val="2"/>
      <scheme val="minor"/>
    </font>
    <font>
      <b/>
      <sz val="11"/>
      <color rgb="FF3333FF"/>
      <name val="Calibri"/>
      <family val="2"/>
      <scheme val="minor"/>
    </font>
    <font>
      <b/>
      <sz val="11"/>
      <color theme="0"/>
      <name val="Calibri"/>
      <family val="2"/>
    </font>
    <font>
      <sz val="11"/>
      <color theme="8" tint="-0.499984740745262"/>
      <name val="Calibri"/>
      <family val="2"/>
    </font>
    <font>
      <b/>
      <sz val="11"/>
      <color theme="5" tint="-0.499984740745262"/>
      <name val="Calibri"/>
      <family val="2"/>
    </font>
    <font>
      <sz val="11"/>
      <color theme="5" tint="-0.499984740745262"/>
      <name val="Calibri"/>
      <family val="2"/>
    </font>
    <font>
      <sz val="11"/>
      <color theme="5" tint="-0.499984740745262"/>
      <name val="Calibri"/>
      <family val="2"/>
      <scheme val="minor"/>
    </font>
    <font>
      <b/>
      <sz val="11"/>
      <color theme="5" tint="-0.499984740745262"/>
      <name val="Calibri"/>
      <family val="2"/>
      <scheme val="minor"/>
    </font>
    <font>
      <sz val="11"/>
      <color theme="9" tint="-0.249977111117893"/>
      <name val="Calibri"/>
      <family val="2"/>
      <scheme val="minor"/>
    </font>
    <font>
      <b/>
      <sz val="11"/>
      <color theme="1"/>
      <name val="Calibri"/>
      <family val="2"/>
      <scheme val="minor"/>
    </font>
    <font>
      <sz val="10"/>
      <name val="Calibri"/>
      <family val="2"/>
      <scheme val="minor"/>
    </font>
    <font>
      <b/>
      <sz val="11"/>
      <color theme="9"/>
      <name val="Calibri"/>
      <family val="2"/>
      <scheme val="minor"/>
    </font>
    <font>
      <sz val="10"/>
      <color indexed="81"/>
      <name val="Tahoma"/>
      <family val="2"/>
    </font>
    <font>
      <b/>
      <sz val="11"/>
      <color theme="3"/>
      <name val="Calibri"/>
      <family val="2"/>
      <scheme val="minor"/>
    </font>
    <font>
      <sz val="9"/>
      <color indexed="81"/>
      <name val="Tahoma"/>
      <family val="2"/>
    </font>
    <font>
      <b/>
      <sz val="9"/>
      <color indexed="81"/>
      <name val="Tahoma"/>
      <family val="2"/>
    </font>
    <font>
      <b/>
      <sz val="11"/>
      <name val="Calibri"/>
      <family val="2"/>
    </font>
    <font>
      <sz val="11"/>
      <color theme="8" tint="-0.249977111117893"/>
      <name val="Calibri"/>
      <family val="2"/>
      <scheme val="minor"/>
    </font>
    <font>
      <b/>
      <sz val="10"/>
      <color rgb="FFFF0000"/>
      <name val="Arial"/>
      <family val="2"/>
    </font>
    <font>
      <sz val="11"/>
      <color theme="9" tint="-0.249977111117893"/>
      <name val="Calibri"/>
      <family val="2"/>
    </font>
    <font>
      <sz val="10"/>
      <color theme="1"/>
      <name val="Arial"/>
      <family val="2"/>
    </font>
    <font>
      <b/>
      <sz val="10"/>
      <color theme="0"/>
      <name val="Calibri"/>
      <family val="2"/>
      <scheme val="minor"/>
    </font>
    <font>
      <b/>
      <i/>
      <sz val="11"/>
      <name val="Calibri"/>
      <family val="2"/>
      <scheme val="minor"/>
    </font>
    <font>
      <b/>
      <u/>
      <sz val="11"/>
      <name val="Calibri"/>
      <family val="2"/>
      <scheme val="minor"/>
    </font>
    <font>
      <b/>
      <sz val="11"/>
      <color indexed="14"/>
      <name val="Calibri"/>
      <family val="2"/>
      <scheme val="minor"/>
    </font>
    <font>
      <b/>
      <sz val="10"/>
      <color theme="1"/>
      <name val="Calibri"/>
      <family val="2"/>
      <scheme val="minor"/>
    </font>
    <font>
      <b/>
      <sz val="10"/>
      <color theme="1"/>
      <name val="Arial"/>
      <family val="2"/>
    </font>
    <font>
      <b/>
      <sz val="10"/>
      <color indexed="81"/>
      <name val="Tahoma"/>
      <family val="2"/>
    </font>
    <font>
      <b/>
      <i/>
      <sz val="11"/>
      <color theme="0"/>
      <name val="Calibri"/>
      <family val="2"/>
    </font>
    <font>
      <i/>
      <sz val="11"/>
      <color theme="5" tint="-0.499984740745262"/>
      <name val="Calibri"/>
      <family val="2"/>
    </font>
    <font>
      <b/>
      <i/>
      <sz val="11"/>
      <color rgb="FFFF0000"/>
      <name val="Calibri"/>
      <family val="2"/>
      <scheme val="minor"/>
    </font>
    <font>
      <b/>
      <sz val="11"/>
      <color theme="1" tint="0.499984740745262"/>
      <name val="Calibri"/>
      <family val="2"/>
      <scheme val="minor"/>
    </font>
    <font>
      <b/>
      <sz val="14"/>
      <color theme="8" tint="-0.499984740745262"/>
      <name val="Calibri"/>
      <family val="2"/>
      <scheme val="minor"/>
    </font>
    <font>
      <b/>
      <sz val="14"/>
      <color theme="8" tint="-0.499984740745262"/>
      <name val="Arial"/>
      <family val="2"/>
    </font>
  </fonts>
  <fills count="11">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mediumGray">
        <fgColor theme="8"/>
        <bgColor theme="8" tint="0.79995117038483843"/>
      </patternFill>
    </fill>
    <fill>
      <patternFill patternType="solid">
        <fgColor indexed="43"/>
        <bgColor indexed="64"/>
      </patternFill>
    </fill>
    <fill>
      <patternFill patternType="solid">
        <fgColor rgb="FFFFFF99"/>
        <bgColor indexed="64"/>
      </patternFill>
    </fill>
    <fill>
      <patternFill patternType="solid">
        <fgColor theme="1"/>
        <bgColor indexed="64"/>
      </patternFill>
    </fill>
    <fill>
      <patternFill patternType="solid">
        <fgColor rgb="FF99FF99"/>
        <bgColor indexed="64"/>
      </patternFill>
    </fill>
    <fill>
      <patternFill patternType="solid">
        <fgColor rgb="FF006600"/>
        <bgColor indexed="64"/>
      </patternFill>
    </fill>
    <fill>
      <patternFill patternType="solid">
        <fgColor theme="8" tint="-0.499984740745262"/>
        <bgColor indexed="64"/>
      </patternFill>
    </fill>
  </fills>
  <borders count="44">
    <border>
      <left/>
      <right/>
      <top/>
      <bottom/>
      <diagonal/>
    </border>
    <border>
      <left/>
      <right/>
      <top/>
      <bottom style="thin">
        <color auto="1"/>
      </bottom>
      <diagonal/>
    </border>
    <border>
      <left/>
      <right/>
      <top/>
      <bottom style="medium">
        <color auto="1"/>
      </bottom>
      <diagonal/>
    </border>
    <border>
      <left/>
      <right/>
      <top/>
      <bottom style="thin">
        <color theme="8" tint="-0.499984740745262"/>
      </bottom>
      <diagonal/>
    </border>
    <border>
      <left/>
      <right style="thin">
        <color theme="8" tint="-0.24994659260841701"/>
      </right>
      <top/>
      <bottom/>
      <diagonal/>
    </border>
    <border>
      <left style="thin">
        <color theme="8" tint="-0.24994659260841701"/>
      </left>
      <right/>
      <top/>
      <bottom/>
      <diagonal/>
    </border>
    <border>
      <left style="thin">
        <color theme="8" tint="-0.24994659260841701"/>
      </left>
      <right/>
      <top/>
      <bottom style="thin">
        <color theme="8" tint="-0.499984740745262"/>
      </bottom>
      <diagonal/>
    </border>
    <border>
      <left/>
      <right style="thin">
        <color theme="8" tint="-0.24994659260841701"/>
      </right>
      <top/>
      <bottom style="thin">
        <color theme="8" tint="-0.499984740745262"/>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right style="thin">
        <color theme="5" tint="-0.24994659260841701"/>
      </right>
      <top style="medium">
        <color auto="1"/>
      </top>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medium">
        <color theme="8" tint="-0.499984740745262"/>
      </left>
      <right/>
      <top style="medium">
        <color theme="8" tint="-0.499984740745262"/>
      </top>
      <bottom/>
      <diagonal/>
    </border>
    <border>
      <left/>
      <right style="medium">
        <color theme="8" tint="-0.499984740745262"/>
      </right>
      <top style="medium">
        <color theme="8" tint="-0.499984740745262"/>
      </top>
      <bottom/>
      <diagonal/>
    </border>
    <border>
      <left style="medium">
        <color theme="8" tint="-0.499984740745262"/>
      </left>
      <right/>
      <top/>
      <bottom/>
      <diagonal/>
    </border>
    <border>
      <left/>
      <right style="medium">
        <color theme="8" tint="-0.499984740745262"/>
      </right>
      <top/>
      <bottom/>
      <diagonal/>
    </border>
    <border>
      <left style="medium">
        <color theme="8" tint="-0.499984740745262"/>
      </left>
      <right/>
      <top/>
      <bottom style="medium">
        <color theme="8" tint="-0.499984740745262"/>
      </bottom>
      <diagonal/>
    </border>
    <border>
      <left/>
      <right style="medium">
        <color theme="8" tint="-0.499984740745262"/>
      </right>
      <top/>
      <bottom style="medium">
        <color theme="8" tint="-0.499984740745262"/>
      </bottom>
      <diagonal/>
    </border>
    <border>
      <left style="medium">
        <color auto="1"/>
      </left>
      <right/>
      <top/>
      <bottom style="double">
        <color auto="1"/>
      </bottom>
      <diagonal/>
    </border>
    <border>
      <left/>
      <right/>
      <top/>
      <bottom style="double">
        <color auto="1"/>
      </bottom>
      <diagonal/>
    </border>
    <border>
      <left/>
      <right style="medium">
        <color auto="1"/>
      </right>
      <top/>
      <bottom style="double">
        <color auto="1"/>
      </bottom>
      <diagonal/>
    </border>
    <border>
      <left style="medium">
        <color auto="1"/>
      </left>
      <right style="medium">
        <color auto="1"/>
      </right>
      <top/>
      <bottom style="thin">
        <color auto="1"/>
      </bottom>
      <diagonal/>
    </border>
    <border>
      <left style="medium">
        <color auto="1"/>
      </left>
      <right style="medium">
        <color auto="1"/>
      </right>
      <top/>
      <bottom style="double">
        <color auto="1"/>
      </bottom>
      <diagonal/>
    </border>
    <border>
      <left style="thin">
        <color auto="1"/>
      </left>
      <right/>
      <top/>
      <bottom style="medium">
        <color auto="1"/>
      </bottom>
      <diagonal/>
    </border>
    <border>
      <left style="thin">
        <color auto="1"/>
      </left>
      <right/>
      <top/>
      <bottom/>
      <diagonal/>
    </border>
    <border>
      <left style="thin">
        <color auto="1"/>
      </left>
      <right/>
      <top/>
      <bottom style="double">
        <color auto="1"/>
      </bottom>
      <diagonal/>
    </border>
    <border>
      <left/>
      <right/>
      <top/>
      <bottom style="medium">
        <color theme="8" tint="-0.499984740745262"/>
      </bottom>
      <diagonal/>
    </border>
  </borders>
  <cellStyleXfs count="110">
    <xf numFmtId="0" fontId="0" fillId="0" borderId="0"/>
    <xf numFmtId="43" fontId="14"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166" fontId="18" fillId="0" borderId="0"/>
    <xf numFmtId="0" fontId="19" fillId="0" borderId="0"/>
    <xf numFmtId="0" fontId="14" fillId="0" borderId="0"/>
    <xf numFmtId="9" fontId="19" fillId="0" borderId="0" applyFont="0" applyFill="0" applyBorder="0" applyAlignment="0" applyProtection="0"/>
    <xf numFmtId="41" fontId="19"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0" fontId="13" fillId="0" borderId="0"/>
    <xf numFmtId="0" fontId="24" fillId="0" borderId="0"/>
    <xf numFmtId="0" fontId="12"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0" fillId="0" borderId="0"/>
    <xf numFmtId="0" fontId="19" fillId="0" borderId="0"/>
    <xf numFmtId="0" fontId="2" fillId="0" borderId="0"/>
  </cellStyleXfs>
  <cellXfs count="339">
    <xf numFmtId="0" fontId="0" fillId="0" borderId="0" xfId="0"/>
    <xf numFmtId="9" fontId="0" fillId="0" borderId="0" xfId="0" applyNumberFormat="1"/>
    <xf numFmtId="0" fontId="19" fillId="0" borderId="0" xfId="5"/>
    <xf numFmtId="0" fontId="16" fillId="0" borderId="0" xfId="0" applyFont="1"/>
    <xf numFmtId="0" fontId="16" fillId="0" borderId="0" xfId="0" applyFont="1" applyFill="1" applyBorder="1"/>
    <xf numFmtId="0" fontId="0" fillId="0" borderId="0" xfId="0" applyFill="1" applyBorder="1" applyAlignment="1">
      <alignment horizontal="left"/>
    </xf>
    <xf numFmtId="0" fontId="0" fillId="0" borderId="0" xfId="0"/>
    <xf numFmtId="0" fontId="0" fillId="0" borderId="0" xfId="0" applyFill="1"/>
    <xf numFmtId="0" fontId="0" fillId="0" borderId="0" xfId="0" applyFill="1" applyBorder="1"/>
    <xf numFmtId="0" fontId="21" fillId="0" borderId="0" xfId="5" applyFont="1"/>
    <xf numFmtId="0" fontId="28" fillId="0" borderId="0" xfId="5" applyFont="1"/>
    <xf numFmtId="166" fontId="29" fillId="0" borderId="0" xfId="4" applyFont="1"/>
    <xf numFmtId="0" fontId="30" fillId="2" borderId="0" xfId="5" applyFont="1" applyFill="1" applyBorder="1"/>
    <xf numFmtId="2" fontId="30" fillId="2" borderId="0" xfId="5" applyNumberFormat="1" applyFont="1" applyFill="1" applyBorder="1"/>
    <xf numFmtId="0" fontId="30" fillId="2" borderId="3" xfId="5" applyFont="1" applyFill="1" applyBorder="1"/>
    <xf numFmtId="0" fontId="30" fillId="2" borderId="3" xfId="5" applyFont="1" applyFill="1" applyBorder="1" applyAlignment="1">
      <alignment horizontal="right" wrapText="1"/>
    </xf>
    <xf numFmtId="167" fontId="33" fillId="2" borderId="0" xfId="0" applyNumberFormat="1" applyFont="1" applyFill="1" applyBorder="1"/>
    <xf numFmtId="167" fontId="32" fillId="3" borderId="0" xfId="0" applyNumberFormat="1" applyFont="1" applyFill="1" applyBorder="1"/>
    <xf numFmtId="172" fontId="32" fillId="3" borderId="0" xfId="0" applyNumberFormat="1" applyFont="1" applyFill="1" applyBorder="1" applyAlignment="1">
      <alignment horizontal="right"/>
    </xf>
    <xf numFmtId="0" fontId="27" fillId="3" borderId="0" xfId="5" applyFont="1" applyFill="1" applyBorder="1"/>
    <xf numFmtId="37" fontId="0" fillId="0" borderId="0" xfId="2" applyNumberFormat="1" applyFont="1" applyFill="1" applyBorder="1"/>
    <xf numFmtId="172" fontId="17" fillId="0" borderId="0" xfId="0" applyNumberFormat="1" applyFont="1" applyFill="1" applyBorder="1" applyAlignment="1">
      <alignment horizontal="right"/>
    </xf>
    <xf numFmtId="0" fontId="21" fillId="0" borderId="0" xfId="0" applyFont="1" applyFill="1" applyBorder="1" applyAlignment="1">
      <alignment horizontal="left"/>
    </xf>
    <xf numFmtId="0" fontId="27" fillId="3" borderId="0" xfId="5" applyFont="1" applyFill="1" applyBorder="1" applyAlignment="1">
      <alignment horizontal="right"/>
    </xf>
    <xf numFmtId="0" fontId="11" fillId="0" borderId="0" xfId="0" applyFont="1"/>
    <xf numFmtId="0" fontId="31" fillId="0" borderId="0" xfId="5" applyFont="1"/>
    <xf numFmtId="0" fontId="27" fillId="3" borderId="0" xfId="5" applyFont="1" applyFill="1" applyBorder="1" applyAlignment="1">
      <alignment horizontal="centerContinuous"/>
    </xf>
    <xf numFmtId="0" fontId="27" fillId="3" borderId="5" xfId="5" applyFont="1" applyFill="1" applyBorder="1" applyAlignment="1">
      <alignment horizontal="centerContinuous"/>
    </xf>
    <xf numFmtId="0" fontId="27" fillId="3" borderId="4" xfId="5" applyFont="1" applyFill="1" applyBorder="1" applyAlignment="1">
      <alignment horizontal="centerContinuous"/>
    </xf>
    <xf numFmtId="0" fontId="30" fillId="2" borderId="6" xfId="5" applyFont="1" applyFill="1" applyBorder="1" applyAlignment="1">
      <alignment horizontal="right" wrapText="1"/>
    </xf>
    <xf numFmtId="0" fontId="30" fillId="2" borderId="7" xfId="5" applyFont="1" applyFill="1" applyBorder="1" applyAlignment="1">
      <alignment horizontal="right" wrapText="1"/>
    </xf>
    <xf numFmtId="0" fontId="30" fillId="4" borderId="0" xfId="0" applyFont="1" applyFill="1" applyBorder="1"/>
    <xf numFmtId="10" fontId="30" fillId="2" borderId="0" xfId="5" applyNumberFormat="1" applyFont="1" applyFill="1" applyBorder="1"/>
    <xf numFmtId="0" fontId="40" fillId="0" borderId="0" xfId="5" applyFont="1" applyAlignment="1">
      <alignment horizontal="center"/>
    </xf>
    <xf numFmtId="0" fontId="0" fillId="0" borderId="0" xfId="0" applyFill="1" applyBorder="1" applyAlignment="1">
      <alignment horizontal="left" indent="2"/>
    </xf>
    <xf numFmtId="10" fontId="22" fillId="0" borderId="0" xfId="3" applyNumberFormat="1" applyFont="1" applyFill="1" applyBorder="1"/>
    <xf numFmtId="3" fontId="0" fillId="0" borderId="0" xfId="0" applyNumberFormat="1" applyFill="1" applyBorder="1"/>
    <xf numFmtId="0" fontId="0" fillId="0" borderId="0" xfId="0" applyFont="1" applyFill="1" applyBorder="1"/>
    <xf numFmtId="10" fontId="0" fillId="0" borderId="0" xfId="0" applyNumberFormat="1" applyFill="1" applyBorder="1"/>
    <xf numFmtId="167" fontId="32" fillId="0" borderId="0" xfId="0" applyNumberFormat="1" applyFont="1" applyFill="1" applyBorder="1"/>
    <xf numFmtId="0" fontId="34" fillId="0" borderId="0" xfId="0" applyFont="1" applyFill="1" applyBorder="1"/>
    <xf numFmtId="0" fontId="35" fillId="0" borderId="0" xfId="0" applyFont="1" applyFill="1" applyBorder="1"/>
    <xf numFmtId="37" fontId="35" fillId="0" borderId="0" xfId="0" applyNumberFormat="1" applyFont="1" applyFill="1" applyBorder="1"/>
    <xf numFmtId="0" fontId="15" fillId="0" borderId="0" xfId="0" applyFont="1" applyFill="1" applyBorder="1"/>
    <xf numFmtId="0" fontId="36" fillId="0" borderId="0" xfId="0" applyFont="1" applyFill="1" applyBorder="1" applyAlignment="1">
      <alignment horizontal="left"/>
    </xf>
    <xf numFmtId="0" fontId="37" fillId="0" borderId="0" xfId="0" applyFont="1" applyFill="1" applyBorder="1" applyAlignment="1">
      <alignment horizontal="left"/>
    </xf>
    <xf numFmtId="37" fontId="34" fillId="0" borderId="0" xfId="0" applyNumberFormat="1" applyFont="1" applyFill="1" applyBorder="1"/>
    <xf numFmtId="0" fontId="32" fillId="0" borderId="0" xfId="0" applyFont="1" applyFill="1" applyBorder="1"/>
    <xf numFmtId="10" fontId="32" fillId="0" borderId="0" xfId="0" applyNumberFormat="1" applyFont="1" applyFill="1" applyBorder="1"/>
    <xf numFmtId="37" fontId="32" fillId="0" borderId="0" xfId="0" applyNumberFormat="1" applyFont="1" applyFill="1" applyBorder="1"/>
    <xf numFmtId="170" fontId="0" fillId="0" borderId="0" xfId="0" applyNumberFormat="1" applyFill="1" applyBorder="1"/>
    <xf numFmtId="167" fontId="0" fillId="0" borderId="0" xfId="0" applyNumberFormat="1" applyFill="1" applyBorder="1" applyAlignment="1">
      <alignment horizontal="right"/>
    </xf>
    <xf numFmtId="165" fontId="0" fillId="0" borderId="0" xfId="0" applyNumberFormat="1" applyFill="1" applyBorder="1"/>
    <xf numFmtId="9" fontId="0" fillId="0" borderId="0" xfId="0" applyNumberFormat="1" applyFill="1" applyBorder="1"/>
    <xf numFmtId="9" fontId="23" fillId="0" borderId="0" xfId="0" applyNumberFormat="1" applyFont="1" applyFill="1" applyBorder="1"/>
    <xf numFmtId="165" fontId="17" fillId="0" borderId="0" xfId="1" applyNumberFormat="1" applyFont="1" applyFill="1" applyBorder="1"/>
    <xf numFmtId="37" fontId="0" fillId="0" borderId="0" xfId="0" applyNumberFormat="1" applyFill="1" applyBorder="1"/>
    <xf numFmtId="37" fontId="0" fillId="0" borderId="0" xfId="0" applyNumberFormat="1" applyFill="1" applyBorder="1" applyAlignment="1">
      <alignment horizontal="right"/>
    </xf>
    <xf numFmtId="37" fontId="17" fillId="0" borderId="0" xfId="2" applyNumberFormat="1" applyFont="1" applyFill="1" applyBorder="1"/>
    <xf numFmtId="37" fontId="17" fillId="0" borderId="0" xfId="0" applyNumberFormat="1" applyFont="1" applyFill="1" applyBorder="1"/>
    <xf numFmtId="37" fontId="14" fillId="0" borderId="0" xfId="2" applyNumberFormat="1" applyFont="1" applyFill="1" applyBorder="1"/>
    <xf numFmtId="10" fontId="17" fillId="0" borderId="0" xfId="0" applyNumberFormat="1" applyFont="1" applyFill="1" applyBorder="1"/>
    <xf numFmtId="37" fontId="16" fillId="0" borderId="0" xfId="0" applyNumberFormat="1" applyFont="1" applyFill="1" applyBorder="1"/>
    <xf numFmtId="171" fontId="0" fillId="0" borderId="0" xfId="0" applyNumberFormat="1" applyFill="1" applyBorder="1"/>
    <xf numFmtId="165" fontId="0" fillId="0" borderId="0" xfId="3" applyNumberFormat="1" applyFont="1" applyFill="1" applyBorder="1"/>
    <xf numFmtId="9" fontId="17" fillId="0" borderId="0" xfId="0" applyNumberFormat="1" applyFont="1" applyFill="1" applyBorder="1"/>
    <xf numFmtId="0" fontId="17" fillId="0" borderId="0" xfId="0" applyFont="1" applyFill="1" applyBorder="1"/>
    <xf numFmtId="10" fontId="0" fillId="0" borderId="0" xfId="0" applyNumberFormat="1" applyFont="1" applyFill="1" applyBorder="1"/>
    <xf numFmtId="10" fontId="0" fillId="0" borderId="0" xfId="3" applyNumberFormat="1" applyFont="1" applyFill="1" applyBorder="1"/>
    <xf numFmtId="9" fontId="0" fillId="0" borderId="0" xfId="3" applyFont="1" applyFill="1" applyBorder="1"/>
    <xf numFmtId="5" fontId="0" fillId="0" borderId="0" xfId="0" applyNumberFormat="1" applyFill="1" applyBorder="1"/>
    <xf numFmtId="0" fontId="16" fillId="0" borderId="0" xfId="0" applyFont="1" applyFill="1" applyBorder="1" applyAlignment="1">
      <alignment horizontal="right"/>
    </xf>
    <xf numFmtId="5" fontId="16" fillId="0" borderId="0" xfId="0" applyNumberFormat="1" applyFont="1" applyFill="1" applyBorder="1" applyAlignment="1">
      <alignment horizontal="right" wrapText="1"/>
    </xf>
    <xf numFmtId="39" fontId="0" fillId="0" borderId="0" xfId="0" applyNumberFormat="1" applyFill="1" applyBorder="1"/>
    <xf numFmtId="5" fontId="0" fillId="0" borderId="0" xfId="0" applyNumberFormat="1" applyFont="1" applyFill="1" applyBorder="1"/>
    <xf numFmtId="39" fontId="0" fillId="0" borderId="0" xfId="0" applyNumberFormat="1" applyFont="1" applyFill="1" applyBorder="1"/>
    <xf numFmtId="0" fontId="20" fillId="4" borderId="0" xfId="5" applyFont="1" applyFill="1" applyBorder="1" applyAlignment="1">
      <alignment horizontal="left"/>
    </xf>
    <xf numFmtId="0" fontId="20" fillId="4" borderId="0" xfId="5" applyFont="1" applyFill="1" applyBorder="1" applyAlignment="1">
      <alignment horizontal="right"/>
    </xf>
    <xf numFmtId="0" fontId="20" fillId="4" borderId="5" xfId="5" applyFont="1" applyFill="1" applyBorder="1"/>
    <xf numFmtId="0" fontId="20" fillId="4" borderId="4" xfId="5" applyFont="1" applyFill="1" applyBorder="1" applyAlignment="1">
      <alignment horizontal="right"/>
    </xf>
    <xf numFmtId="0" fontId="20" fillId="4" borderId="5" xfId="5" applyFont="1" applyFill="1" applyBorder="1" applyAlignment="1">
      <alignment horizontal="center"/>
    </xf>
    <xf numFmtId="0" fontId="20" fillId="4" borderId="4" xfId="5" applyFont="1" applyFill="1" applyBorder="1" applyAlignment="1">
      <alignment horizontal="right" wrapText="1"/>
    </xf>
    <xf numFmtId="10" fontId="20" fillId="4" borderId="0" xfId="0" applyNumberFormat="1" applyFont="1" applyFill="1" applyBorder="1"/>
    <xf numFmtId="0" fontId="20" fillId="4" borderId="0" xfId="0" applyFont="1" applyFill="1" applyBorder="1"/>
    <xf numFmtId="0" fontId="20" fillId="4" borderId="5" xfId="0" applyFont="1" applyFill="1" applyBorder="1"/>
    <xf numFmtId="0" fontId="20" fillId="4" borderId="4" xfId="0" applyFont="1" applyFill="1" applyBorder="1"/>
    <xf numFmtId="168" fontId="20" fillId="4" borderId="0" xfId="0" applyNumberFormat="1" applyFont="1" applyFill="1" applyBorder="1"/>
    <xf numFmtId="0" fontId="20" fillId="4" borderId="0" xfId="5" applyFont="1" applyFill="1" applyBorder="1"/>
    <xf numFmtId="169" fontId="20" fillId="4" borderId="0" xfId="0" applyNumberFormat="1" applyFont="1" applyFill="1" applyBorder="1"/>
    <xf numFmtId="9" fontId="20" fillId="4" borderId="4" xfId="0" applyNumberFormat="1" applyFont="1" applyFill="1" applyBorder="1"/>
    <xf numFmtId="0" fontId="20" fillId="2" borderId="8" xfId="0" applyFont="1" applyFill="1" applyBorder="1" applyAlignment="1">
      <alignment horizontal="right"/>
    </xf>
    <xf numFmtId="0" fontId="20" fillId="4" borderId="8" xfId="0" applyFont="1" applyFill="1" applyBorder="1"/>
    <xf numFmtId="0" fontId="0" fillId="0" borderId="2" xfId="0" applyFill="1" applyBorder="1"/>
    <xf numFmtId="167" fontId="32" fillId="0" borderId="12" xfId="0" applyNumberFormat="1" applyFont="1" applyFill="1" applyBorder="1"/>
    <xf numFmtId="172" fontId="32" fillId="0" borderId="12" xfId="0" applyNumberFormat="1" applyFont="1" applyFill="1" applyBorder="1" applyAlignment="1">
      <alignment horizontal="right"/>
    </xf>
    <xf numFmtId="172" fontId="32" fillId="0" borderId="16" xfId="0" applyNumberFormat="1" applyFont="1" applyFill="1" applyBorder="1" applyAlignment="1">
      <alignment horizontal="right"/>
    </xf>
    <xf numFmtId="0" fontId="0" fillId="0" borderId="0" xfId="0" applyFill="1" applyAlignment="1">
      <alignment horizontal="right"/>
    </xf>
    <xf numFmtId="0" fontId="0" fillId="0" borderId="0" xfId="0" applyFill="1" applyAlignment="1">
      <alignment horizontal="left"/>
    </xf>
    <xf numFmtId="0" fontId="10" fillId="0" borderId="0" xfId="107" applyFill="1" applyAlignment="1">
      <alignment horizontal="right"/>
    </xf>
    <xf numFmtId="0" fontId="35" fillId="0" borderId="1" xfId="0" applyFont="1" applyFill="1" applyBorder="1"/>
    <xf numFmtId="37" fontId="35" fillId="0" borderId="1" xfId="0" applyNumberFormat="1" applyFont="1" applyFill="1" applyBorder="1"/>
    <xf numFmtId="167" fontId="46" fillId="0" borderId="11" xfId="0" applyNumberFormat="1" applyFont="1" applyFill="1" applyBorder="1"/>
    <xf numFmtId="0" fontId="39" fillId="0" borderId="0" xfId="107" applyFont="1" applyFill="1" applyBorder="1" applyAlignment="1">
      <alignment horizontal="left"/>
    </xf>
    <xf numFmtId="2" fontId="39" fillId="0" borderId="0" xfId="107" applyNumberFormat="1" applyFont="1" applyFill="1" applyBorder="1"/>
    <xf numFmtId="40" fontId="39" fillId="0" borderId="0" xfId="107" applyNumberFormat="1" applyFont="1" applyFill="1" applyBorder="1"/>
    <xf numFmtId="0" fontId="10" fillId="0" borderId="0" xfId="107" applyFill="1" applyBorder="1"/>
    <xf numFmtId="167" fontId="32" fillId="0" borderId="12" xfId="0" applyNumberFormat="1" applyFont="1" applyFill="1" applyBorder="1" applyAlignment="1">
      <alignment horizontal="right"/>
    </xf>
    <xf numFmtId="10" fontId="16" fillId="0" borderId="2" xfId="0" applyNumberFormat="1" applyFont="1" applyFill="1" applyBorder="1"/>
    <xf numFmtId="0" fontId="39" fillId="0" borderId="13" xfId="107" applyFont="1" applyFill="1" applyBorder="1" applyAlignment="1">
      <alignment horizontal="left"/>
    </xf>
    <xf numFmtId="0" fontId="8" fillId="0" borderId="0" xfId="107" applyFont="1" applyFill="1" applyBorder="1" applyAlignment="1">
      <alignment horizontal="right"/>
    </xf>
    <xf numFmtId="0" fontId="0" fillId="0" borderId="0" xfId="0" applyFont="1" applyFill="1" applyBorder="1" applyAlignment="1">
      <alignment horizontal="right"/>
    </xf>
    <xf numFmtId="37" fontId="0" fillId="0" borderId="0" xfId="0" applyNumberFormat="1" applyFont="1" applyFill="1" applyBorder="1" applyAlignment="1">
      <alignment horizontal="right"/>
    </xf>
    <xf numFmtId="10" fontId="47" fillId="0" borderId="0" xfId="5" applyNumberFormat="1" applyFont="1" applyFill="1" applyBorder="1"/>
    <xf numFmtId="0" fontId="19" fillId="3" borderId="0" xfId="5" applyFill="1"/>
    <xf numFmtId="0" fontId="47" fillId="0" borderId="0" xfId="0" applyFont="1" applyAlignment="1">
      <alignment horizontal="right"/>
    </xf>
    <xf numFmtId="0" fontId="48" fillId="0" borderId="0" xfId="5" applyFont="1"/>
    <xf numFmtId="10" fontId="38" fillId="2" borderId="0" xfId="0" applyNumberFormat="1" applyFont="1" applyFill="1" applyBorder="1"/>
    <xf numFmtId="169" fontId="38" fillId="2" borderId="0" xfId="0" applyNumberFormat="1" applyFont="1" applyFill="1" applyBorder="1"/>
    <xf numFmtId="10" fontId="38" fillId="2" borderId="4" xfId="0" applyNumberFormat="1" applyFont="1" applyFill="1" applyBorder="1"/>
    <xf numFmtId="164" fontId="38" fillId="2" borderId="0" xfId="0" applyNumberFormat="1" applyFont="1" applyFill="1" applyBorder="1"/>
    <xf numFmtId="164" fontId="38" fillId="2" borderId="4" xfId="0" applyNumberFormat="1" applyFont="1" applyFill="1" applyBorder="1"/>
    <xf numFmtId="164" fontId="38" fillId="2" borderId="9" xfId="0" applyNumberFormat="1" applyFont="1" applyFill="1" applyBorder="1"/>
    <xf numFmtId="164" fontId="38" fillId="2" borderId="10" xfId="0" applyNumberFormat="1" applyFont="1" applyFill="1" applyBorder="1"/>
    <xf numFmtId="0" fontId="19" fillId="0" borderId="0" xfId="5" applyFont="1"/>
    <xf numFmtId="0" fontId="20" fillId="2" borderId="0" xfId="0" applyFont="1" applyFill="1" applyBorder="1" applyAlignment="1">
      <alignment horizontal="right"/>
    </xf>
    <xf numFmtId="164" fontId="20" fillId="2" borderId="9" xfId="0" applyNumberFormat="1" applyFont="1" applyFill="1" applyBorder="1" applyAlignment="1">
      <alignment horizontal="right"/>
    </xf>
    <xf numFmtId="164" fontId="20" fillId="2" borderId="0" xfId="0" applyNumberFormat="1" applyFont="1" applyFill="1" applyBorder="1" applyAlignment="1">
      <alignment horizontal="right"/>
    </xf>
    <xf numFmtId="0" fontId="7" fillId="0" borderId="0" xfId="0" applyFont="1"/>
    <xf numFmtId="0" fontId="19" fillId="0" borderId="0" xfId="5" applyFill="1"/>
    <xf numFmtId="0" fontId="30" fillId="2" borderId="3" xfId="5" applyFont="1" applyFill="1" applyBorder="1" applyAlignment="1">
      <alignment horizontal="right" wrapText="1" indent="1"/>
    </xf>
    <xf numFmtId="3" fontId="30" fillId="2" borderId="0" xfId="5" applyNumberFormat="1" applyFont="1" applyFill="1" applyBorder="1"/>
    <xf numFmtId="4" fontId="30" fillId="2" borderId="0" xfId="5" applyNumberFormat="1" applyFont="1" applyFill="1" applyBorder="1"/>
    <xf numFmtId="0" fontId="0" fillId="0" borderId="0" xfId="0" quotePrefix="1" applyFill="1" applyBorder="1"/>
    <xf numFmtId="0" fontId="40" fillId="0" borderId="0" xfId="5" applyFont="1" applyAlignment="1">
      <alignment horizontal="right"/>
    </xf>
    <xf numFmtId="10" fontId="49" fillId="0" borderId="0" xfId="0" applyNumberFormat="1" applyFont="1" applyFill="1" applyBorder="1"/>
    <xf numFmtId="0" fontId="39" fillId="0" borderId="0" xfId="0" applyFont="1"/>
    <xf numFmtId="0" fontId="52" fillId="0" borderId="0" xfId="108" applyFont="1"/>
    <xf numFmtId="10" fontId="21" fillId="0" borderId="0" xfId="108" applyNumberFormat="1" applyFont="1"/>
    <xf numFmtId="37" fontId="21" fillId="0" borderId="0" xfId="108" applyNumberFormat="1" applyFont="1"/>
    <xf numFmtId="37" fontId="21" fillId="0" borderId="0" xfId="108" applyNumberFormat="1" applyFont="1" applyFill="1"/>
    <xf numFmtId="0" fontId="21" fillId="0" borderId="0" xfId="108" applyFont="1"/>
    <xf numFmtId="0" fontId="22" fillId="5" borderId="0" xfId="108" applyFont="1" applyFill="1"/>
    <xf numFmtId="10" fontId="21" fillId="5" borderId="0" xfId="108" applyNumberFormat="1" applyFont="1" applyFill="1" applyAlignment="1">
      <alignment horizontal="right"/>
    </xf>
    <xf numFmtId="37" fontId="21" fillId="5" borderId="0" xfId="108" applyNumberFormat="1" applyFont="1" applyFill="1"/>
    <xf numFmtId="176" fontId="21" fillId="0" borderId="0" xfId="108" applyNumberFormat="1" applyFont="1" applyFill="1"/>
    <xf numFmtId="0" fontId="22" fillId="0" borderId="0" xfId="108" applyFont="1"/>
    <xf numFmtId="0" fontId="21" fillId="0" borderId="0" xfId="108" applyFont="1" applyFill="1" applyBorder="1"/>
    <xf numFmtId="37" fontId="21" fillId="0" borderId="0" xfId="108" applyNumberFormat="1" applyFont="1" applyFill="1" applyBorder="1"/>
    <xf numFmtId="0" fontId="22" fillId="0" borderId="0" xfId="108" applyFont="1" applyFill="1"/>
    <xf numFmtId="172" fontId="32" fillId="0" borderId="21" xfId="0" applyNumberFormat="1" applyFont="1" applyFill="1" applyBorder="1" applyAlignment="1">
      <alignment horizontal="right"/>
    </xf>
    <xf numFmtId="175" fontId="8" fillId="0" borderId="0" xfId="0" applyNumberFormat="1" applyFont="1" applyFill="1" applyBorder="1" applyAlignment="1">
      <alignment horizontal="right"/>
    </xf>
    <xf numFmtId="2" fontId="38" fillId="2" borderId="0" xfId="5" applyNumberFormat="1" applyFont="1" applyFill="1" applyBorder="1" applyAlignment="1">
      <alignment horizontal="right"/>
    </xf>
    <xf numFmtId="0" fontId="16" fillId="0" borderId="15" xfId="0" applyFont="1" applyFill="1" applyBorder="1"/>
    <xf numFmtId="10" fontId="21" fillId="0" borderId="0" xfId="108" applyNumberFormat="1" applyFont="1" applyFill="1" applyAlignment="1">
      <alignment horizontal="right"/>
    </xf>
    <xf numFmtId="0" fontId="21" fillId="0" borderId="0" xfId="108" applyFont="1" applyFill="1"/>
    <xf numFmtId="0" fontId="21" fillId="6" borderId="13" xfId="108" applyFont="1" applyFill="1" applyBorder="1"/>
    <xf numFmtId="177" fontId="53" fillId="6" borderId="0" xfId="108" applyNumberFormat="1" applyFont="1" applyFill="1" applyBorder="1"/>
    <xf numFmtId="177" fontId="53" fillId="6" borderId="18" xfId="108" applyNumberFormat="1" applyFont="1" applyFill="1" applyBorder="1"/>
    <xf numFmtId="0" fontId="22" fillId="6" borderId="13" xfId="108" applyFont="1" applyFill="1" applyBorder="1"/>
    <xf numFmtId="37" fontId="21" fillId="6" borderId="0" xfId="108" applyNumberFormat="1" applyFont="1" applyFill="1" applyBorder="1"/>
    <xf numFmtId="37" fontId="21" fillId="6" borderId="18" xfId="108" applyNumberFormat="1" applyFont="1" applyFill="1" applyBorder="1"/>
    <xf numFmtId="37" fontId="21" fillId="6" borderId="1" xfId="108" applyNumberFormat="1" applyFont="1" applyFill="1" applyBorder="1"/>
    <xf numFmtId="0" fontId="39" fillId="6" borderId="13" xfId="107" applyFont="1" applyFill="1" applyBorder="1" applyAlignment="1">
      <alignment horizontal="left"/>
    </xf>
    <xf numFmtId="37" fontId="22" fillId="6" borderId="0" xfId="108" applyNumberFormat="1" applyFont="1" applyFill="1" applyBorder="1"/>
    <xf numFmtId="0" fontId="39" fillId="6" borderId="15" xfId="0" applyFont="1" applyFill="1" applyBorder="1"/>
    <xf numFmtId="37" fontId="22" fillId="6" borderId="2" xfId="108" applyNumberFormat="1" applyFont="1" applyFill="1" applyBorder="1"/>
    <xf numFmtId="10" fontId="16" fillId="6" borderId="2" xfId="0" applyNumberFormat="1" applyFont="1" applyFill="1" applyBorder="1"/>
    <xf numFmtId="0" fontId="27" fillId="7" borderId="11" xfId="108" applyFont="1" applyFill="1" applyBorder="1"/>
    <xf numFmtId="37" fontId="21" fillId="7" borderId="12" xfId="108" applyNumberFormat="1" applyFont="1" applyFill="1" applyBorder="1"/>
    <xf numFmtId="172" fontId="27" fillId="7" borderId="12" xfId="0" applyNumberFormat="1" applyFont="1" applyFill="1" applyBorder="1" applyAlignment="1">
      <alignment horizontal="center"/>
    </xf>
    <xf numFmtId="172" fontId="27" fillId="7" borderId="12" xfId="0" applyNumberFormat="1" applyFont="1" applyFill="1" applyBorder="1" applyAlignment="1">
      <alignment horizontal="right"/>
    </xf>
    <xf numFmtId="172" fontId="27" fillId="7" borderId="16" xfId="0" applyNumberFormat="1" applyFont="1" applyFill="1" applyBorder="1" applyAlignment="1">
      <alignment horizontal="right"/>
    </xf>
    <xf numFmtId="0" fontId="21" fillId="8" borderId="13" xfId="108" applyFont="1" applyFill="1" applyBorder="1"/>
    <xf numFmtId="177" fontId="53" fillId="8" borderId="0" xfId="108" applyNumberFormat="1" applyFont="1" applyFill="1" applyBorder="1"/>
    <xf numFmtId="177" fontId="53" fillId="8" borderId="18" xfId="108" applyNumberFormat="1" applyFont="1" applyFill="1" applyBorder="1"/>
    <xf numFmtId="0" fontId="35" fillId="8" borderId="0" xfId="0" applyFont="1" applyFill="1" applyBorder="1"/>
    <xf numFmtId="0" fontId="36" fillId="8" borderId="0" xfId="0" applyFont="1" applyFill="1" applyBorder="1" applyAlignment="1">
      <alignment horizontal="left"/>
    </xf>
    <xf numFmtId="0" fontId="39" fillId="8" borderId="13" xfId="107" applyFont="1" applyFill="1" applyBorder="1" applyAlignment="1">
      <alignment horizontal="left"/>
    </xf>
    <xf numFmtId="0" fontId="16" fillId="8" borderId="15" xfId="0" applyFont="1" applyFill="1" applyBorder="1"/>
    <xf numFmtId="0" fontId="0" fillId="8" borderId="2" xfId="0" applyFill="1" applyBorder="1"/>
    <xf numFmtId="10" fontId="16" fillId="8" borderId="2" xfId="0" applyNumberFormat="1" applyFont="1" applyFill="1" applyBorder="1"/>
    <xf numFmtId="177" fontId="53" fillId="8" borderId="22" xfId="108" applyNumberFormat="1" applyFont="1" applyFill="1" applyBorder="1"/>
    <xf numFmtId="167" fontId="32" fillId="9" borderId="11" xfId="0" applyNumberFormat="1" applyFont="1" applyFill="1" applyBorder="1"/>
    <xf numFmtId="167" fontId="32" fillId="9" borderId="19" xfId="0" applyNumberFormat="1" applyFont="1" applyFill="1" applyBorder="1" applyAlignment="1">
      <alignment horizontal="right"/>
    </xf>
    <xf numFmtId="172" fontId="32" fillId="9" borderId="12" xfId="0" applyNumberFormat="1" applyFont="1" applyFill="1" applyBorder="1" applyAlignment="1">
      <alignment horizontal="right"/>
    </xf>
    <xf numFmtId="172" fontId="32" fillId="9" borderId="16" xfId="0" applyNumberFormat="1" applyFont="1" applyFill="1" applyBorder="1" applyAlignment="1">
      <alignment horizontal="right"/>
    </xf>
    <xf numFmtId="0" fontId="6" fillId="0" borderId="0" xfId="107" applyFont="1" applyFill="1" applyBorder="1" applyAlignment="1">
      <alignment horizontal="right"/>
    </xf>
    <xf numFmtId="10" fontId="39" fillId="0" borderId="27" xfId="107" applyNumberFormat="1" applyFont="1" applyFill="1" applyBorder="1"/>
    <xf numFmtId="2" fontId="55" fillId="0" borderId="24" xfId="107" quotePrefix="1" applyNumberFormat="1" applyFont="1" applyFill="1" applyBorder="1"/>
    <xf numFmtId="40" fontId="39" fillId="0" borderId="24" xfId="107" applyNumberFormat="1" applyFont="1" applyFill="1" applyBorder="1"/>
    <xf numFmtId="0" fontId="0" fillId="0" borderId="25" xfId="0" applyFill="1" applyBorder="1"/>
    <xf numFmtId="10" fontId="39" fillId="0" borderId="28" xfId="107" applyNumberFormat="1" applyFont="1" applyFill="1" applyBorder="1"/>
    <xf numFmtId="2" fontId="55" fillId="0" borderId="1" xfId="107" quotePrefix="1" applyNumberFormat="1" applyFont="1" applyFill="1" applyBorder="1"/>
    <xf numFmtId="178" fontId="39" fillId="0" borderId="1" xfId="107" applyNumberFormat="1" applyFont="1" applyFill="1" applyBorder="1"/>
    <xf numFmtId="40" fontId="39" fillId="0" borderId="1" xfId="107" applyNumberFormat="1" applyFont="1" applyFill="1" applyBorder="1"/>
    <xf numFmtId="0" fontId="0" fillId="0" borderId="26" xfId="0" applyFill="1" applyBorder="1"/>
    <xf numFmtId="167" fontId="51" fillId="10" borderId="29" xfId="0" applyNumberFormat="1" applyFont="1" applyFill="1" applyBorder="1" applyAlignment="1">
      <alignment horizontal="centerContinuous"/>
    </xf>
    <xf numFmtId="167" fontId="27" fillId="10" borderId="30" xfId="0" applyNumberFormat="1" applyFont="1" applyFill="1" applyBorder="1" applyAlignment="1">
      <alignment horizontal="centerContinuous"/>
    </xf>
    <xf numFmtId="4" fontId="20" fillId="2" borderId="32" xfId="5" applyNumberFormat="1" applyFont="1" applyFill="1" applyBorder="1" applyAlignment="1">
      <alignment horizontal="center"/>
    </xf>
    <xf numFmtId="10" fontId="20" fillId="2" borderId="32" xfId="5" applyNumberFormat="1" applyFont="1" applyFill="1" applyBorder="1" applyAlignment="1">
      <alignment horizontal="center"/>
    </xf>
    <xf numFmtId="173" fontId="20" fillId="2" borderId="32" xfId="5" applyNumberFormat="1" applyFont="1" applyFill="1" applyBorder="1" applyAlignment="1">
      <alignment horizontal="center"/>
    </xf>
    <xf numFmtId="175" fontId="20" fillId="2" borderId="34" xfId="5" applyNumberFormat="1" applyFont="1" applyFill="1" applyBorder="1" applyAlignment="1">
      <alignment horizontal="center"/>
    </xf>
    <xf numFmtId="0" fontId="30" fillId="2" borderId="31" xfId="5" applyFont="1" applyFill="1" applyBorder="1" applyAlignment="1">
      <alignment horizontal="right"/>
    </xf>
    <xf numFmtId="0" fontId="30" fillId="2" borderId="33" xfId="5" applyFont="1" applyFill="1" applyBorder="1" applyAlignment="1">
      <alignment horizontal="right"/>
    </xf>
    <xf numFmtId="0" fontId="0" fillId="0" borderId="0" xfId="0" applyAlignment="1">
      <alignment horizontal="right"/>
    </xf>
    <xf numFmtId="0" fontId="10" fillId="0" borderId="0" xfId="107" applyAlignment="1">
      <alignment horizontal="right"/>
    </xf>
    <xf numFmtId="10" fontId="10" fillId="0" borderId="0" xfId="107" applyNumberFormat="1" applyAlignment="1">
      <alignment horizontal="left"/>
    </xf>
    <xf numFmtId="2" fontId="10" fillId="0" borderId="0" xfId="107" applyNumberFormat="1" applyAlignment="1">
      <alignment horizontal="left"/>
    </xf>
    <xf numFmtId="0" fontId="10" fillId="0" borderId="0" xfId="107" applyFill="1" applyAlignment="1">
      <alignment horizontal="left"/>
    </xf>
    <xf numFmtId="4" fontId="21" fillId="6" borderId="0" xfId="108" applyNumberFormat="1" applyFont="1" applyFill="1" applyBorder="1"/>
    <xf numFmtId="4" fontId="21" fillId="6" borderId="18" xfId="108" applyNumberFormat="1" applyFont="1" applyFill="1" applyBorder="1"/>
    <xf numFmtId="4" fontId="21" fillId="6" borderId="1" xfId="108" applyNumberFormat="1" applyFont="1" applyFill="1" applyBorder="1"/>
    <xf numFmtId="4" fontId="21" fillId="6" borderId="20" xfId="108" applyNumberFormat="1" applyFont="1" applyFill="1" applyBorder="1"/>
    <xf numFmtId="2" fontId="22" fillId="6" borderId="0" xfId="108" applyNumberFormat="1" applyFont="1" applyFill="1" applyBorder="1"/>
    <xf numFmtId="2" fontId="22" fillId="6" borderId="18" xfId="108" applyNumberFormat="1" applyFont="1" applyFill="1" applyBorder="1"/>
    <xf numFmtId="2" fontId="9" fillId="6" borderId="2" xfId="107" applyNumberFormat="1" applyFont="1" applyFill="1" applyBorder="1"/>
    <xf numFmtId="2" fontId="9" fillId="6" borderId="17" xfId="107" applyNumberFormat="1" applyFont="1" applyFill="1" applyBorder="1"/>
    <xf numFmtId="4" fontId="22" fillId="6" borderId="0" xfId="108" applyNumberFormat="1" applyFont="1" applyFill="1" applyBorder="1"/>
    <xf numFmtId="0" fontId="54" fillId="0" borderId="0" xfId="108" applyFont="1" applyBorder="1"/>
    <xf numFmtId="2" fontId="22" fillId="0" borderId="0" xfId="108" applyNumberFormat="1" applyFont="1" applyBorder="1"/>
    <xf numFmtId="0" fontId="22" fillId="0" borderId="0" xfId="108" applyFont="1" applyBorder="1"/>
    <xf numFmtId="0" fontId="22" fillId="6" borderId="0" xfId="108" applyFont="1" applyFill="1" applyBorder="1"/>
    <xf numFmtId="37" fontId="21" fillId="6" borderId="36" xfId="108" applyNumberFormat="1" applyFont="1" applyFill="1" applyBorder="1"/>
    <xf numFmtId="2" fontId="21" fillId="6" borderId="36" xfId="108" applyNumberFormat="1" applyFont="1" applyFill="1" applyBorder="1"/>
    <xf numFmtId="0" fontId="22" fillId="6" borderId="35" xfId="108" applyFont="1" applyFill="1" applyBorder="1"/>
    <xf numFmtId="37" fontId="22" fillId="6" borderId="36" xfId="108" applyNumberFormat="1" applyFont="1" applyFill="1" applyBorder="1"/>
    <xf numFmtId="2" fontId="22" fillId="6" borderId="36" xfId="108" applyNumberFormat="1" applyFont="1" applyFill="1" applyBorder="1"/>
    <xf numFmtId="0" fontId="5" fillId="6" borderId="13" xfId="107" applyFont="1" applyFill="1" applyBorder="1"/>
    <xf numFmtId="0" fontId="10" fillId="6" borderId="14" xfId="107" applyFill="1" applyBorder="1"/>
    <xf numFmtId="0" fontId="10" fillId="6" borderId="35" xfId="107" applyFill="1" applyBorder="1"/>
    <xf numFmtId="4" fontId="22" fillId="6" borderId="18" xfId="108" applyNumberFormat="1" applyFont="1" applyFill="1" applyBorder="1"/>
    <xf numFmtId="2" fontId="21" fillId="6" borderId="37" xfId="108" applyNumberFormat="1" applyFont="1" applyFill="1" applyBorder="1"/>
    <xf numFmtId="2" fontId="22" fillId="6" borderId="37" xfId="108" applyNumberFormat="1" applyFont="1" applyFill="1" applyBorder="1"/>
    <xf numFmtId="172" fontId="27" fillId="7" borderId="21" xfId="0" applyNumberFormat="1" applyFont="1" applyFill="1" applyBorder="1" applyAlignment="1">
      <alignment horizontal="right"/>
    </xf>
    <xf numFmtId="177" fontId="53" fillId="6" borderId="22" xfId="108" applyNumberFormat="1" applyFont="1" applyFill="1" applyBorder="1"/>
    <xf numFmtId="37" fontId="21" fillId="6" borderId="22" xfId="108" applyNumberFormat="1" applyFont="1" applyFill="1" applyBorder="1"/>
    <xf numFmtId="4" fontId="21" fillId="6" borderId="22" xfId="108" applyNumberFormat="1" applyFont="1" applyFill="1" applyBorder="1"/>
    <xf numFmtId="4" fontId="21" fillId="6" borderId="38" xfId="108" applyNumberFormat="1" applyFont="1" applyFill="1" applyBorder="1"/>
    <xf numFmtId="4" fontId="22" fillId="6" borderId="22" xfId="108" applyNumberFormat="1" applyFont="1" applyFill="1" applyBorder="1"/>
    <xf numFmtId="2" fontId="21" fillId="6" borderId="39" xfId="108" applyNumberFormat="1" applyFont="1" applyFill="1" applyBorder="1"/>
    <xf numFmtId="2" fontId="22" fillId="6" borderId="23" xfId="108" applyNumberFormat="1" applyFont="1" applyFill="1" applyBorder="1"/>
    <xf numFmtId="2" fontId="39" fillId="8" borderId="0" xfId="107" applyNumberFormat="1" applyFont="1" applyFill="1" applyBorder="1"/>
    <xf numFmtId="0" fontId="5" fillId="8" borderId="13" xfId="107" applyFont="1" applyFill="1" applyBorder="1"/>
    <xf numFmtId="0" fontId="10" fillId="8" borderId="14" xfId="107" applyFill="1" applyBorder="1"/>
    <xf numFmtId="0" fontId="10" fillId="8" borderId="35" xfId="107" applyFill="1" applyBorder="1"/>
    <xf numFmtId="0" fontId="22" fillId="8" borderId="13" xfId="108" applyFont="1" applyFill="1" applyBorder="1"/>
    <xf numFmtId="0" fontId="22" fillId="8" borderId="35" xfId="108" applyFont="1" applyFill="1" applyBorder="1"/>
    <xf numFmtId="0" fontId="36" fillId="8" borderId="36" xfId="0" applyFont="1" applyFill="1" applyBorder="1" applyAlignment="1">
      <alignment horizontal="left"/>
    </xf>
    <xf numFmtId="172" fontId="32" fillId="9" borderId="21" xfId="0" applyNumberFormat="1" applyFont="1" applyFill="1" applyBorder="1" applyAlignment="1">
      <alignment horizontal="right"/>
    </xf>
    <xf numFmtId="0" fontId="10" fillId="0" borderId="13" xfId="107" applyFill="1" applyBorder="1"/>
    <xf numFmtId="0" fontId="10" fillId="0" borderId="14" xfId="107" applyFill="1" applyBorder="1"/>
    <xf numFmtId="0" fontId="5" fillId="0" borderId="35" xfId="107" applyFont="1" applyFill="1" applyBorder="1"/>
    <xf numFmtId="4" fontId="10" fillId="0" borderId="0" xfId="107" applyNumberFormat="1" applyFill="1" applyBorder="1"/>
    <xf numFmtId="4" fontId="10" fillId="0" borderId="18" xfId="107" applyNumberFormat="1" applyFill="1" applyBorder="1"/>
    <xf numFmtId="167" fontId="32" fillId="0" borderId="0" xfId="0" applyNumberFormat="1" applyFont="1" applyFill="1" applyBorder="1" applyAlignment="1">
      <alignment horizontal="right"/>
    </xf>
    <xf numFmtId="172" fontId="32" fillId="0" borderId="0" xfId="0" applyNumberFormat="1" applyFont="1" applyFill="1" applyBorder="1" applyAlignment="1">
      <alignment horizontal="right"/>
    </xf>
    <xf numFmtId="4" fontId="10" fillId="0" borderId="1" xfId="107" applyNumberFormat="1" applyFill="1" applyBorder="1"/>
    <xf numFmtId="167" fontId="32" fillId="0" borderId="1" xfId="0" applyNumberFormat="1" applyFont="1" applyFill="1" applyBorder="1"/>
    <xf numFmtId="167" fontId="32" fillId="0" borderId="1" xfId="0" applyNumberFormat="1" applyFont="1" applyFill="1" applyBorder="1" applyAlignment="1">
      <alignment horizontal="right"/>
    </xf>
    <xf numFmtId="172" fontId="32" fillId="0" borderId="1" xfId="0" applyNumberFormat="1" applyFont="1" applyFill="1" applyBorder="1" applyAlignment="1">
      <alignment horizontal="right"/>
    </xf>
    <xf numFmtId="4" fontId="10" fillId="0" borderId="20" xfId="107" applyNumberFormat="1" applyFill="1" applyBorder="1"/>
    <xf numFmtId="4" fontId="10" fillId="0" borderId="2" xfId="107" applyNumberFormat="1" applyFill="1" applyBorder="1"/>
    <xf numFmtId="4" fontId="10" fillId="0" borderId="17" xfId="107" applyNumberFormat="1" applyFill="1" applyBorder="1"/>
    <xf numFmtId="4" fontId="10" fillId="0" borderId="22" xfId="107" applyNumberFormat="1" applyFill="1" applyBorder="1"/>
    <xf numFmtId="4" fontId="10" fillId="0" borderId="38" xfId="107" applyNumberFormat="1" applyFill="1" applyBorder="1"/>
    <xf numFmtId="4" fontId="10" fillId="0" borderId="23" xfId="107" applyNumberFormat="1" applyFill="1" applyBorder="1"/>
    <xf numFmtId="37" fontId="0" fillId="8" borderId="0" xfId="0" applyNumberFormat="1" applyFont="1" applyFill="1" applyBorder="1"/>
    <xf numFmtId="1" fontId="0" fillId="8" borderId="0" xfId="0" applyNumberFormat="1" applyFont="1" applyFill="1" applyBorder="1"/>
    <xf numFmtId="4" fontId="0" fillId="8" borderId="0" xfId="0" applyNumberFormat="1" applyFont="1" applyFill="1" applyBorder="1"/>
    <xf numFmtId="4" fontId="0" fillId="8" borderId="18" xfId="0" applyNumberFormat="1" applyFont="1" applyFill="1" applyBorder="1"/>
    <xf numFmtId="4" fontId="0" fillId="8" borderId="22" xfId="0" applyNumberFormat="1" applyFont="1" applyFill="1" applyBorder="1"/>
    <xf numFmtId="37" fontId="0" fillId="8" borderId="1" xfId="0" applyNumberFormat="1" applyFont="1" applyFill="1" applyBorder="1"/>
    <xf numFmtId="1" fontId="0" fillId="8" borderId="1" xfId="0" applyNumberFormat="1" applyFont="1" applyFill="1" applyBorder="1"/>
    <xf numFmtId="4" fontId="0" fillId="8" borderId="1" xfId="0" applyNumberFormat="1" applyFont="1" applyFill="1" applyBorder="1"/>
    <xf numFmtId="4" fontId="0" fillId="8" borderId="20" xfId="0" applyNumberFormat="1" applyFont="1" applyFill="1" applyBorder="1"/>
    <xf numFmtId="4" fontId="0" fillId="8" borderId="38" xfId="0" applyNumberFormat="1" applyFont="1" applyFill="1" applyBorder="1"/>
    <xf numFmtId="4" fontId="50" fillId="8" borderId="0" xfId="108" applyNumberFormat="1" applyFont="1" applyFill="1" applyBorder="1"/>
    <xf numFmtId="4" fontId="50" fillId="8" borderId="18" xfId="108" applyNumberFormat="1" applyFont="1" applyFill="1" applyBorder="1"/>
    <xf numFmtId="4" fontId="50" fillId="8" borderId="22" xfId="108" applyNumberFormat="1" applyFont="1" applyFill="1" applyBorder="1"/>
    <xf numFmtId="4" fontId="56" fillId="8" borderId="0" xfId="108" applyNumberFormat="1" applyFont="1" applyFill="1" applyBorder="1"/>
    <xf numFmtId="4" fontId="56" fillId="8" borderId="18" xfId="108" applyNumberFormat="1" applyFont="1" applyFill="1" applyBorder="1"/>
    <xf numFmtId="4" fontId="56" fillId="8" borderId="22" xfId="108" applyNumberFormat="1" applyFont="1" applyFill="1" applyBorder="1"/>
    <xf numFmtId="37" fontId="0" fillId="8" borderId="36" xfId="0" applyNumberFormat="1" applyFont="1" applyFill="1" applyBorder="1"/>
    <xf numFmtId="2" fontId="0" fillId="8" borderId="36" xfId="0" applyNumberFormat="1" applyFont="1" applyFill="1" applyBorder="1"/>
    <xf numFmtId="2" fontId="0" fillId="8" borderId="37" xfId="0" applyNumberFormat="1" applyFont="1" applyFill="1" applyBorder="1"/>
    <xf numFmtId="2" fontId="0" fillId="8" borderId="39" xfId="0" applyNumberFormat="1" applyFont="1" applyFill="1" applyBorder="1"/>
    <xf numFmtId="2" fontId="0" fillId="8" borderId="0" xfId="0" applyNumberFormat="1" applyFont="1" applyFill="1" applyBorder="1"/>
    <xf numFmtId="2" fontId="56" fillId="8" borderId="0" xfId="108" applyNumberFormat="1" applyFont="1" applyFill="1" applyBorder="1"/>
    <xf numFmtId="2" fontId="56" fillId="8" borderId="18" xfId="108" applyNumberFormat="1" applyFont="1" applyFill="1" applyBorder="1"/>
    <xf numFmtId="2" fontId="56" fillId="8" borderId="23" xfId="108" applyNumberFormat="1" applyFont="1" applyFill="1" applyBorder="1"/>
    <xf numFmtId="1" fontId="5" fillId="0" borderId="0" xfId="107" applyNumberFormat="1" applyFont="1" applyFill="1" applyBorder="1"/>
    <xf numFmtId="2" fontId="56" fillId="8" borderId="36" xfId="108" applyNumberFormat="1" applyFont="1" applyFill="1" applyBorder="1"/>
    <xf numFmtId="2" fontId="56" fillId="8" borderId="37" xfId="108" applyNumberFormat="1" applyFont="1" applyFill="1" applyBorder="1"/>
    <xf numFmtId="2" fontId="5" fillId="8" borderId="0" xfId="107" applyNumberFormat="1" applyFont="1" applyFill="1" applyBorder="1"/>
    <xf numFmtId="2" fontId="5" fillId="8" borderId="18" xfId="107" applyNumberFormat="1" applyFont="1" applyFill="1" applyBorder="1"/>
    <xf numFmtId="2" fontId="0" fillId="8" borderId="2" xfId="0" applyNumberFormat="1" applyFont="1" applyFill="1" applyBorder="1"/>
    <xf numFmtId="2" fontId="5" fillId="8" borderId="2" xfId="107" applyNumberFormat="1" applyFont="1" applyFill="1" applyBorder="1"/>
    <xf numFmtId="2" fontId="5" fillId="8" borderId="17" xfId="107" applyNumberFormat="1" applyFont="1" applyFill="1" applyBorder="1"/>
    <xf numFmtId="177" fontId="53" fillId="6" borderId="41" xfId="108" applyNumberFormat="1" applyFont="1" applyFill="1" applyBorder="1"/>
    <xf numFmtId="37" fontId="21" fillId="6" borderId="41" xfId="108" applyNumberFormat="1" applyFont="1" applyFill="1" applyBorder="1"/>
    <xf numFmtId="37" fontId="21" fillId="6" borderId="28" xfId="108" applyNumberFormat="1" applyFont="1" applyFill="1" applyBorder="1"/>
    <xf numFmtId="37" fontId="22" fillId="6" borderId="41" xfId="108" applyNumberFormat="1" applyFont="1" applyFill="1" applyBorder="1"/>
    <xf numFmtId="2" fontId="21" fillId="6" borderId="42" xfId="108" applyNumberFormat="1" applyFont="1" applyFill="1" applyBorder="1"/>
    <xf numFmtId="2" fontId="22" fillId="6" borderId="41" xfId="108" applyNumberFormat="1" applyFont="1" applyFill="1" applyBorder="1"/>
    <xf numFmtId="2" fontId="22" fillId="6" borderId="42" xfId="108" applyNumberFormat="1" applyFont="1" applyFill="1" applyBorder="1"/>
    <xf numFmtId="2" fontId="39" fillId="6" borderId="41" xfId="107" applyNumberFormat="1" applyFont="1" applyFill="1" applyBorder="1"/>
    <xf numFmtId="2" fontId="0" fillId="6" borderId="40" xfId="0" applyNumberFormat="1" applyFill="1" applyBorder="1"/>
    <xf numFmtId="0" fontId="4" fillId="6" borderId="13" xfId="107" applyFont="1" applyFill="1" applyBorder="1"/>
    <xf numFmtId="165" fontId="49" fillId="0" borderId="0" xfId="0" applyNumberFormat="1" applyFont="1" applyAlignment="1">
      <alignment horizontal="left"/>
    </xf>
    <xf numFmtId="165" fontId="38" fillId="0" borderId="0" xfId="107" applyNumberFormat="1" applyFont="1" applyAlignment="1">
      <alignment horizontal="left"/>
    </xf>
    <xf numFmtId="165" fontId="10" fillId="0" borderId="0" xfId="107" applyNumberFormat="1" applyAlignment="1">
      <alignment horizontal="left"/>
    </xf>
    <xf numFmtId="10" fontId="20" fillId="2" borderId="0" xfId="5" applyNumberFormat="1" applyFont="1" applyFill="1" applyBorder="1"/>
    <xf numFmtId="10" fontId="38" fillId="2" borderId="0" xfId="5" applyNumberFormat="1" applyFont="1" applyFill="1" applyBorder="1"/>
    <xf numFmtId="10" fontId="19" fillId="0" borderId="0" xfId="5" applyNumberFormat="1"/>
    <xf numFmtId="0" fontId="3" fillId="8" borderId="13" xfId="107" applyFont="1" applyFill="1" applyBorder="1"/>
    <xf numFmtId="167" fontId="58" fillId="9" borderId="12" xfId="0" applyNumberFormat="1" applyFont="1" applyFill="1" applyBorder="1"/>
    <xf numFmtId="179" fontId="59" fillId="8" borderId="1" xfId="0" applyNumberFormat="1" applyFont="1" applyFill="1" applyBorder="1"/>
    <xf numFmtId="179" fontId="59" fillId="8" borderId="36" xfId="0" applyNumberFormat="1" applyFont="1" applyFill="1" applyBorder="1"/>
    <xf numFmtId="180" fontId="33" fillId="2" borderId="0" xfId="0" applyNumberFormat="1" applyFont="1" applyFill="1" applyBorder="1"/>
    <xf numFmtId="181" fontId="30" fillId="2" borderId="0" xfId="5" applyNumberFormat="1" applyFont="1" applyFill="1" applyBorder="1"/>
    <xf numFmtId="181" fontId="30" fillId="2" borderId="0" xfId="3" applyNumberFormat="1" applyFont="1" applyFill="1" applyBorder="1"/>
    <xf numFmtId="182" fontId="30" fillId="2" borderId="0" xfId="5" applyNumberFormat="1" applyFont="1" applyFill="1" applyBorder="1"/>
    <xf numFmtId="10" fontId="33" fillId="2" borderId="0" xfId="0" applyNumberFormat="1" applyFont="1" applyFill="1" applyBorder="1"/>
    <xf numFmtId="0" fontId="60" fillId="0" borderId="0" xfId="108" applyFont="1" applyFill="1"/>
    <xf numFmtId="37" fontId="38" fillId="0" borderId="0" xfId="108" applyNumberFormat="1" applyFont="1"/>
    <xf numFmtId="10" fontId="21" fillId="0" borderId="0" xfId="5" applyNumberFormat="1" applyFont="1" applyAlignment="1">
      <alignment horizontal="center"/>
    </xf>
    <xf numFmtId="10" fontId="40" fillId="0" borderId="0" xfId="5" applyNumberFormat="1" applyFont="1" applyAlignment="1">
      <alignment horizontal="center"/>
    </xf>
    <xf numFmtId="10" fontId="40" fillId="0" borderId="0" xfId="3" applyNumberFormat="1" applyFont="1" applyBorder="1" applyAlignment="1">
      <alignment horizontal="center"/>
    </xf>
    <xf numFmtId="174" fontId="30" fillId="4" borderId="10" xfId="0" applyNumberFormat="1" applyFont="1" applyFill="1" applyBorder="1"/>
    <xf numFmtId="174" fontId="30" fillId="4" borderId="0" xfId="0" applyNumberFormat="1" applyFont="1" applyFill="1" applyBorder="1"/>
    <xf numFmtId="3" fontId="40" fillId="0" borderId="0" xfId="5" applyNumberFormat="1" applyFont="1" applyBorder="1" applyAlignment="1">
      <alignment horizontal="center"/>
    </xf>
    <xf numFmtId="0" fontId="21" fillId="2" borderId="31" xfId="5" applyFont="1" applyFill="1" applyBorder="1"/>
    <xf numFmtId="0" fontId="19" fillId="2" borderId="0" xfId="5" applyFill="1" applyBorder="1"/>
    <xf numFmtId="0" fontId="21" fillId="2" borderId="33" xfId="5" applyFont="1" applyFill="1" applyBorder="1"/>
    <xf numFmtId="0" fontId="19" fillId="2" borderId="43" xfId="5" applyFill="1" applyBorder="1"/>
    <xf numFmtId="2" fontId="19" fillId="0" borderId="0" xfId="5" applyNumberFormat="1"/>
    <xf numFmtId="10" fontId="62" fillId="4" borderId="0" xfId="0" applyNumberFormat="1" applyFont="1" applyFill="1" applyBorder="1"/>
    <xf numFmtId="0" fontId="63" fillId="0" borderId="0" xfId="5" applyFont="1"/>
    <xf numFmtId="0" fontId="0" fillId="0" borderId="0" xfId="0" applyAlignment="1">
      <alignment horizontal="left"/>
    </xf>
  </cellXfs>
  <cellStyles count="110">
    <cellStyle name="Comma" xfId="1" builtinId="3"/>
    <cellStyle name="Comma [0] 2" xfId="8"/>
    <cellStyle name="Comma 2" xfId="9"/>
    <cellStyle name="Currency" xfId="2" builtinId="4"/>
    <cellStyle name="Currency 2" xfId="1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 name="Normal 2" xfId="5"/>
    <cellStyle name="Normal 3" xfId="6"/>
    <cellStyle name="Normal 4" xfId="12"/>
    <cellStyle name="Normal 4 2" xfId="14"/>
    <cellStyle name="Normal 4 3" xfId="108"/>
    <cellStyle name="Normal 5" xfId="107"/>
    <cellStyle name="Normal 6" xfId="109"/>
    <cellStyle name="Normal_431_RealOptions 2" xfId="4"/>
    <cellStyle name="Percent" xfId="3" builtinId="5"/>
    <cellStyle name="Percent 2" xfId="7"/>
    <cellStyle name="Percent 3" xfId="11"/>
    <cellStyle name="常规 2 2" xfId="13"/>
  </cellStyles>
  <dxfs count="8">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9" defaultPivotStyle="PivotStyleLight16"/>
  <colors>
    <mruColors>
      <color rgb="FF99FF99"/>
      <color rgb="FFFFFF99"/>
      <color rgb="FF006600"/>
      <color rgb="FF3333FF"/>
      <color rgb="FFFFDDDD"/>
      <color rgb="FFFFD7AF"/>
      <color rgb="FFFFD3A7"/>
      <color rgb="FFFFCC99"/>
      <color rgb="FFFFCCCC"/>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One Scenario (or "Trial") of the Real Estate Market: Various Sources of Risk</a:t>
            </a:r>
            <a:r>
              <a:rPr lang="en-US" baseline="0"/>
              <a:t> &amp; Dynamics Shown Separately</a:t>
            </a:r>
            <a:endParaRPr lang="en-US"/>
          </a:p>
        </c:rich>
      </c:tx>
      <c:layout/>
      <c:overlay val="0"/>
    </c:title>
    <c:autoTitleDeleted val="0"/>
    <c:plotArea>
      <c:layout/>
      <c:lineChart>
        <c:grouping val="standard"/>
        <c:varyColors val="0"/>
        <c:ser>
          <c:idx val="1"/>
          <c:order val="0"/>
          <c:tx>
            <c:strRef>
              <c:f>MktDynamicsInputs!$C$33</c:f>
              <c:strCache>
                <c:ptCount val="1"/>
                <c:pt idx="0">
                  <c:v>Init Rent</c:v>
                </c:pt>
              </c:strCache>
            </c:strRef>
          </c:tx>
          <c:spPr>
            <a:ln>
              <a:solidFill>
                <a:schemeClr val="accent1"/>
              </a:solidFill>
            </a:ln>
          </c:spPr>
          <c:marker>
            <c:spPr>
              <a:solidFill>
                <a:schemeClr val="accent1"/>
              </a:solidFill>
              <a:ln>
                <a:solidFill>
                  <a:schemeClr val="accent1"/>
                </a:solidFill>
              </a:ln>
            </c:spPr>
          </c:marker>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MktDynamicsInputs!$C$44:$C$68</c:f>
              <c:numCache>
                <c:formatCode>#,##0.00000_);\(#,##0.00000\)</c:formatCode>
                <c:ptCount val="25"/>
                <c:pt idx="0">
                  <c:v>4.7922122090306052E-2</c:v>
                </c:pt>
                <c:pt idx="1">
                  <c:v>4.7922122090306052E-2</c:v>
                </c:pt>
                <c:pt idx="2">
                  <c:v>4.7922122090306052E-2</c:v>
                </c:pt>
                <c:pt idx="3">
                  <c:v>4.7922122090306052E-2</c:v>
                </c:pt>
                <c:pt idx="4">
                  <c:v>4.7922122090306052E-2</c:v>
                </c:pt>
                <c:pt idx="5">
                  <c:v>4.7922122090306052E-2</c:v>
                </c:pt>
                <c:pt idx="6">
                  <c:v>4.7922122090306052E-2</c:v>
                </c:pt>
                <c:pt idx="7">
                  <c:v>4.7922122090306052E-2</c:v>
                </c:pt>
                <c:pt idx="8">
                  <c:v>4.7922122090306052E-2</c:v>
                </c:pt>
                <c:pt idx="9">
                  <c:v>4.7922122090306052E-2</c:v>
                </c:pt>
                <c:pt idx="10">
                  <c:v>4.7922122090306052E-2</c:v>
                </c:pt>
                <c:pt idx="11">
                  <c:v>4.7922122090306052E-2</c:v>
                </c:pt>
                <c:pt idx="12">
                  <c:v>4.7922122090306052E-2</c:v>
                </c:pt>
                <c:pt idx="13">
                  <c:v>4.7922122090306052E-2</c:v>
                </c:pt>
                <c:pt idx="14">
                  <c:v>4.7922122090306052E-2</c:v>
                </c:pt>
                <c:pt idx="15">
                  <c:v>4.7922122090306052E-2</c:v>
                </c:pt>
                <c:pt idx="16">
                  <c:v>4.7922122090306052E-2</c:v>
                </c:pt>
                <c:pt idx="17">
                  <c:v>4.7922122090306052E-2</c:v>
                </c:pt>
                <c:pt idx="18">
                  <c:v>4.7922122090306052E-2</c:v>
                </c:pt>
                <c:pt idx="19">
                  <c:v>4.7922122090306052E-2</c:v>
                </c:pt>
                <c:pt idx="20">
                  <c:v>4.7922122090306052E-2</c:v>
                </c:pt>
                <c:pt idx="21">
                  <c:v>4.7922122090306052E-2</c:v>
                </c:pt>
                <c:pt idx="22">
                  <c:v>4.7922122090306052E-2</c:v>
                </c:pt>
                <c:pt idx="23">
                  <c:v>4.7922122090306052E-2</c:v>
                </c:pt>
                <c:pt idx="24">
                  <c:v>4.7922122090306052E-2</c:v>
                </c:pt>
              </c:numCache>
            </c:numRef>
          </c:val>
          <c:smooth val="0"/>
          <c:extLst>
            <c:ext xmlns:c16="http://schemas.microsoft.com/office/drawing/2014/chart" uri="{C3380CC4-5D6E-409C-BE32-E72D297353CC}">
              <c16:uniqueId val="{00000000-200E-4DCF-96EB-2CC23B862B5A}"/>
            </c:ext>
          </c:extLst>
        </c:ser>
        <c:ser>
          <c:idx val="0"/>
          <c:order val="1"/>
          <c:tx>
            <c:strRef>
              <c:f>MktDynamicsInputs!$D$33</c:f>
              <c:strCache>
                <c:ptCount val="1"/>
                <c:pt idx="0">
                  <c:v>Trend/Year</c:v>
                </c:pt>
              </c:strCache>
            </c:strRef>
          </c:tx>
          <c:spPr>
            <a:ln>
              <a:solidFill>
                <a:schemeClr val="accent2"/>
              </a:solidFill>
            </a:ln>
          </c:spPr>
          <c:marker>
            <c:spPr>
              <a:solidFill>
                <a:schemeClr val="accent2"/>
              </a:solidFill>
              <a:ln>
                <a:solidFill>
                  <a:schemeClr val="accent2"/>
                </a:solidFill>
              </a:ln>
            </c:spPr>
          </c:marker>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MktDynamicsInputs!$D$44:$D$68</c:f>
              <c:numCache>
                <c:formatCode>#,##0.00000_);\(#,##0.00000\)</c:formatCode>
                <c:ptCount val="25"/>
                <c:pt idx="0">
                  <c:v>4.7922122090306052E-2</c:v>
                </c:pt>
                <c:pt idx="1">
                  <c:v>4.7836209984465451E-2</c:v>
                </c:pt>
                <c:pt idx="2">
                  <c:v>4.7750451897053257E-2</c:v>
                </c:pt>
                <c:pt idx="3">
                  <c:v>4.7664847551953812E-2</c:v>
                </c:pt>
                <c:pt idx="4">
                  <c:v>4.7579396673546499E-2</c:v>
                </c:pt>
                <c:pt idx="5">
                  <c:v>4.7494098986704772E-2</c:v>
                </c:pt>
                <c:pt idx="6">
                  <c:v>4.740895421679537E-2</c:v>
                </c:pt>
                <c:pt idx="7">
                  <c:v>4.7323962089677332E-2</c:v>
                </c:pt>
                <c:pt idx="8">
                  <c:v>4.7239122331701182E-2</c:v>
                </c:pt>
                <c:pt idx="9">
                  <c:v>4.7154434669708041E-2</c:v>
                </c:pt>
                <c:pt idx="10">
                  <c:v>4.7069898831028703E-2</c:v>
                </c:pt>
                <c:pt idx="11">
                  <c:v>4.6985514543482813E-2</c:v>
                </c:pt>
                <c:pt idx="12">
                  <c:v>4.690128153537796E-2</c:v>
                </c:pt>
                <c:pt idx="13">
                  <c:v>4.6817199535508794E-2</c:v>
                </c:pt>
                <c:pt idx="14">
                  <c:v>4.6733268273156187E-2</c:v>
                </c:pt>
                <c:pt idx="15">
                  <c:v>4.6649487478086331E-2</c:v>
                </c:pt>
                <c:pt idx="16">
                  <c:v>4.6565856880549879E-2</c:v>
                </c:pt>
                <c:pt idx="17">
                  <c:v>4.6482376211281082E-2</c:v>
                </c:pt>
                <c:pt idx="18">
                  <c:v>4.6399045201496895E-2</c:v>
                </c:pt>
                <c:pt idx="19">
                  <c:v>4.6315863582896161E-2</c:v>
                </c:pt>
                <c:pt idx="20">
                  <c:v>4.6232831087658695E-2</c:v>
                </c:pt>
                <c:pt idx="21">
                  <c:v>4.6149947448444459E-2</c:v>
                </c:pt>
                <c:pt idx="22">
                  <c:v>4.6067212398392683E-2</c:v>
                </c:pt>
                <c:pt idx="23">
                  <c:v>4.5984625671121014E-2</c:v>
                </c:pt>
                <c:pt idx="24">
                  <c:v>4.5902187000724633E-2</c:v>
                </c:pt>
              </c:numCache>
            </c:numRef>
          </c:val>
          <c:smooth val="0"/>
          <c:extLst>
            <c:ext xmlns:c16="http://schemas.microsoft.com/office/drawing/2014/chart" uri="{C3380CC4-5D6E-409C-BE32-E72D297353CC}">
              <c16:uniqueId val="{00000001-200E-4DCF-96EB-2CC23B862B5A}"/>
            </c:ext>
          </c:extLst>
        </c:ser>
        <c:ser>
          <c:idx val="5"/>
          <c:order val="2"/>
          <c:tx>
            <c:strRef>
              <c:f>MktDynamicsInputs!$E$33</c:f>
              <c:strCache>
                <c:ptCount val="1"/>
                <c:pt idx="0">
                  <c:v>Volatility/
Year</c:v>
                </c:pt>
              </c:strCache>
            </c:strRef>
          </c:tx>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MktDynamicsInputs!$G$44:$G$68</c:f>
              <c:numCache>
                <c:formatCode>#,##0.00000_);\(#,##0.00000\)</c:formatCode>
                <c:ptCount val="25"/>
                <c:pt idx="0">
                  <c:v>4.7922122090306052E-2</c:v>
                </c:pt>
                <c:pt idx="1">
                  <c:v>4.7959118129433952E-2</c:v>
                </c:pt>
                <c:pt idx="2">
                  <c:v>4.1313657644921231E-2</c:v>
                </c:pt>
                <c:pt idx="3">
                  <c:v>4.0251513359256474E-2</c:v>
                </c:pt>
                <c:pt idx="4">
                  <c:v>4.8548330277289532E-2</c:v>
                </c:pt>
                <c:pt idx="5">
                  <c:v>4.3437980950980844E-2</c:v>
                </c:pt>
                <c:pt idx="6">
                  <c:v>4.4772973414986497E-2</c:v>
                </c:pt>
                <c:pt idx="7">
                  <c:v>4.8101680748530364E-2</c:v>
                </c:pt>
                <c:pt idx="8">
                  <c:v>4.5362276876607113E-2</c:v>
                </c:pt>
                <c:pt idx="9">
                  <c:v>5.0964381277638714E-2</c:v>
                </c:pt>
                <c:pt idx="10">
                  <c:v>5.8058095317920999E-2</c:v>
                </c:pt>
                <c:pt idx="11">
                  <c:v>5.2547846422580279E-2</c:v>
                </c:pt>
                <c:pt idx="12">
                  <c:v>5.7363463289734448E-2</c:v>
                </c:pt>
                <c:pt idx="13">
                  <c:v>6.0566767304770647E-2</c:v>
                </c:pt>
                <c:pt idx="14">
                  <c:v>6.1122387866987905E-2</c:v>
                </c:pt>
                <c:pt idx="15">
                  <c:v>6.1600228304105581E-2</c:v>
                </c:pt>
                <c:pt idx="16">
                  <c:v>6.3317195048600783E-2</c:v>
                </c:pt>
                <c:pt idx="17">
                  <c:v>6.3581825353350899E-2</c:v>
                </c:pt>
                <c:pt idx="18">
                  <c:v>6.386741498682251E-2</c:v>
                </c:pt>
                <c:pt idx="19">
                  <c:v>4.895463408773381E-2</c:v>
                </c:pt>
                <c:pt idx="20">
                  <c:v>5.0898713420610378E-2</c:v>
                </c:pt>
                <c:pt idx="21">
                  <c:v>4.9858188025830683E-2</c:v>
                </c:pt>
                <c:pt idx="22">
                  <c:v>5.6215631642013715E-2</c:v>
                </c:pt>
                <c:pt idx="23">
                  <c:v>6.3280571044505865E-2</c:v>
                </c:pt>
                <c:pt idx="24">
                  <c:v>5.730402336611029E-2</c:v>
                </c:pt>
              </c:numCache>
            </c:numRef>
          </c:val>
          <c:smooth val="0"/>
          <c:extLst>
            <c:ext xmlns:c16="http://schemas.microsoft.com/office/drawing/2014/chart" uri="{C3380CC4-5D6E-409C-BE32-E72D297353CC}">
              <c16:uniqueId val="{00000002-200E-4DCF-96EB-2CC23B862B5A}"/>
            </c:ext>
          </c:extLst>
        </c:ser>
        <c:ser>
          <c:idx val="2"/>
          <c:order val="3"/>
          <c:tx>
            <c:strRef>
              <c:f>MktDynamicsInputs!$I$33</c:f>
              <c:strCache>
                <c:ptCount val="1"/>
                <c:pt idx="0">
                  <c:v>Cycle</c:v>
                </c:pt>
              </c:strCache>
            </c:strRef>
          </c:tx>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MktDynamicsInputs!$I$44:$I$68</c:f>
              <c:numCache>
                <c:formatCode>#,##0.00000_);\(#,##0.00000\)</c:formatCode>
                <c:ptCount val="25"/>
                <c:pt idx="0">
                  <c:v>5.5457791659570266E-2</c:v>
                </c:pt>
                <c:pt idx="1">
                  <c:v>3.7567502332789729E-2</c:v>
                </c:pt>
                <c:pt idx="2">
                  <c:v>2.2225462330477071E-2</c:v>
                </c:pt>
                <c:pt idx="3">
                  <c:v>2.0721161079982037E-2</c:v>
                </c:pt>
                <c:pt idx="4">
                  <c:v>3.0784858138133635E-2</c:v>
                </c:pt>
                <c:pt idx="5">
                  <c:v>3.3949394551948647E-2</c:v>
                </c:pt>
                <c:pt idx="6">
                  <c:v>4.0381361983732565E-2</c:v>
                </c:pt>
                <c:pt idx="7">
                  <c:v>4.789172812599455E-2</c:v>
                </c:pt>
                <c:pt idx="8">
                  <c:v>4.935024070117227E-2</c:v>
                </c:pt>
                <c:pt idx="9">
                  <c:v>6.1410642490956985E-2</c:v>
                </c:pt>
                <c:pt idx="10">
                  <c:v>7.8440208325141481E-2</c:v>
                </c:pt>
                <c:pt idx="11">
                  <c:v>7.7646756662043639E-2</c:v>
                </c:pt>
                <c:pt idx="12">
                  <c:v>8.4551528274469975E-2</c:v>
                </c:pt>
                <c:pt idx="13">
                  <c:v>7.5702327638394032E-2</c:v>
                </c:pt>
                <c:pt idx="14">
                  <c:v>5.3742331437299166E-2</c:v>
                </c:pt>
                <c:pt idx="15">
                  <c:v>3.5842294531539205E-2</c:v>
                </c:pt>
                <c:pt idx="16">
                  <c:v>3.1774298915006993E-2</c:v>
                </c:pt>
                <c:pt idx="17">
                  <c:v>3.7861522226237364E-2</c:v>
                </c:pt>
                <c:pt idx="18">
                  <c:v>4.7501682854332934E-2</c:v>
                </c:pt>
                <c:pt idx="19">
                  <c:v>4.2739476522832699E-2</c:v>
                </c:pt>
                <c:pt idx="20">
                  <c:v>4.9470674006717584E-2</c:v>
                </c:pt>
                <c:pt idx="21">
                  <c:v>5.2935525311763258E-2</c:v>
                </c:pt>
                <c:pt idx="22">
                  <c:v>6.5790988092331512E-2</c:v>
                </c:pt>
                <c:pt idx="23">
                  <c:v>8.293917186476589E-2</c:v>
                </c:pt>
                <c:pt idx="24">
                  <c:v>8.3159986922600126E-2</c:v>
                </c:pt>
              </c:numCache>
            </c:numRef>
          </c:val>
          <c:smooth val="0"/>
          <c:extLst>
            <c:ext xmlns:c16="http://schemas.microsoft.com/office/drawing/2014/chart" uri="{C3380CC4-5D6E-409C-BE32-E72D297353CC}">
              <c16:uniqueId val="{00000003-200E-4DCF-96EB-2CC23B862B5A}"/>
            </c:ext>
          </c:extLst>
        </c:ser>
        <c:dLbls>
          <c:showLegendKey val="0"/>
          <c:showVal val="0"/>
          <c:showCatName val="0"/>
          <c:showSerName val="0"/>
          <c:showPercent val="0"/>
          <c:showBubbleSize val="0"/>
        </c:dLbls>
        <c:marker val="1"/>
        <c:smooth val="0"/>
        <c:axId val="2082340992"/>
        <c:axId val="2082331200"/>
      </c:lineChart>
      <c:lineChart>
        <c:grouping val="standard"/>
        <c:varyColors val="0"/>
        <c:ser>
          <c:idx val="3"/>
          <c:order val="4"/>
          <c:tx>
            <c:strRef>
              <c:f>MktDynamicsInputs!$L$33</c:f>
              <c:strCache>
                <c:ptCount val="1"/>
                <c:pt idx="0">
                  <c:v>Asset True Value</c:v>
                </c:pt>
              </c:strCache>
            </c:strRef>
          </c:tx>
          <c:val>
            <c:numRef>
              <c:f>MktDynamicsInputs!$L$44:$L$68</c:f>
              <c:numCache>
                <c:formatCode>0.00000_);\(0.00000\)</c:formatCode>
                <c:ptCount val="25"/>
                <c:pt idx="0">
                  <c:v>1.6703894281270837</c:v>
                </c:pt>
                <c:pt idx="1">
                  <c:v>0.84577948303258577</c:v>
                </c:pt>
                <c:pt idx="2">
                  <c:v>0.37822355566968269</c:v>
                </c:pt>
                <c:pt idx="3">
                  <c:v>0.30341130110022563</c:v>
                </c:pt>
                <c:pt idx="4">
                  <c:v>0.44230119486185293</c:v>
                </c:pt>
                <c:pt idx="5">
                  <c:v>0.51970267959412186</c:v>
                </c:pt>
                <c:pt idx="6">
                  <c:v>0.67726582481253605</c:v>
                </c:pt>
                <c:pt idx="7">
                  <c:v>0.87428448996807928</c:v>
                </c:pt>
                <c:pt idx="8">
                  <c:v>0.96710727135702312</c:v>
                </c:pt>
                <c:pt idx="9">
                  <c:v>1.2904419796994124</c:v>
                </c:pt>
                <c:pt idx="10">
                  <c:v>1.8045899261172191</c:v>
                </c:pt>
                <c:pt idx="11">
                  <c:v>2.0345585381809959</c:v>
                </c:pt>
                <c:pt idx="12">
                  <c:v>2.5923155911582256</c:v>
                </c:pt>
                <c:pt idx="13">
                  <c:v>2.5226748030726482</c:v>
                </c:pt>
                <c:pt idx="14">
                  <c:v>1.5577014938845659</c:v>
                </c:pt>
                <c:pt idx="15">
                  <c:v>0.76723653391290703</c:v>
                </c:pt>
                <c:pt idx="16">
                  <c:v>0.52272062676295328</c:v>
                </c:pt>
                <c:pt idx="17">
                  <c:v>0.54837394211564383</c:v>
                </c:pt>
                <c:pt idx="18">
                  <c:v>0.68668433929281258</c:v>
                </c:pt>
                <c:pt idx="19">
                  <c:v>0.66346305446538911</c:v>
                </c:pt>
                <c:pt idx="20">
                  <c:v>0.84184090619296859</c:v>
                </c:pt>
                <c:pt idx="21">
                  <c:v>0.97816229778425456</c:v>
                </c:pt>
                <c:pt idx="22">
                  <c:v>1.3032095543997482</c:v>
                </c:pt>
                <c:pt idx="23">
                  <c:v>1.7647556715011048</c:v>
                </c:pt>
                <c:pt idx="24">
                  <c:v>1.9477281254618473</c:v>
                </c:pt>
              </c:numCache>
            </c:numRef>
          </c:val>
          <c:smooth val="0"/>
          <c:extLst>
            <c:ext xmlns:c16="http://schemas.microsoft.com/office/drawing/2014/chart" uri="{C3380CC4-5D6E-409C-BE32-E72D297353CC}">
              <c16:uniqueId val="{00000004-200E-4DCF-96EB-2CC23B862B5A}"/>
            </c:ext>
          </c:extLst>
        </c:ser>
        <c:ser>
          <c:idx val="4"/>
          <c:order val="5"/>
          <c:tx>
            <c:strRef>
              <c:f>MktDynamicsInputs!$O$33</c:f>
              <c:strCache>
                <c:ptCount val="1"/>
                <c:pt idx="0">
                  <c:v>NoisyVal</c:v>
                </c:pt>
              </c:strCache>
            </c:strRef>
          </c:tx>
          <c:val>
            <c:numRef>
              <c:f>MktDynamicsInputs!$O$44:$O$68</c:f>
              <c:numCache>
                <c:formatCode>0.00000_);\(0.00000\)</c:formatCode>
                <c:ptCount val="25"/>
                <c:pt idx="0">
                  <c:v>1.5904865900147853</c:v>
                </c:pt>
                <c:pt idx="1">
                  <c:v>0.83581189156420033</c:v>
                </c:pt>
                <c:pt idx="2">
                  <c:v>0.38048228910853249</c:v>
                </c:pt>
                <c:pt idx="3">
                  <c:v>0.30264099803365785</c:v>
                </c:pt>
                <c:pt idx="4">
                  <c:v>0.47426825553718205</c:v>
                </c:pt>
                <c:pt idx="5">
                  <c:v>0.50805853185658745</c:v>
                </c:pt>
                <c:pt idx="6">
                  <c:v>0.67471889276330144</c:v>
                </c:pt>
                <c:pt idx="7">
                  <c:v>0.91446080816634279</c:v>
                </c:pt>
                <c:pt idx="8">
                  <c:v>0.92978403854675262</c:v>
                </c:pt>
                <c:pt idx="9">
                  <c:v>1.3922646177100326</c:v>
                </c:pt>
                <c:pt idx="10">
                  <c:v>1.8350830292984239</c:v>
                </c:pt>
                <c:pt idx="11">
                  <c:v>1.9769698049051811</c:v>
                </c:pt>
                <c:pt idx="12">
                  <c:v>2.5374007188661412</c:v>
                </c:pt>
                <c:pt idx="13">
                  <c:v>2.3495906588632236</c:v>
                </c:pt>
                <c:pt idx="14">
                  <c:v>1.4529246715779316</c:v>
                </c:pt>
                <c:pt idx="15">
                  <c:v>0.82126650110027899</c:v>
                </c:pt>
                <c:pt idx="16">
                  <c:v>0.52256686947750863</c:v>
                </c:pt>
                <c:pt idx="17">
                  <c:v>0.56247506089357291</c:v>
                </c:pt>
                <c:pt idx="18">
                  <c:v>0.73120613303084248</c:v>
                </c:pt>
                <c:pt idx="19">
                  <c:v>0.62636781129058294</c:v>
                </c:pt>
                <c:pt idx="20">
                  <c:v>0.83793888398621941</c:v>
                </c:pt>
                <c:pt idx="21">
                  <c:v>0.95504569753202095</c:v>
                </c:pt>
                <c:pt idx="22">
                  <c:v>1.4020148451993326</c:v>
                </c:pt>
                <c:pt idx="23">
                  <c:v>1.7301987991966048</c:v>
                </c:pt>
                <c:pt idx="24">
                  <c:v>1.9252086530721717</c:v>
                </c:pt>
              </c:numCache>
            </c:numRef>
          </c:val>
          <c:smooth val="0"/>
          <c:extLst>
            <c:ext xmlns:c16="http://schemas.microsoft.com/office/drawing/2014/chart" uri="{C3380CC4-5D6E-409C-BE32-E72D297353CC}">
              <c16:uniqueId val="{00000005-200E-4DCF-96EB-2CC23B862B5A}"/>
            </c:ext>
          </c:extLst>
        </c:ser>
        <c:ser>
          <c:idx val="6"/>
          <c:order val="6"/>
          <c:tx>
            <c:strRef>
              <c:f>MktDynamicsInputs!$Q$33</c:f>
              <c:strCache>
                <c:ptCount val="1"/>
                <c:pt idx="0">
                  <c:v>Historical Val</c:v>
                </c:pt>
              </c:strCache>
            </c:strRef>
          </c:tx>
          <c:spPr>
            <a:ln>
              <a:solidFill>
                <a:schemeClr val="tx2"/>
              </a:solidFill>
            </a:ln>
          </c:spPr>
          <c:marker>
            <c:spPr>
              <a:solidFill>
                <a:schemeClr val="tx2"/>
              </a:solidFill>
              <a:ln>
                <a:solidFill>
                  <a:schemeClr val="tx2"/>
                </a:solidFill>
              </a:ln>
            </c:spPr>
          </c:marker>
          <c:val>
            <c:numRef>
              <c:f>MktDynamicsInputs!$Q$44:$Q$68</c:f>
              <c:numCache>
                <c:formatCode>0.00000_);\(0.00000\)</c:formatCode>
                <c:ptCount val="25"/>
                <c:pt idx="0">
                  <c:v>1.5904865900147853</c:v>
                </c:pt>
                <c:pt idx="1">
                  <c:v>0.83581189156420033</c:v>
                </c:pt>
                <c:pt idx="2">
                  <c:v>0.38048228910853249</c:v>
                </c:pt>
                <c:pt idx="3">
                  <c:v>0.30264099803365785</c:v>
                </c:pt>
                <c:pt idx="4">
                  <c:v>0.47426825553718205</c:v>
                </c:pt>
                <c:pt idx="5">
                  <c:v>0.50805853185658745</c:v>
                </c:pt>
                <c:pt idx="6">
                  <c:v>0.67471889276330144</c:v>
                </c:pt>
                <c:pt idx="7">
                  <c:v>0.91446080816634279</c:v>
                </c:pt>
                <c:pt idx="8">
                  <c:v>0.92978403854675262</c:v>
                </c:pt>
                <c:pt idx="9">
                  <c:v>1.3922646177100326</c:v>
                </c:pt>
                <c:pt idx="10">
                  <c:v>1.8350830292984239</c:v>
                </c:pt>
                <c:pt idx="11">
                  <c:v>1.9769698049051811</c:v>
                </c:pt>
                <c:pt idx="12">
                  <c:v>2.5374007188661412</c:v>
                </c:pt>
                <c:pt idx="13">
                  <c:v>2.3495906588632236</c:v>
                </c:pt>
                <c:pt idx="14">
                  <c:v>1.4529246715779316</c:v>
                </c:pt>
                <c:pt idx="15">
                  <c:v>0.82126650110027899</c:v>
                </c:pt>
                <c:pt idx="16">
                  <c:v>0.3919251521081315</c:v>
                </c:pt>
                <c:pt idx="17">
                  <c:v>0.46404192523719762</c:v>
                </c:pt>
                <c:pt idx="18">
                  <c:v>0.6416333817345643</c:v>
                </c:pt>
                <c:pt idx="19">
                  <c:v>0.57265677147241545</c:v>
                </c:pt>
                <c:pt idx="20">
                  <c:v>0.78764160247494663</c:v>
                </c:pt>
                <c:pt idx="21">
                  <c:v>0.91491706493596925</c:v>
                </c:pt>
                <c:pt idx="22">
                  <c:v>1.3607784340686184</c:v>
                </c:pt>
                <c:pt idx="23">
                  <c:v>1.6945764714544356</c:v>
                </c:pt>
                <c:pt idx="24">
                  <c:v>1.8974625411510739</c:v>
                </c:pt>
              </c:numCache>
            </c:numRef>
          </c:val>
          <c:smooth val="0"/>
          <c:extLst>
            <c:ext xmlns:c16="http://schemas.microsoft.com/office/drawing/2014/chart" uri="{C3380CC4-5D6E-409C-BE32-E72D297353CC}">
              <c16:uniqueId val="{00000006-200E-4DCF-96EB-2CC23B862B5A}"/>
            </c:ext>
          </c:extLst>
        </c:ser>
        <c:dLbls>
          <c:showLegendKey val="0"/>
          <c:showVal val="0"/>
          <c:showCatName val="0"/>
          <c:showSerName val="0"/>
          <c:showPercent val="0"/>
          <c:showBubbleSize val="0"/>
        </c:dLbls>
        <c:hiLowLines>
          <c:spPr>
            <a:ln>
              <a:noFill/>
            </a:ln>
          </c:spPr>
        </c:hiLowLines>
        <c:marker val="1"/>
        <c:smooth val="0"/>
        <c:axId val="2082330656"/>
        <c:axId val="1858251184"/>
      </c:lineChart>
      <c:catAx>
        <c:axId val="2082340992"/>
        <c:scaling>
          <c:orientation val="minMax"/>
        </c:scaling>
        <c:delete val="0"/>
        <c:axPos val="b"/>
        <c:title>
          <c:tx>
            <c:rich>
              <a:bodyPr/>
              <a:lstStyle/>
              <a:p>
                <a:pPr>
                  <a:defRPr/>
                </a:pPr>
                <a:r>
                  <a:rPr lang="en-US"/>
                  <a:t>Years</a:t>
                </a:r>
              </a:p>
            </c:rich>
          </c:tx>
          <c:layout/>
          <c:overlay val="0"/>
        </c:title>
        <c:numFmt formatCode="General" sourceLinked="1"/>
        <c:majorTickMark val="none"/>
        <c:minorTickMark val="none"/>
        <c:tickLblPos val="nextTo"/>
        <c:txPr>
          <a:bodyPr rot="-5400000" vert="horz"/>
          <a:lstStyle/>
          <a:p>
            <a:pPr>
              <a:defRPr/>
            </a:pPr>
            <a:endParaRPr lang="en-US"/>
          </a:p>
        </c:txPr>
        <c:crossAx val="2082331200"/>
        <c:crosses val="autoZero"/>
        <c:auto val="0"/>
        <c:lblAlgn val="ctr"/>
        <c:lblOffset val="100"/>
        <c:tickLblSkip val="1"/>
        <c:tickMarkSkip val="1"/>
        <c:noMultiLvlLbl val="0"/>
      </c:catAx>
      <c:valAx>
        <c:axId val="2082331200"/>
        <c:scaling>
          <c:orientation val="minMax"/>
        </c:scaling>
        <c:delete val="0"/>
        <c:axPos val="l"/>
        <c:majorGridlines/>
        <c:title>
          <c:tx>
            <c:rich>
              <a:bodyPr rot="-5400000" vert="horz"/>
              <a:lstStyle/>
              <a:p>
                <a:pPr>
                  <a:defRPr/>
                </a:pPr>
                <a:r>
                  <a:rPr lang="en-US"/>
                  <a:t>Rents</a:t>
                </a:r>
              </a:p>
            </c:rich>
          </c:tx>
          <c:layout/>
          <c:overlay val="0"/>
        </c:title>
        <c:numFmt formatCode="#,##0.00" sourceLinked="0"/>
        <c:majorTickMark val="out"/>
        <c:minorTickMark val="none"/>
        <c:tickLblPos val="nextTo"/>
        <c:txPr>
          <a:bodyPr rot="0" vert="horz"/>
          <a:lstStyle/>
          <a:p>
            <a:pPr>
              <a:defRPr/>
            </a:pPr>
            <a:endParaRPr lang="en-US"/>
          </a:p>
        </c:txPr>
        <c:crossAx val="2082340992"/>
        <c:crosses val="autoZero"/>
        <c:crossBetween val="between"/>
      </c:valAx>
      <c:catAx>
        <c:axId val="2082330656"/>
        <c:scaling>
          <c:orientation val="minMax"/>
        </c:scaling>
        <c:delete val="1"/>
        <c:axPos val="b"/>
        <c:majorTickMark val="out"/>
        <c:minorTickMark val="none"/>
        <c:tickLblPos val="none"/>
        <c:crossAx val="1858251184"/>
        <c:crosses val="autoZero"/>
        <c:auto val="0"/>
        <c:lblAlgn val="ctr"/>
        <c:lblOffset val="100"/>
        <c:noMultiLvlLbl val="0"/>
      </c:catAx>
      <c:valAx>
        <c:axId val="1858251184"/>
        <c:scaling>
          <c:orientation val="minMax"/>
        </c:scaling>
        <c:delete val="0"/>
        <c:axPos val="r"/>
        <c:title>
          <c:tx>
            <c:rich>
              <a:bodyPr rot="5400000" vert="horz"/>
              <a:lstStyle/>
              <a:p>
                <a:pPr>
                  <a:defRPr/>
                </a:pPr>
                <a:r>
                  <a:rPr lang="en-US"/>
                  <a:t>Asset Values (PVs)</a:t>
                </a:r>
              </a:p>
            </c:rich>
          </c:tx>
          <c:layout>
            <c:manualLayout>
              <c:xMode val="edge"/>
              <c:yMode val="edge"/>
              <c:x val="0.85421243042817341"/>
              <c:y val="0.39564665514441216"/>
            </c:manualLayout>
          </c:layout>
          <c:overlay val="0"/>
        </c:title>
        <c:numFmt formatCode="#,##0.00" sourceLinked="0"/>
        <c:majorTickMark val="cross"/>
        <c:minorTickMark val="none"/>
        <c:tickLblPos val="nextTo"/>
        <c:txPr>
          <a:bodyPr rot="0" vert="horz"/>
          <a:lstStyle/>
          <a:p>
            <a:pPr>
              <a:defRPr/>
            </a:pPr>
            <a:endParaRPr lang="en-US"/>
          </a:p>
        </c:txPr>
        <c:crossAx val="2082330656"/>
        <c:crosses val="max"/>
        <c:crossBetween val="between"/>
      </c:valAx>
    </c:plotArea>
    <c:legend>
      <c:legendPos val="r"/>
      <c:layout>
        <c:manualLayout>
          <c:xMode val="edge"/>
          <c:yMode val="edge"/>
          <c:x val="0.87250414590224623"/>
          <c:y val="0.27164145698995845"/>
          <c:w val="0.10865362075462839"/>
          <c:h val="0.58729815979725974"/>
        </c:manualLayout>
      </c:layout>
      <c:overlay val="0"/>
    </c:legend>
    <c:plotVisOnly val="1"/>
    <c:dispBlanksAs val="gap"/>
    <c:showDLblsOverMax val="0"/>
  </c:chart>
  <c:printSettings>
    <c:headerFooter alignWithMargins="0">
      <c:oddHeader>&amp;A</c:oddHeader>
      <c:oddFooter>Page &amp;P</c:oddFooter>
    </c:headerFooter>
    <c:pageMargins b="1" l="0.75000000000000899" r="0.75000000000000899" t="1" header="0.5" footer="0.5"/>
    <c:pageSetup orientation="landscape" horizontalDpi="1200" verticalDpi="120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One Scenario(or "Trial") of the Real Estate Market:</a:t>
            </a:r>
          </a:p>
          <a:p>
            <a:pPr>
              <a:defRPr/>
            </a:pPr>
            <a:r>
              <a:rPr lang="en-US"/>
              <a:t>Generation</a:t>
            </a:r>
            <a:r>
              <a:rPr lang="en-US" baseline="0"/>
              <a:t> of </a:t>
            </a:r>
            <a:r>
              <a:rPr lang="en-US"/>
              <a:t>Pricing Factors Relative to Base Case</a:t>
            </a:r>
          </a:p>
        </c:rich>
      </c:tx>
      <c:layout/>
      <c:overlay val="0"/>
    </c:title>
    <c:autoTitleDeleted val="0"/>
    <c:plotArea>
      <c:layout/>
      <c:lineChart>
        <c:grouping val="standard"/>
        <c:varyColors val="0"/>
        <c:ser>
          <c:idx val="0"/>
          <c:order val="1"/>
          <c:tx>
            <c:v>Long-term Trend</c:v>
          </c:tx>
          <c:spPr>
            <a:ln>
              <a:solidFill>
                <a:schemeClr val="accent2"/>
              </a:solidFill>
            </a:ln>
          </c:spPr>
          <c:marker>
            <c:spPr>
              <a:solidFill>
                <a:schemeClr val="accent2"/>
              </a:solidFill>
              <a:ln>
                <a:solidFill>
                  <a:schemeClr val="accent2"/>
                </a:solidFill>
              </a:ln>
            </c:spPr>
          </c:marker>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MktDynamicsInputs!$D$44:$D$68</c:f>
              <c:numCache>
                <c:formatCode>#,##0.00000_);\(#,##0.00000\)</c:formatCode>
                <c:ptCount val="25"/>
                <c:pt idx="0">
                  <c:v>4.7922122090306052E-2</c:v>
                </c:pt>
                <c:pt idx="1">
                  <c:v>4.7836209984465451E-2</c:v>
                </c:pt>
                <c:pt idx="2">
                  <c:v>4.7750451897053257E-2</c:v>
                </c:pt>
                <c:pt idx="3">
                  <c:v>4.7664847551953812E-2</c:v>
                </c:pt>
                <c:pt idx="4">
                  <c:v>4.7579396673546499E-2</c:v>
                </c:pt>
                <c:pt idx="5">
                  <c:v>4.7494098986704772E-2</c:v>
                </c:pt>
                <c:pt idx="6">
                  <c:v>4.740895421679537E-2</c:v>
                </c:pt>
                <c:pt idx="7">
                  <c:v>4.7323962089677332E-2</c:v>
                </c:pt>
                <c:pt idx="8">
                  <c:v>4.7239122331701182E-2</c:v>
                </c:pt>
                <c:pt idx="9">
                  <c:v>4.7154434669708041E-2</c:v>
                </c:pt>
                <c:pt idx="10">
                  <c:v>4.7069898831028703E-2</c:v>
                </c:pt>
                <c:pt idx="11">
                  <c:v>4.6985514543482813E-2</c:v>
                </c:pt>
                <c:pt idx="12">
                  <c:v>4.690128153537796E-2</c:v>
                </c:pt>
                <c:pt idx="13">
                  <c:v>4.6817199535508794E-2</c:v>
                </c:pt>
                <c:pt idx="14">
                  <c:v>4.6733268273156187E-2</c:v>
                </c:pt>
                <c:pt idx="15">
                  <c:v>4.6649487478086331E-2</c:v>
                </c:pt>
                <c:pt idx="16">
                  <c:v>4.6565856880549879E-2</c:v>
                </c:pt>
                <c:pt idx="17">
                  <c:v>4.6482376211281082E-2</c:v>
                </c:pt>
                <c:pt idx="18">
                  <c:v>4.6399045201496895E-2</c:v>
                </c:pt>
                <c:pt idx="19">
                  <c:v>4.6315863582896161E-2</c:v>
                </c:pt>
                <c:pt idx="20">
                  <c:v>4.6232831087658695E-2</c:v>
                </c:pt>
                <c:pt idx="21">
                  <c:v>4.6149947448444459E-2</c:v>
                </c:pt>
                <c:pt idx="22">
                  <c:v>4.6067212398392683E-2</c:v>
                </c:pt>
                <c:pt idx="23">
                  <c:v>4.5984625671121014E-2</c:v>
                </c:pt>
                <c:pt idx="24">
                  <c:v>4.5902187000724633E-2</c:v>
                </c:pt>
              </c:numCache>
            </c:numRef>
          </c:val>
          <c:smooth val="0"/>
          <c:extLst>
            <c:ext xmlns:c16="http://schemas.microsoft.com/office/drawing/2014/chart" uri="{C3380CC4-5D6E-409C-BE32-E72D297353CC}">
              <c16:uniqueId val="{00000000-E38F-439A-8ED4-1A43F303BCA0}"/>
            </c:ext>
          </c:extLst>
        </c:ser>
        <c:ser>
          <c:idx val="7"/>
          <c:order val="7"/>
          <c:tx>
            <c:v>Space Mkt</c:v>
          </c:tx>
          <c:marker>
            <c:symbol val="triangle"/>
            <c:size val="12"/>
            <c:spPr>
              <a:noFill/>
            </c:spPr>
          </c:marker>
          <c:val>
            <c:numRef>
              <c:f>MktDynamicsInputs!$I$44:$I$68</c:f>
              <c:numCache>
                <c:formatCode>#,##0.00000_);\(#,##0.00000\)</c:formatCode>
                <c:ptCount val="25"/>
                <c:pt idx="0">
                  <c:v>5.5457791659570266E-2</c:v>
                </c:pt>
                <c:pt idx="1">
                  <c:v>3.7567502332789729E-2</c:v>
                </c:pt>
                <c:pt idx="2">
                  <c:v>2.2225462330477071E-2</c:v>
                </c:pt>
                <c:pt idx="3">
                  <c:v>2.0721161079982037E-2</c:v>
                </c:pt>
                <c:pt idx="4">
                  <c:v>3.0784858138133635E-2</c:v>
                </c:pt>
                <c:pt idx="5">
                  <c:v>3.3949394551948647E-2</c:v>
                </c:pt>
                <c:pt idx="6">
                  <c:v>4.0381361983732565E-2</c:v>
                </c:pt>
                <c:pt idx="7">
                  <c:v>4.789172812599455E-2</c:v>
                </c:pt>
                <c:pt idx="8">
                  <c:v>4.935024070117227E-2</c:v>
                </c:pt>
                <c:pt idx="9">
                  <c:v>6.1410642490956985E-2</c:v>
                </c:pt>
                <c:pt idx="10">
                  <c:v>7.8440208325141481E-2</c:v>
                </c:pt>
                <c:pt idx="11">
                  <c:v>7.7646756662043639E-2</c:v>
                </c:pt>
                <c:pt idx="12">
                  <c:v>8.4551528274469975E-2</c:v>
                </c:pt>
                <c:pt idx="13">
                  <c:v>7.5702327638394032E-2</c:v>
                </c:pt>
                <c:pt idx="14">
                  <c:v>5.3742331437299166E-2</c:v>
                </c:pt>
                <c:pt idx="15">
                  <c:v>3.5842294531539205E-2</c:v>
                </c:pt>
                <c:pt idx="16">
                  <c:v>3.1774298915006993E-2</c:v>
                </c:pt>
                <c:pt idx="17">
                  <c:v>3.7861522226237364E-2</c:v>
                </c:pt>
                <c:pt idx="18">
                  <c:v>4.7501682854332934E-2</c:v>
                </c:pt>
                <c:pt idx="19">
                  <c:v>4.2739476522832699E-2</c:v>
                </c:pt>
                <c:pt idx="20">
                  <c:v>4.9470674006717584E-2</c:v>
                </c:pt>
                <c:pt idx="21">
                  <c:v>5.2935525311763258E-2</c:v>
                </c:pt>
                <c:pt idx="22">
                  <c:v>6.5790988092331512E-2</c:v>
                </c:pt>
                <c:pt idx="23">
                  <c:v>8.293917186476589E-2</c:v>
                </c:pt>
                <c:pt idx="24">
                  <c:v>8.3159986922600126E-2</c:v>
                </c:pt>
              </c:numCache>
            </c:numRef>
          </c:val>
          <c:smooth val="0"/>
          <c:extLst>
            <c:ext xmlns:c16="http://schemas.microsoft.com/office/drawing/2014/chart" uri="{C3380CC4-5D6E-409C-BE32-E72D297353CC}">
              <c16:uniqueId val="{00000000-D66C-4EB6-8CA4-28CB97EFB695}"/>
            </c:ext>
          </c:extLst>
        </c:ser>
        <c:dLbls>
          <c:showLegendKey val="0"/>
          <c:showVal val="0"/>
          <c:showCatName val="0"/>
          <c:showSerName val="0"/>
          <c:showPercent val="0"/>
          <c:showBubbleSize val="0"/>
        </c:dLbls>
        <c:marker val="1"/>
        <c:smooth val="0"/>
        <c:axId val="2085142432"/>
        <c:axId val="2085150048"/>
        <c:extLst>
          <c:ext xmlns:c15="http://schemas.microsoft.com/office/drawing/2012/chart" uri="{02D57815-91ED-43cb-92C2-25804820EDAC}">
            <c15:filteredLineSeries>
              <c15:ser>
                <c:idx val="1"/>
                <c:order val="0"/>
                <c:tx>
                  <c:strRef>
                    <c:extLst>
                      <c:ext uri="{02D57815-91ED-43cb-92C2-25804820EDAC}">
                        <c15:formulaRef>
                          <c15:sqref>MktDynamicsInputs!$C$33</c15:sqref>
                        </c15:formulaRef>
                      </c:ext>
                    </c:extLst>
                    <c:strCache>
                      <c:ptCount val="1"/>
                      <c:pt idx="0">
                        <c:v>Init Rent</c:v>
                      </c:pt>
                    </c:strCache>
                  </c:strRef>
                </c:tx>
                <c:spPr>
                  <a:ln>
                    <a:solidFill>
                      <a:schemeClr val="accent1"/>
                    </a:solidFill>
                  </a:ln>
                </c:spPr>
                <c:marker>
                  <c:spPr>
                    <a:solidFill>
                      <a:schemeClr val="accent1"/>
                    </a:solidFill>
                    <a:ln>
                      <a:solidFill>
                        <a:schemeClr val="accent1"/>
                      </a:solidFill>
                    </a:ln>
                  </c:spPr>
                </c:marker>
                <c:cat>
                  <c:numRef>
                    <c:extLst>
                      <c:ext uri="{02D57815-91ED-43cb-92C2-25804820EDAC}">
                        <c15:formulaRef>
                          <c15:sqref>MktDynamicsInputs!$B$44:$B$68</c15:sqref>
                        </c15:formulaRef>
                      </c:ext>
                    </c:extLst>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extLst>
                      <c:ext uri="{02D57815-91ED-43cb-92C2-25804820EDAC}">
                        <c15:formulaRef>
                          <c15:sqref>MktDynamicsInputs!$C$44:$C$68</c15:sqref>
                        </c15:formulaRef>
                      </c:ext>
                    </c:extLst>
                    <c:numCache>
                      <c:formatCode>#,##0.00000_);\(#,##0.00000\)</c:formatCode>
                      <c:ptCount val="25"/>
                      <c:pt idx="0">
                        <c:v>4.7922122090306052E-2</c:v>
                      </c:pt>
                      <c:pt idx="1">
                        <c:v>4.7922122090306052E-2</c:v>
                      </c:pt>
                      <c:pt idx="2">
                        <c:v>4.7922122090306052E-2</c:v>
                      </c:pt>
                      <c:pt idx="3">
                        <c:v>4.7922122090306052E-2</c:v>
                      </c:pt>
                      <c:pt idx="4">
                        <c:v>4.7922122090306052E-2</c:v>
                      </c:pt>
                      <c:pt idx="5">
                        <c:v>4.7922122090306052E-2</c:v>
                      </c:pt>
                      <c:pt idx="6">
                        <c:v>4.7922122090306052E-2</c:v>
                      </c:pt>
                      <c:pt idx="7">
                        <c:v>4.7922122090306052E-2</c:v>
                      </c:pt>
                      <c:pt idx="8">
                        <c:v>4.7922122090306052E-2</c:v>
                      </c:pt>
                      <c:pt idx="9">
                        <c:v>4.7922122090306052E-2</c:v>
                      </c:pt>
                      <c:pt idx="10">
                        <c:v>4.7922122090306052E-2</c:v>
                      </c:pt>
                      <c:pt idx="11">
                        <c:v>4.7922122090306052E-2</c:v>
                      </c:pt>
                      <c:pt idx="12">
                        <c:v>4.7922122090306052E-2</c:v>
                      </c:pt>
                      <c:pt idx="13">
                        <c:v>4.7922122090306052E-2</c:v>
                      </c:pt>
                      <c:pt idx="14">
                        <c:v>4.7922122090306052E-2</c:v>
                      </c:pt>
                      <c:pt idx="15">
                        <c:v>4.7922122090306052E-2</c:v>
                      </c:pt>
                      <c:pt idx="16">
                        <c:v>4.7922122090306052E-2</c:v>
                      </c:pt>
                      <c:pt idx="17">
                        <c:v>4.7922122090306052E-2</c:v>
                      </c:pt>
                      <c:pt idx="18">
                        <c:v>4.7922122090306052E-2</c:v>
                      </c:pt>
                      <c:pt idx="19">
                        <c:v>4.7922122090306052E-2</c:v>
                      </c:pt>
                      <c:pt idx="20">
                        <c:v>4.7922122090306052E-2</c:v>
                      </c:pt>
                      <c:pt idx="21">
                        <c:v>4.7922122090306052E-2</c:v>
                      </c:pt>
                      <c:pt idx="22">
                        <c:v>4.7922122090306052E-2</c:v>
                      </c:pt>
                      <c:pt idx="23">
                        <c:v>4.7922122090306052E-2</c:v>
                      </c:pt>
                      <c:pt idx="24">
                        <c:v>4.7922122090306052E-2</c:v>
                      </c:pt>
                    </c:numCache>
                  </c:numRef>
                </c:val>
                <c:smooth val="0"/>
                <c:extLst>
                  <c:ext xmlns:c16="http://schemas.microsoft.com/office/drawing/2014/chart" uri="{C3380CC4-5D6E-409C-BE32-E72D297353CC}">
                    <c16:uniqueId val="{00000002-E38F-439A-8ED4-1A43F303BCA0}"/>
                  </c:ext>
                </c:extLst>
              </c15:ser>
            </c15:filteredLineSeries>
            <c15:filteredLineSeries>
              <c15:ser>
                <c:idx val="5"/>
                <c:order val="2"/>
                <c:tx>
                  <c:strRef>
                    <c:extLst xmlns:c15="http://schemas.microsoft.com/office/drawing/2012/chart">
                      <c:ext xmlns:c15="http://schemas.microsoft.com/office/drawing/2012/chart" uri="{02D57815-91ED-43cb-92C2-25804820EDAC}">
                        <c15:formulaRef>
                          <c15:sqref>MktDynamicsInputs!$E$33</c15:sqref>
                        </c15:formulaRef>
                      </c:ext>
                    </c:extLst>
                    <c:strCache>
                      <c:ptCount val="1"/>
                      <c:pt idx="0">
                        <c:v>Volatility/
Year</c:v>
                      </c:pt>
                    </c:strCache>
                  </c:strRef>
                </c:tx>
                <c:cat>
                  <c:numRef>
                    <c:extLst xmlns:c15="http://schemas.microsoft.com/office/drawing/2012/chart">
                      <c:ext xmlns:c15="http://schemas.microsoft.com/office/drawing/2012/chart" uri="{02D57815-91ED-43cb-92C2-25804820EDAC}">
                        <c15:formulaRef>
                          <c15:sqref>MktDynamicsInputs!$B$44:$B$68</c15:sqref>
                        </c15:formulaRef>
                      </c:ext>
                    </c:extLst>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extLst xmlns:c15="http://schemas.microsoft.com/office/drawing/2012/chart">
                      <c:ext xmlns:c15="http://schemas.microsoft.com/office/drawing/2012/chart" uri="{02D57815-91ED-43cb-92C2-25804820EDAC}">
                        <c15:formulaRef>
                          <c15:sqref>MktDynamicsInputs!$G$44:$G$68</c15:sqref>
                        </c15:formulaRef>
                      </c:ext>
                    </c:extLst>
                    <c:numCache>
                      <c:formatCode>#,##0.00000_);\(#,##0.00000\)</c:formatCode>
                      <c:ptCount val="25"/>
                      <c:pt idx="0">
                        <c:v>4.7922122090306052E-2</c:v>
                      </c:pt>
                      <c:pt idx="1">
                        <c:v>4.7959118129433952E-2</c:v>
                      </c:pt>
                      <c:pt idx="2">
                        <c:v>4.1313657644921231E-2</c:v>
                      </c:pt>
                      <c:pt idx="3">
                        <c:v>4.0251513359256474E-2</c:v>
                      </c:pt>
                      <c:pt idx="4">
                        <c:v>4.8548330277289532E-2</c:v>
                      </c:pt>
                      <c:pt idx="5">
                        <c:v>4.3437980950980844E-2</c:v>
                      </c:pt>
                      <c:pt idx="6">
                        <c:v>4.4772973414986497E-2</c:v>
                      </c:pt>
                      <c:pt idx="7">
                        <c:v>4.8101680748530364E-2</c:v>
                      </c:pt>
                      <c:pt idx="8">
                        <c:v>4.5362276876607113E-2</c:v>
                      </c:pt>
                      <c:pt idx="9">
                        <c:v>5.0964381277638714E-2</c:v>
                      </c:pt>
                      <c:pt idx="10">
                        <c:v>5.8058095317920999E-2</c:v>
                      </c:pt>
                      <c:pt idx="11">
                        <c:v>5.2547846422580279E-2</c:v>
                      </c:pt>
                      <c:pt idx="12">
                        <c:v>5.7363463289734448E-2</c:v>
                      </c:pt>
                      <c:pt idx="13">
                        <c:v>6.0566767304770647E-2</c:v>
                      </c:pt>
                      <c:pt idx="14">
                        <c:v>6.1122387866987905E-2</c:v>
                      </c:pt>
                      <c:pt idx="15">
                        <c:v>6.1600228304105581E-2</c:v>
                      </c:pt>
                      <c:pt idx="16">
                        <c:v>6.3317195048600783E-2</c:v>
                      </c:pt>
                      <c:pt idx="17">
                        <c:v>6.3581825353350899E-2</c:v>
                      </c:pt>
                      <c:pt idx="18">
                        <c:v>6.386741498682251E-2</c:v>
                      </c:pt>
                      <c:pt idx="19">
                        <c:v>4.895463408773381E-2</c:v>
                      </c:pt>
                      <c:pt idx="20">
                        <c:v>5.0898713420610378E-2</c:v>
                      </c:pt>
                      <c:pt idx="21">
                        <c:v>4.9858188025830683E-2</c:v>
                      </c:pt>
                      <c:pt idx="22">
                        <c:v>5.6215631642013715E-2</c:v>
                      </c:pt>
                      <c:pt idx="23">
                        <c:v>6.3280571044505865E-2</c:v>
                      </c:pt>
                      <c:pt idx="24">
                        <c:v>5.730402336611029E-2</c:v>
                      </c:pt>
                    </c:numCache>
                  </c:numRef>
                </c:val>
                <c:smooth val="0"/>
                <c:extLst xmlns:c15="http://schemas.microsoft.com/office/drawing/2012/chart">
                  <c:ext xmlns:c16="http://schemas.microsoft.com/office/drawing/2014/chart" uri="{C3380CC4-5D6E-409C-BE32-E72D297353CC}">
                    <c16:uniqueId val="{00000003-E38F-439A-8ED4-1A43F303BCA0}"/>
                  </c:ext>
                </c:extLst>
              </c15:ser>
            </c15:filteredLineSeries>
            <c15:filteredLineSeries>
              <c15:ser>
                <c:idx val="2"/>
                <c:order val="3"/>
                <c:tx>
                  <c:strRef>
                    <c:extLst xmlns:c15="http://schemas.microsoft.com/office/drawing/2012/chart">
                      <c:ext xmlns:c15="http://schemas.microsoft.com/office/drawing/2012/chart" uri="{02D57815-91ED-43cb-92C2-25804820EDAC}">
                        <c15:formulaRef>
                          <c15:sqref>MktDynamicsInputs!$I$33</c15:sqref>
                        </c15:formulaRef>
                      </c:ext>
                    </c:extLst>
                    <c:strCache>
                      <c:ptCount val="1"/>
                      <c:pt idx="0">
                        <c:v>Cycle</c:v>
                      </c:pt>
                    </c:strCache>
                  </c:strRef>
                </c:tx>
                <c:cat>
                  <c:numRef>
                    <c:extLst xmlns:c15="http://schemas.microsoft.com/office/drawing/2012/chart">
                      <c:ext xmlns:c15="http://schemas.microsoft.com/office/drawing/2012/chart" uri="{02D57815-91ED-43cb-92C2-25804820EDAC}">
                        <c15:formulaRef>
                          <c15:sqref>MktDynamicsInputs!$B$44:$B$68</c15:sqref>
                        </c15:formulaRef>
                      </c:ext>
                    </c:extLst>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extLst xmlns:c15="http://schemas.microsoft.com/office/drawing/2012/chart">
                      <c:ext xmlns:c15="http://schemas.microsoft.com/office/drawing/2012/chart" uri="{02D57815-91ED-43cb-92C2-25804820EDAC}">
                        <c15:formulaRef>
                          <c15:sqref>MktDynamicsInputs!$I$44:$I$68</c15:sqref>
                        </c15:formulaRef>
                      </c:ext>
                    </c:extLst>
                    <c:numCache>
                      <c:formatCode>#,##0.00000_);\(#,##0.00000\)</c:formatCode>
                      <c:ptCount val="25"/>
                      <c:pt idx="0">
                        <c:v>5.5457791659570266E-2</c:v>
                      </c:pt>
                      <c:pt idx="1">
                        <c:v>3.7567502332789729E-2</c:v>
                      </c:pt>
                      <c:pt idx="2">
                        <c:v>2.2225462330477071E-2</c:v>
                      </c:pt>
                      <c:pt idx="3">
                        <c:v>2.0721161079982037E-2</c:v>
                      </c:pt>
                      <c:pt idx="4">
                        <c:v>3.0784858138133635E-2</c:v>
                      </c:pt>
                      <c:pt idx="5">
                        <c:v>3.3949394551948647E-2</c:v>
                      </c:pt>
                      <c:pt idx="6">
                        <c:v>4.0381361983732565E-2</c:v>
                      </c:pt>
                      <c:pt idx="7">
                        <c:v>4.789172812599455E-2</c:v>
                      </c:pt>
                      <c:pt idx="8">
                        <c:v>4.935024070117227E-2</c:v>
                      </c:pt>
                      <c:pt idx="9">
                        <c:v>6.1410642490956985E-2</c:v>
                      </c:pt>
                      <c:pt idx="10">
                        <c:v>7.8440208325141481E-2</c:v>
                      </c:pt>
                      <c:pt idx="11">
                        <c:v>7.7646756662043639E-2</c:v>
                      </c:pt>
                      <c:pt idx="12">
                        <c:v>8.4551528274469975E-2</c:v>
                      </c:pt>
                      <c:pt idx="13">
                        <c:v>7.5702327638394032E-2</c:v>
                      </c:pt>
                      <c:pt idx="14">
                        <c:v>5.3742331437299166E-2</c:v>
                      </c:pt>
                      <c:pt idx="15">
                        <c:v>3.5842294531539205E-2</c:v>
                      </c:pt>
                      <c:pt idx="16">
                        <c:v>3.1774298915006993E-2</c:v>
                      </c:pt>
                      <c:pt idx="17">
                        <c:v>3.7861522226237364E-2</c:v>
                      </c:pt>
                      <c:pt idx="18">
                        <c:v>4.7501682854332934E-2</c:v>
                      </c:pt>
                      <c:pt idx="19">
                        <c:v>4.2739476522832699E-2</c:v>
                      </c:pt>
                      <c:pt idx="20">
                        <c:v>4.9470674006717584E-2</c:v>
                      </c:pt>
                      <c:pt idx="21">
                        <c:v>5.2935525311763258E-2</c:v>
                      </c:pt>
                      <c:pt idx="22">
                        <c:v>6.5790988092331512E-2</c:v>
                      </c:pt>
                      <c:pt idx="23">
                        <c:v>8.293917186476589E-2</c:v>
                      </c:pt>
                      <c:pt idx="24">
                        <c:v>8.3159986922600126E-2</c:v>
                      </c:pt>
                    </c:numCache>
                  </c:numRef>
                </c:val>
                <c:smooth val="0"/>
                <c:extLst xmlns:c15="http://schemas.microsoft.com/office/drawing/2012/chart">
                  <c:ext xmlns:c16="http://schemas.microsoft.com/office/drawing/2014/chart" uri="{C3380CC4-5D6E-409C-BE32-E72D297353CC}">
                    <c16:uniqueId val="{00000004-E38F-439A-8ED4-1A43F303BCA0}"/>
                  </c:ext>
                </c:extLst>
              </c15:ser>
            </c15:filteredLineSeries>
          </c:ext>
        </c:extLst>
      </c:lineChart>
      <c:lineChart>
        <c:grouping val="standard"/>
        <c:varyColors val="0"/>
        <c:ser>
          <c:idx val="6"/>
          <c:order val="6"/>
          <c:tx>
            <c:v>Asset Value (Right axis)</c:v>
          </c:tx>
          <c:spPr>
            <a:ln>
              <a:solidFill>
                <a:schemeClr val="tx2"/>
              </a:solidFill>
            </a:ln>
          </c:spPr>
          <c:marker>
            <c:spPr>
              <a:solidFill>
                <a:schemeClr val="tx2"/>
              </a:solidFill>
              <a:ln>
                <a:solidFill>
                  <a:schemeClr val="tx2"/>
                </a:solidFill>
              </a:ln>
            </c:spPr>
          </c:marker>
          <c:val>
            <c:numRef>
              <c:f>MktDynamicsInputs!$Q$44:$Q$68</c:f>
              <c:numCache>
                <c:formatCode>0.00000_);\(0.00000\)</c:formatCode>
                <c:ptCount val="25"/>
                <c:pt idx="0">
                  <c:v>1.5904865900147853</c:v>
                </c:pt>
                <c:pt idx="1">
                  <c:v>0.83581189156420033</c:v>
                </c:pt>
                <c:pt idx="2">
                  <c:v>0.38048228910853249</c:v>
                </c:pt>
                <c:pt idx="3">
                  <c:v>0.30264099803365785</c:v>
                </c:pt>
                <c:pt idx="4">
                  <c:v>0.47426825553718205</c:v>
                </c:pt>
                <c:pt idx="5">
                  <c:v>0.50805853185658745</c:v>
                </c:pt>
                <c:pt idx="6">
                  <c:v>0.67471889276330144</c:v>
                </c:pt>
                <c:pt idx="7">
                  <c:v>0.91446080816634279</c:v>
                </c:pt>
                <c:pt idx="8">
                  <c:v>0.92978403854675262</c:v>
                </c:pt>
                <c:pt idx="9">
                  <c:v>1.3922646177100326</c:v>
                </c:pt>
                <c:pt idx="10">
                  <c:v>1.8350830292984239</c:v>
                </c:pt>
                <c:pt idx="11">
                  <c:v>1.9769698049051811</c:v>
                </c:pt>
                <c:pt idx="12">
                  <c:v>2.5374007188661412</c:v>
                </c:pt>
                <c:pt idx="13">
                  <c:v>2.3495906588632236</c:v>
                </c:pt>
                <c:pt idx="14">
                  <c:v>1.4529246715779316</c:v>
                </c:pt>
                <c:pt idx="15">
                  <c:v>0.82126650110027899</c:v>
                </c:pt>
                <c:pt idx="16">
                  <c:v>0.3919251521081315</c:v>
                </c:pt>
                <c:pt idx="17">
                  <c:v>0.46404192523719762</c:v>
                </c:pt>
                <c:pt idx="18">
                  <c:v>0.6416333817345643</c:v>
                </c:pt>
                <c:pt idx="19">
                  <c:v>0.57265677147241545</c:v>
                </c:pt>
                <c:pt idx="20">
                  <c:v>0.78764160247494663</c:v>
                </c:pt>
                <c:pt idx="21">
                  <c:v>0.91491706493596925</c:v>
                </c:pt>
                <c:pt idx="22">
                  <c:v>1.3607784340686184</c:v>
                </c:pt>
                <c:pt idx="23">
                  <c:v>1.6945764714544356</c:v>
                </c:pt>
                <c:pt idx="24">
                  <c:v>1.8974625411510739</c:v>
                </c:pt>
              </c:numCache>
            </c:numRef>
          </c:val>
          <c:smooth val="0"/>
          <c:extLst>
            <c:ext xmlns:c16="http://schemas.microsoft.com/office/drawing/2014/chart" uri="{C3380CC4-5D6E-409C-BE32-E72D297353CC}">
              <c16:uniqueId val="{00000001-E38F-439A-8ED4-1A43F303BCA0}"/>
            </c:ext>
          </c:extLst>
        </c:ser>
        <c:ser>
          <c:idx val="8"/>
          <c:order val="8"/>
          <c:tx>
            <c:v>Asset Val True LR Mean</c:v>
          </c:tx>
          <c:spPr>
            <a:ln w="63500">
              <a:solidFill>
                <a:schemeClr val="tx1">
                  <a:alpha val="30000"/>
                </a:schemeClr>
              </a:solidFill>
            </a:ln>
          </c:spPr>
          <c:marker>
            <c:symbol val="none"/>
          </c:marker>
          <c:val>
            <c:numRef>
              <c:f>MktDynamicsInputs!$V$44:$V$68</c:f>
              <c:numCache>
                <c:formatCode>0.00</c:formatCode>
                <c:ptCount val="25"/>
                <c:pt idx="0">
                  <c:v>0.95844244180612104</c:v>
                </c:pt>
                <c:pt idx="1">
                  <c:v>0.956724199689309</c:v>
                </c:pt>
                <c:pt idx="2">
                  <c:v>0.95500903794106506</c:v>
                </c:pt>
                <c:pt idx="3">
                  <c:v>0.95329695103907619</c:v>
                </c:pt>
                <c:pt idx="4">
                  <c:v>0.95158793347092996</c:v>
                </c:pt>
                <c:pt idx="5">
                  <c:v>0.94988197973409538</c:v>
                </c:pt>
                <c:pt idx="6">
                  <c:v>0.94817908433590736</c:v>
                </c:pt>
                <c:pt idx="7">
                  <c:v>0.94647924179354659</c:v>
                </c:pt>
                <c:pt idx="8">
                  <c:v>0.94478244663402355</c:v>
                </c:pt>
                <c:pt idx="9">
                  <c:v>0.94308869339416079</c:v>
                </c:pt>
                <c:pt idx="10">
                  <c:v>0.94139797662057401</c:v>
                </c:pt>
                <c:pt idx="11">
                  <c:v>0.93971029086965618</c:v>
                </c:pt>
                <c:pt idx="12">
                  <c:v>0.93802563070755918</c:v>
                </c:pt>
                <c:pt idx="13">
                  <c:v>0.93634399071017582</c:v>
                </c:pt>
                <c:pt idx="14">
                  <c:v>0.93466536546312373</c:v>
                </c:pt>
                <c:pt idx="15">
                  <c:v>0.93298974956172653</c:v>
                </c:pt>
                <c:pt idx="16">
                  <c:v>0.93131713761099755</c:v>
                </c:pt>
                <c:pt idx="17">
                  <c:v>0.92964752422562158</c:v>
                </c:pt>
                <c:pt idx="18">
                  <c:v>0.92798090402993783</c:v>
                </c:pt>
                <c:pt idx="19">
                  <c:v>0.92631727165792321</c:v>
                </c:pt>
                <c:pt idx="20">
                  <c:v>0.92465662175317387</c:v>
                </c:pt>
                <c:pt idx="21">
                  <c:v>0.92299894896888912</c:v>
                </c:pt>
                <c:pt idx="22">
                  <c:v>0.92134424796785364</c:v>
                </c:pt>
                <c:pt idx="23">
                  <c:v>0.9196925134224202</c:v>
                </c:pt>
                <c:pt idx="24">
                  <c:v>0.91804374001449263</c:v>
                </c:pt>
              </c:numCache>
            </c:numRef>
          </c:val>
          <c:smooth val="0"/>
          <c:extLst>
            <c:ext xmlns:c16="http://schemas.microsoft.com/office/drawing/2014/chart" uri="{C3380CC4-5D6E-409C-BE32-E72D297353CC}">
              <c16:uniqueId val="{00000001-D66C-4EB6-8CA4-28CB97EFB695}"/>
            </c:ext>
          </c:extLst>
        </c:ser>
        <c:dLbls>
          <c:showLegendKey val="0"/>
          <c:showVal val="0"/>
          <c:showCatName val="0"/>
          <c:showSerName val="0"/>
          <c:showPercent val="0"/>
          <c:showBubbleSize val="0"/>
        </c:dLbls>
        <c:marker val="1"/>
        <c:smooth val="0"/>
        <c:axId val="2085150592"/>
        <c:axId val="2085139168"/>
        <c:extLst>
          <c:ext xmlns:c15="http://schemas.microsoft.com/office/drawing/2012/chart" uri="{02D57815-91ED-43cb-92C2-25804820EDAC}">
            <c15:filteredLineSeries>
              <c15:ser>
                <c:idx val="3"/>
                <c:order val="4"/>
                <c:tx>
                  <c:strRef>
                    <c:extLst>
                      <c:ext uri="{02D57815-91ED-43cb-92C2-25804820EDAC}">
                        <c15:formulaRef>
                          <c15:sqref>MktDynamicsInputs!$L$33</c15:sqref>
                        </c15:formulaRef>
                      </c:ext>
                    </c:extLst>
                    <c:strCache>
                      <c:ptCount val="1"/>
                      <c:pt idx="0">
                        <c:v>Asset True Value</c:v>
                      </c:pt>
                    </c:strCache>
                  </c:strRef>
                </c:tx>
                <c:val>
                  <c:numRef>
                    <c:extLst>
                      <c:ext uri="{02D57815-91ED-43cb-92C2-25804820EDAC}">
                        <c15:formulaRef>
                          <c15:sqref>MktDynamicsInputs!$L$44:$L$68</c15:sqref>
                        </c15:formulaRef>
                      </c:ext>
                    </c:extLst>
                    <c:numCache>
                      <c:formatCode>0.00000_);\(0.00000\)</c:formatCode>
                      <c:ptCount val="25"/>
                      <c:pt idx="0">
                        <c:v>1.6703894281270837</c:v>
                      </c:pt>
                      <c:pt idx="1">
                        <c:v>0.84577948303258577</c:v>
                      </c:pt>
                      <c:pt idx="2">
                        <c:v>0.37822355566968269</c:v>
                      </c:pt>
                      <c:pt idx="3">
                        <c:v>0.30341130110022563</c:v>
                      </c:pt>
                      <c:pt idx="4">
                        <c:v>0.44230119486185293</c:v>
                      </c:pt>
                      <c:pt idx="5">
                        <c:v>0.51970267959412186</c:v>
                      </c:pt>
                      <c:pt idx="6">
                        <c:v>0.67726582481253605</c:v>
                      </c:pt>
                      <c:pt idx="7">
                        <c:v>0.87428448996807928</c:v>
                      </c:pt>
                      <c:pt idx="8">
                        <c:v>0.96710727135702312</c:v>
                      </c:pt>
                      <c:pt idx="9">
                        <c:v>1.2904419796994124</c:v>
                      </c:pt>
                      <c:pt idx="10">
                        <c:v>1.8045899261172191</c:v>
                      </c:pt>
                      <c:pt idx="11">
                        <c:v>2.0345585381809959</c:v>
                      </c:pt>
                      <c:pt idx="12">
                        <c:v>2.5923155911582256</c:v>
                      </c:pt>
                      <c:pt idx="13">
                        <c:v>2.5226748030726482</c:v>
                      </c:pt>
                      <c:pt idx="14">
                        <c:v>1.5577014938845659</c:v>
                      </c:pt>
                      <c:pt idx="15">
                        <c:v>0.76723653391290703</c:v>
                      </c:pt>
                      <c:pt idx="16">
                        <c:v>0.52272062676295328</c:v>
                      </c:pt>
                      <c:pt idx="17">
                        <c:v>0.54837394211564383</c:v>
                      </c:pt>
                      <c:pt idx="18">
                        <c:v>0.68668433929281258</c:v>
                      </c:pt>
                      <c:pt idx="19">
                        <c:v>0.66346305446538911</c:v>
                      </c:pt>
                      <c:pt idx="20">
                        <c:v>0.84184090619296859</c:v>
                      </c:pt>
                      <c:pt idx="21">
                        <c:v>0.97816229778425456</c:v>
                      </c:pt>
                      <c:pt idx="22">
                        <c:v>1.3032095543997482</c:v>
                      </c:pt>
                      <c:pt idx="23">
                        <c:v>1.7647556715011048</c:v>
                      </c:pt>
                      <c:pt idx="24">
                        <c:v>1.9477281254618473</c:v>
                      </c:pt>
                    </c:numCache>
                  </c:numRef>
                </c:val>
                <c:smooth val="0"/>
                <c:extLst>
                  <c:ext xmlns:c16="http://schemas.microsoft.com/office/drawing/2014/chart" uri="{C3380CC4-5D6E-409C-BE32-E72D297353CC}">
                    <c16:uniqueId val="{00000005-E38F-439A-8ED4-1A43F303BCA0}"/>
                  </c:ext>
                </c:extLst>
              </c15:ser>
            </c15:filteredLineSeries>
            <c15:filteredLineSeries>
              <c15:ser>
                <c:idx val="4"/>
                <c:order val="5"/>
                <c:tx>
                  <c:strRef>
                    <c:extLst xmlns:c15="http://schemas.microsoft.com/office/drawing/2012/chart">
                      <c:ext xmlns:c15="http://schemas.microsoft.com/office/drawing/2012/chart" uri="{02D57815-91ED-43cb-92C2-25804820EDAC}">
                        <c15:formulaRef>
                          <c15:sqref>MktDynamicsInputs!$O$33</c15:sqref>
                        </c15:formulaRef>
                      </c:ext>
                    </c:extLst>
                    <c:strCache>
                      <c:ptCount val="1"/>
                      <c:pt idx="0">
                        <c:v>NoisyVal</c:v>
                      </c:pt>
                    </c:strCache>
                  </c:strRef>
                </c:tx>
                <c:val>
                  <c:numRef>
                    <c:extLst xmlns:c15="http://schemas.microsoft.com/office/drawing/2012/chart">
                      <c:ext xmlns:c15="http://schemas.microsoft.com/office/drawing/2012/chart" uri="{02D57815-91ED-43cb-92C2-25804820EDAC}">
                        <c15:formulaRef>
                          <c15:sqref>MktDynamicsInputs!$O$44:$O$68</c15:sqref>
                        </c15:formulaRef>
                      </c:ext>
                    </c:extLst>
                    <c:numCache>
                      <c:formatCode>0.00000_);\(0.00000\)</c:formatCode>
                      <c:ptCount val="25"/>
                      <c:pt idx="0">
                        <c:v>1.5904865900147853</c:v>
                      </c:pt>
                      <c:pt idx="1">
                        <c:v>0.83581189156420033</c:v>
                      </c:pt>
                      <c:pt idx="2">
                        <c:v>0.38048228910853249</c:v>
                      </c:pt>
                      <c:pt idx="3">
                        <c:v>0.30264099803365785</c:v>
                      </c:pt>
                      <c:pt idx="4">
                        <c:v>0.47426825553718205</c:v>
                      </c:pt>
                      <c:pt idx="5">
                        <c:v>0.50805853185658745</c:v>
                      </c:pt>
                      <c:pt idx="6">
                        <c:v>0.67471889276330144</c:v>
                      </c:pt>
                      <c:pt idx="7">
                        <c:v>0.91446080816634279</c:v>
                      </c:pt>
                      <c:pt idx="8">
                        <c:v>0.92978403854675262</c:v>
                      </c:pt>
                      <c:pt idx="9">
                        <c:v>1.3922646177100326</c:v>
                      </c:pt>
                      <c:pt idx="10">
                        <c:v>1.8350830292984239</c:v>
                      </c:pt>
                      <c:pt idx="11">
                        <c:v>1.9769698049051811</c:v>
                      </c:pt>
                      <c:pt idx="12">
                        <c:v>2.5374007188661412</c:v>
                      </c:pt>
                      <c:pt idx="13">
                        <c:v>2.3495906588632236</c:v>
                      </c:pt>
                      <c:pt idx="14">
                        <c:v>1.4529246715779316</c:v>
                      </c:pt>
                      <c:pt idx="15">
                        <c:v>0.82126650110027899</c:v>
                      </c:pt>
                      <c:pt idx="16">
                        <c:v>0.52256686947750863</c:v>
                      </c:pt>
                      <c:pt idx="17">
                        <c:v>0.56247506089357291</c:v>
                      </c:pt>
                      <c:pt idx="18">
                        <c:v>0.73120613303084248</c:v>
                      </c:pt>
                      <c:pt idx="19">
                        <c:v>0.62636781129058294</c:v>
                      </c:pt>
                      <c:pt idx="20">
                        <c:v>0.83793888398621941</c:v>
                      </c:pt>
                      <c:pt idx="21">
                        <c:v>0.95504569753202095</c:v>
                      </c:pt>
                      <c:pt idx="22">
                        <c:v>1.4020148451993326</c:v>
                      </c:pt>
                      <c:pt idx="23">
                        <c:v>1.7301987991966048</c:v>
                      </c:pt>
                      <c:pt idx="24">
                        <c:v>1.9252086530721717</c:v>
                      </c:pt>
                    </c:numCache>
                  </c:numRef>
                </c:val>
                <c:smooth val="0"/>
                <c:extLst xmlns:c15="http://schemas.microsoft.com/office/drawing/2012/chart">
                  <c:ext xmlns:c16="http://schemas.microsoft.com/office/drawing/2014/chart" uri="{C3380CC4-5D6E-409C-BE32-E72D297353CC}">
                    <c16:uniqueId val="{00000006-E38F-439A-8ED4-1A43F303BCA0}"/>
                  </c:ext>
                </c:extLst>
              </c15:ser>
            </c15:filteredLineSeries>
          </c:ext>
        </c:extLst>
      </c:lineChart>
      <c:catAx>
        <c:axId val="2085142432"/>
        <c:scaling>
          <c:orientation val="minMax"/>
        </c:scaling>
        <c:delete val="0"/>
        <c:axPos val="b"/>
        <c:title>
          <c:tx>
            <c:rich>
              <a:bodyPr/>
              <a:lstStyle/>
              <a:p>
                <a:pPr>
                  <a:defRPr/>
                </a:pPr>
                <a:r>
                  <a:rPr lang="en-US"/>
                  <a:t>Years</a:t>
                </a:r>
              </a:p>
            </c:rich>
          </c:tx>
          <c:layout/>
          <c:overlay val="0"/>
        </c:title>
        <c:numFmt formatCode="General" sourceLinked="1"/>
        <c:majorTickMark val="none"/>
        <c:minorTickMark val="none"/>
        <c:tickLblPos val="nextTo"/>
        <c:txPr>
          <a:bodyPr rot="-5400000" vert="horz"/>
          <a:lstStyle/>
          <a:p>
            <a:pPr>
              <a:defRPr/>
            </a:pPr>
            <a:endParaRPr lang="en-US"/>
          </a:p>
        </c:txPr>
        <c:crossAx val="2085150048"/>
        <c:crosses val="autoZero"/>
        <c:auto val="0"/>
        <c:lblAlgn val="ctr"/>
        <c:lblOffset val="100"/>
        <c:tickLblSkip val="1"/>
        <c:tickMarkSkip val="1"/>
        <c:noMultiLvlLbl val="0"/>
      </c:catAx>
      <c:valAx>
        <c:axId val="2085150048"/>
        <c:scaling>
          <c:orientation val="minMax"/>
        </c:scaling>
        <c:delete val="0"/>
        <c:axPos val="l"/>
        <c:majorGridlines/>
        <c:title>
          <c:tx>
            <c:rich>
              <a:bodyPr rot="-5400000" vert="horz"/>
              <a:lstStyle/>
              <a:p>
                <a:pPr>
                  <a:defRPr/>
                </a:pPr>
                <a:r>
                  <a:rPr lang="en-US"/>
                  <a:t>Rents</a:t>
                </a:r>
              </a:p>
            </c:rich>
          </c:tx>
          <c:layout/>
          <c:overlay val="0"/>
        </c:title>
        <c:numFmt formatCode="#,##0.00" sourceLinked="0"/>
        <c:majorTickMark val="out"/>
        <c:minorTickMark val="none"/>
        <c:tickLblPos val="nextTo"/>
        <c:txPr>
          <a:bodyPr rot="0" vert="horz"/>
          <a:lstStyle/>
          <a:p>
            <a:pPr>
              <a:defRPr/>
            </a:pPr>
            <a:endParaRPr lang="en-US"/>
          </a:p>
        </c:txPr>
        <c:crossAx val="2085142432"/>
        <c:crosses val="autoZero"/>
        <c:crossBetween val="between"/>
      </c:valAx>
      <c:catAx>
        <c:axId val="2085150592"/>
        <c:scaling>
          <c:orientation val="minMax"/>
        </c:scaling>
        <c:delete val="1"/>
        <c:axPos val="b"/>
        <c:majorTickMark val="out"/>
        <c:minorTickMark val="none"/>
        <c:tickLblPos val="none"/>
        <c:crossAx val="2085139168"/>
        <c:crosses val="autoZero"/>
        <c:auto val="0"/>
        <c:lblAlgn val="ctr"/>
        <c:lblOffset val="100"/>
        <c:noMultiLvlLbl val="0"/>
      </c:catAx>
      <c:valAx>
        <c:axId val="2085139168"/>
        <c:scaling>
          <c:orientation val="minMax"/>
        </c:scaling>
        <c:delete val="0"/>
        <c:axPos val="r"/>
        <c:title>
          <c:tx>
            <c:rich>
              <a:bodyPr rot="5400000" vert="horz"/>
              <a:lstStyle/>
              <a:p>
                <a:pPr>
                  <a:defRPr/>
                </a:pPr>
                <a:r>
                  <a:rPr lang="en-US"/>
                  <a:t>Asset Value (PV)</a:t>
                </a:r>
              </a:p>
            </c:rich>
          </c:tx>
          <c:layout>
            <c:manualLayout>
              <c:xMode val="edge"/>
              <c:yMode val="edge"/>
              <c:x val="0.97670980277175923"/>
              <c:y val="0.3872056803851649"/>
            </c:manualLayout>
          </c:layout>
          <c:overlay val="0"/>
        </c:title>
        <c:numFmt formatCode="#,##0.00" sourceLinked="0"/>
        <c:majorTickMark val="cross"/>
        <c:minorTickMark val="none"/>
        <c:tickLblPos val="nextTo"/>
        <c:txPr>
          <a:bodyPr rot="0" vert="horz"/>
          <a:lstStyle/>
          <a:p>
            <a:pPr>
              <a:defRPr/>
            </a:pPr>
            <a:endParaRPr lang="en-US"/>
          </a:p>
        </c:txPr>
        <c:crossAx val="2085150592"/>
        <c:crosses val="max"/>
        <c:crossBetween val="between"/>
      </c:valAx>
    </c:plotArea>
    <c:legend>
      <c:legendPos val="b"/>
      <c:layout/>
      <c:overlay val="0"/>
    </c:legend>
    <c:plotVisOnly val="1"/>
    <c:dispBlanksAs val="gap"/>
    <c:showDLblsOverMax val="0"/>
  </c:chart>
  <c:printSettings>
    <c:headerFooter alignWithMargins="0">
      <c:oddHeader>&amp;A</c:oddHeader>
      <c:oddFooter>Page &amp;P</c:oddFooter>
    </c:headerFooter>
    <c:pageMargins b="1" l="0.75000000000000899" r="0.75000000000000899" t="1" header="0.5" footer="0.5"/>
    <c:pageSetup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One Scenario (or "Trial") of the Real Estate Market: Pure Cycles Only (Space &amp; Asset Markets)</a:t>
            </a:r>
          </a:p>
        </c:rich>
      </c:tx>
      <c:layout/>
      <c:overlay val="0"/>
    </c:title>
    <c:autoTitleDeleted val="0"/>
    <c:plotArea>
      <c:layout/>
      <c:lineChart>
        <c:grouping val="standard"/>
        <c:varyColors val="0"/>
        <c:ser>
          <c:idx val="2"/>
          <c:order val="0"/>
          <c:tx>
            <c:v>SpaceMktPureCycleOnly</c:v>
          </c:tx>
          <c:cat>
            <c:numRef>
              <c:f>MktDynamicsInputs!$B$44:$B$68</c:f>
              <c:numCache>
                <c:formatCode>General</c:formatCod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cat>
          <c:val>
            <c:numRef>
              <c:f>MktDynamicsInputs!$H$44:$H$68</c:f>
              <c:numCache>
                <c:formatCode>0.00%</c:formatCode>
                <c:ptCount val="25"/>
                <c:pt idx="0">
                  <c:v>1.1572482444551129</c:v>
                </c:pt>
                <c:pt idx="1">
                  <c:v>0.78332345960576422</c:v>
                </c:pt>
                <c:pt idx="2">
                  <c:v>0.53796888480556238</c:v>
                </c:pt>
                <c:pt idx="3">
                  <c:v>0.51479209974143436</c:v>
                </c:pt>
                <c:pt idx="4">
                  <c:v>0.63410745461898022</c:v>
                </c:pt>
                <c:pt idx="5">
                  <c:v>0.78156014180907873</c:v>
                </c:pt>
                <c:pt idx="6">
                  <c:v>0.90191378645886489</c:v>
                </c:pt>
                <c:pt idx="7">
                  <c:v>0.99563523312972324</c:v>
                </c:pt>
                <c:pt idx="8">
                  <c:v>1.0879136608467224</c:v>
                </c:pt>
                <c:pt idx="9">
                  <c:v>1.2049718048456266</c:v>
                </c:pt>
                <c:pt idx="10">
                  <c:v>1.3510641004602344</c:v>
                </c:pt>
                <c:pt idx="11">
                  <c:v>1.4776391793038</c:v>
                </c:pt>
                <c:pt idx="12">
                  <c:v>1.4739613584244835</c:v>
                </c:pt>
                <c:pt idx="13">
                  <c:v>1.2498987647377906</c:v>
                </c:pt>
                <c:pt idx="14">
                  <c:v>0.87925772066122609</c:v>
                </c:pt>
                <c:pt idx="15">
                  <c:v>0.58185327422155608</c:v>
                </c:pt>
                <c:pt idx="16">
                  <c:v>0.501827329694845</c:v>
                </c:pt>
                <c:pt idx="17">
                  <c:v>0.59547711969300954</c:v>
                </c:pt>
                <c:pt idx="18">
                  <c:v>0.74375458696948593</c:v>
                </c:pt>
                <c:pt idx="19">
                  <c:v>0.87304250801338545</c:v>
                </c:pt>
                <c:pt idx="20">
                  <c:v>0.97194350666406948</c:v>
                </c:pt>
                <c:pt idx="21">
                  <c:v>1.0617218035348228</c:v>
                </c:pt>
                <c:pt idx="22">
                  <c:v>1.1703326311673334</c:v>
                </c:pt>
                <c:pt idx="23">
                  <c:v>1.3106577658162082</c:v>
                </c:pt>
                <c:pt idx="24">
                  <c:v>1.4512067746325314</c:v>
                </c:pt>
              </c:numCache>
            </c:numRef>
          </c:val>
          <c:smooth val="0"/>
          <c:extLst>
            <c:ext xmlns:c16="http://schemas.microsoft.com/office/drawing/2014/chart" uri="{C3380CC4-5D6E-409C-BE32-E72D297353CC}">
              <c16:uniqueId val="{00000000-9CE4-4056-85BD-148048966380}"/>
            </c:ext>
          </c:extLst>
        </c:ser>
        <c:dLbls>
          <c:showLegendKey val="0"/>
          <c:showVal val="0"/>
          <c:showCatName val="0"/>
          <c:showSerName val="0"/>
          <c:showPercent val="0"/>
          <c:showBubbleSize val="0"/>
        </c:dLbls>
        <c:marker val="1"/>
        <c:smooth val="0"/>
        <c:axId val="2085152224"/>
        <c:axId val="2085146784"/>
      </c:lineChart>
      <c:lineChart>
        <c:grouping val="standard"/>
        <c:varyColors val="0"/>
        <c:ser>
          <c:idx val="3"/>
          <c:order val="1"/>
          <c:tx>
            <c:v>AssetMktPureCycleOnly</c:v>
          </c:tx>
          <c:val>
            <c:numRef>
              <c:f>MktDynamicsInputs!$J$44:$J$68</c:f>
              <c:numCache>
                <c:formatCode>0.00%</c:formatCode>
                <c:ptCount val="25"/>
                <c:pt idx="0">
                  <c:v>1.6799483566085512E-2</c:v>
                </c:pt>
                <c:pt idx="1">
                  <c:v>5.5823910529379144E-3</c:v>
                </c:pt>
                <c:pt idx="2">
                  <c:v>-8.7627660871747136E-3</c:v>
                </c:pt>
                <c:pt idx="3">
                  <c:v>-1.8293965995476322E-2</c:v>
                </c:pt>
                <c:pt idx="4">
                  <c:v>-1.9601571272600541E-2</c:v>
                </c:pt>
                <c:pt idx="5">
                  <c:v>-1.5324647889948338E-2</c:v>
                </c:pt>
                <c:pt idx="6">
                  <c:v>-9.6240951548233391E-3</c:v>
                </c:pt>
                <c:pt idx="7">
                  <c:v>-4.7781971149266382E-3</c:v>
                </c:pt>
                <c:pt idx="8">
                  <c:v>-1.0287143554666071E-3</c:v>
                </c:pt>
                <c:pt idx="9">
                  <c:v>2.4111556683380684E-3</c:v>
                </c:pt>
                <c:pt idx="10">
                  <c:v>6.5329456903738085E-3</c:v>
                </c:pt>
                <c:pt idx="11">
                  <c:v>1.1836066544704094E-2</c:v>
                </c:pt>
                <c:pt idx="12">
                  <c:v>1.7383782837685661E-2</c:v>
                </c:pt>
                <c:pt idx="13">
                  <c:v>1.9991245979787929E-2</c:v>
                </c:pt>
                <c:pt idx="14">
                  <c:v>1.5498953651718231E-2</c:v>
                </c:pt>
                <c:pt idx="15">
                  <c:v>3.2839053573954996E-3</c:v>
                </c:pt>
                <c:pt idx="16">
                  <c:v>-1.0786388154941144E-2</c:v>
                </c:pt>
                <c:pt idx="17">
                  <c:v>-1.9043255556904164E-2</c:v>
                </c:pt>
                <c:pt idx="18">
                  <c:v>-1.917542768377814E-2</c:v>
                </c:pt>
                <c:pt idx="19">
                  <c:v>-1.4418773939525058E-2</c:v>
                </c:pt>
                <c:pt idx="20">
                  <c:v>-8.7648730808737949E-3</c:v>
                </c:pt>
                <c:pt idx="21">
                  <c:v>-4.1173233027621981E-3</c:v>
                </c:pt>
                <c:pt idx="22">
                  <c:v>-4.8381349738838979E-4</c:v>
                </c:pt>
                <c:pt idx="23">
                  <c:v>3.0024619248183808E-3</c:v>
                </c:pt>
                <c:pt idx="24">
                  <c:v>7.3041094208766205E-3</c:v>
                </c:pt>
              </c:numCache>
            </c:numRef>
          </c:val>
          <c:smooth val="0"/>
          <c:extLst>
            <c:ext xmlns:c16="http://schemas.microsoft.com/office/drawing/2014/chart" uri="{C3380CC4-5D6E-409C-BE32-E72D297353CC}">
              <c16:uniqueId val="{00000001-9CE4-4056-85BD-148048966380}"/>
            </c:ext>
          </c:extLst>
        </c:ser>
        <c:dLbls>
          <c:showLegendKey val="0"/>
          <c:showVal val="0"/>
          <c:showCatName val="0"/>
          <c:showSerName val="0"/>
          <c:showPercent val="0"/>
          <c:showBubbleSize val="0"/>
        </c:dLbls>
        <c:hiLowLines>
          <c:spPr>
            <a:ln>
              <a:noFill/>
            </a:ln>
          </c:spPr>
        </c:hiLowLines>
        <c:marker val="1"/>
        <c:smooth val="0"/>
        <c:axId val="2085136992"/>
        <c:axId val="2085137536"/>
      </c:lineChart>
      <c:catAx>
        <c:axId val="2085152224"/>
        <c:scaling>
          <c:orientation val="minMax"/>
        </c:scaling>
        <c:delete val="0"/>
        <c:axPos val="b"/>
        <c:title>
          <c:tx>
            <c:rich>
              <a:bodyPr/>
              <a:lstStyle/>
              <a:p>
                <a:pPr>
                  <a:defRPr/>
                </a:pPr>
                <a:r>
                  <a:rPr lang="en-US"/>
                  <a:t>Years</a:t>
                </a:r>
              </a:p>
            </c:rich>
          </c:tx>
          <c:layout/>
          <c:overlay val="0"/>
        </c:title>
        <c:numFmt formatCode="General" sourceLinked="1"/>
        <c:majorTickMark val="none"/>
        <c:minorTickMark val="none"/>
        <c:tickLblPos val="nextTo"/>
        <c:txPr>
          <a:bodyPr rot="-5400000" vert="horz"/>
          <a:lstStyle/>
          <a:p>
            <a:pPr>
              <a:defRPr/>
            </a:pPr>
            <a:endParaRPr lang="en-US"/>
          </a:p>
        </c:txPr>
        <c:crossAx val="2085146784"/>
        <c:crosses val="autoZero"/>
        <c:auto val="0"/>
        <c:lblAlgn val="ctr"/>
        <c:lblOffset val="100"/>
        <c:tickLblSkip val="1"/>
        <c:tickMarkSkip val="1"/>
        <c:noMultiLvlLbl val="0"/>
      </c:catAx>
      <c:valAx>
        <c:axId val="2085146784"/>
        <c:scaling>
          <c:orientation val="minMax"/>
        </c:scaling>
        <c:delete val="0"/>
        <c:axPos val="l"/>
        <c:majorGridlines/>
        <c:title>
          <c:tx>
            <c:rich>
              <a:bodyPr rot="-5400000" vert="horz"/>
              <a:lstStyle/>
              <a:p>
                <a:pPr>
                  <a:defRPr/>
                </a:pPr>
                <a:r>
                  <a:rPr lang="en-US"/>
                  <a:t>Rent Cycle Factor (ratio)</a:t>
                </a:r>
              </a:p>
            </c:rich>
          </c:tx>
          <c:layout/>
          <c:overlay val="0"/>
        </c:title>
        <c:numFmt formatCode="#,##0.00" sourceLinked="0"/>
        <c:majorTickMark val="out"/>
        <c:minorTickMark val="none"/>
        <c:tickLblPos val="nextTo"/>
        <c:txPr>
          <a:bodyPr rot="0" vert="horz"/>
          <a:lstStyle/>
          <a:p>
            <a:pPr>
              <a:defRPr/>
            </a:pPr>
            <a:endParaRPr lang="en-US"/>
          </a:p>
        </c:txPr>
        <c:crossAx val="2085152224"/>
        <c:crosses val="autoZero"/>
        <c:crossBetween val="between"/>
      </c:valAx>
      <c:catAx>
        <c:axId val="2085136992"/>
        <c:scaling>
          <c:orientation val="minMax"/>
        </c:scaling>
        <c:delete val="1"/>
        <c:axPos val="b"/>
        <c:majorTickMark val="out"/>
        <c:minorTickMark val="none"/>
        <c:tickLblPos val="none"/>
        <c:crossAx val="2085137536"/>
        <c:crosses val="autoZero"/>
        <c:auto val="0"/>
        <c:lblAlgn val="ctr"/>
        <c:lblOffset val="100"/>
        <c:noMultiLvlLbl val="0"/>
      </c:catAx>
      <c:valAx>
        <c:axId val="2085137536"/>
        <c:scaling>
          <c:orientation val="minMax"/>
        </c:scaling>
        <c:delete val="0"/>
        <c:axPos val="r"/>
        <c:title>
          <c:tx>
            <c:rich>
              <a:bodyPr rot="5400000" vert="horz"/>
              <a:lstStyle/>
              <a:p>
                <a:pPr>
                  <a:defRPr/>
                </a:pPr>
                <a:r>
                  <a:rPr lang="en-US"/>
                  <a:t>Negative of Cap Rate Cycle</a:t>
                </a:r>
              </a:p>
            </c:rich>
          </c:tx>
          <c:layout>
            <c:manualLayout>
              <c:xMode val="edge"/>
              <c:yMode val="edge"/>
              <c:x val="0.97795717172100305"/>
              <c:y val="0.34057781726223402"/>
            </c:manualLayout>
          </c:layout>
          <c:overlay val="0"/>
        </c:title>
        <c:numFmt formatCode="#,##0.0000" sourceLinked="0"/>
        <c:majorTickMark val="cross"/>
        <c:minorTickMark val="none"/>
        <c:tickLblPos val="nextTo"/>
        <c:txPr>
          <a:bodyPr rot="0" vert="horz"/>
          <a:lstStyle/>
          <a:p>
            <a:pPr>
              <a:defRPr/>
            </a:pPr>
            <a:endParaRPr lang="en-US"/>
          </a:p>
        </c:txPr>
        <c:crossAx val="2085136992"/>
        <c:crosses val="max"/>
        <c:crossBetween val="between"/>
      </c:valAx>
    </c:plotArea>
    <c:legend>
      <c:legendPos val="b"/>
      <c:layout/>
      <c:overlay val="0"/>
    </c:legend>
    <c:plotVisOnly val="1"/>
    <c:dispBlanksAs val="gap"/>
    <c:showDLblsOverMax val="0"/>
  </c:chart>
  <c:printSettings>
    <c:headerFooter alignWithMargins="0">
      <c:oddHeader>&amp;A</c:oddHeader>
      <c:oddFooter>Page &amp;P</c:oddFooter>
    </c:headerFooter>
    <c:pageMargins b="1" l="0.75000000000000899" r="0.75000000000000899" t="1" header="0.5" footer="0.5"/>
    <c:pageSetup orientation="landscape" horizontalDpi="1200" verticalDpi="12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OuterSin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SinTest!$A$7:$A$107</c:f>
              <c:numCache>
                <c:formatCode>General</c:formatCode>
                <c:ptCount val="1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numCache>
            </c:numRef>
          </c:cat>
          <c:val>
            <c:numRef>
              <c:f>SinTest!$B$7:$B$107</c:f>
              <c:numCache>
                <c:formatCode>General</c:formatCode>
                <c:ptCount val="101"/>
                <c:pt idx="0">
                  <c:v>1</c:v>
                </c:pt>
                <c:pt idx="1">
                  <c:v>1.0391086162600578</c:v>
                </c:pt>
                <c:pt idx="2">
                  <c:v>1.0772542485937369</c:v>
                </c:pt>
                <c:pt idx="3">
                  <c:v>1.1134976249348867</c:v>
                </c:pt>
                <c:pt idx="4">
                  <c:v>1.1469463130731183</c:v>
                </c:pt>
                <c:pt idx="5">
                  <c:v>1.176776695296637</c:v>
                </c:pt>
                <c:pt idx="6">
                  <c:v>1.2022542485937369</c:v>
                </c:pt>
                <c:pt idx="7">
                  <c:v>1.2227516310470921</c:v>
                </c:pt>
                <c:pt idx="8">
                  <c:v>1.2377641290737884</c:v>
                </c:pt>
                <c:pt idx="9">
                  <c:v>1.2469220851487846</c:v>
                </c:pt>
                <c:pt idx="10">
                  <c:v>1.25</c:v>
                </c:pt>
                <c:pt idx="11">
                  <c:v>1.2469220851487843</c:v>
                </c:pt>
                <c:pt idx="12">
                  <c:v>1.2377641290737884</c:v>
                </c:pt>
                <c:pt idx="13">
                  <c:v>1.2227516310470921</c:v>
                </c:pt>
                <c:pt idx="14">
                  <c:v>1.2022542485937369</c:v>
                </c:pt>
                <c:pt idx="15">
                  <c:v>1.176776695296637</c:v>
                </c:pt>
                <c:pt idx="16">
                  <c:v>1.1469463130731183</c:v>
                </c:pt>
                <c:pt idx="17">
                  <c:v>1.1134976249348867</c:v>
                </c:pt>
                <c:pt idx="18">
                  <c:v>1.0772542485937366</c:v>
                </c:pt>
                <c:pt idx="19">
                  <c:v>1.0391086162600578</c:v>
                </c:pt>
                <c:pt idx="20">
                  <c:v>1</c:v>
                </c:pt>
                <c:pt idx="21">
                  <c:v>0.96089138373994221</c:v>
                </c:pt>
                <c:pt idx="22">
                  <c:v>0.92274575140626314</c:v>
                </c:pt>
                <c:pt idx="23">
                  <c:v>0.88650237506511331</c:v>
                </c:pt>
                <c:pt idx="24">
                  <c:v>0.85305368692688166</c:v>
                </c:pt>
                <c:pt idx="25">
                  <c:v>0.82322330470336313</c:v>
                </c:pt>
                <c:pt idx="26">
                  <c:v>0.79774575140626314</c:v>
                </c:pt>
                <c:pt idx="27">
                  <c:v>0.77724836895290805</c:v>
                </c:pt>
                <c:pt idx="28">
                  <c:v>0.76223587092621159</c:v>
                </c:pt>
                <c:pt idx="29">
                  <c:v>0.75307791485121556</c:v>
                </c:pt>
                <c:pt idx="30">
                  <c:v>0.75</c:v>
                </c:pt>
                <c:pt idx="31">
                  <c:v>0.75307791485121556</c:v>
                </c:pt>
                <c:pt idx="32">
                  <c:v>0.76223587092621159</c:v>
                </c:pt>
                <c:pt idx="33">
                  <c:v>0.77724836895290805</c:v>
                </c:pt>
                <c:pt idx="34">
                  <c:v>0.79774575140626314</c:v>
                </c:pt>
                <c:pt idx="35">
                  <c:v>0.82322330470336313</c:v>
                </c:pt>
                <c:pt idx="36">
                  <c:v>0.85305368692688166</c:v>
                </c:pt>
                <c:pt idx="37">
                  <c:v>0.88650237506511331</c:v>
                </c:pt>
                <c:pt idx="38">
                  <c:v>0.92274575140626314</c:v>
                </c:pt>
                <c:pt idx="39">
                  <c:v>0.96089138373994232</c:v>
                </c:pt>
                <c:pt idx="40">
                  <c:v>1</c:v>
                </c:pt>
                <c:pt idx="41">
                  <c:v>1.0391086162600578</c:v>
                </c:pt>
                <c:pt idx="42">
                  <c:v>1.0772542485937369</c:v>
                </c:pt>
                <c:pt idx="43">
                  <c:v>1.1134976249348867</c:v>
                </c:pt>
                <c:pt idx="44">
                  <c:v>1.1469463130731183</c:v>
                </c:pt>
                <c:pt idx="45">
                  <c:v>1.176776695296637</c:v>
                </c:pt>
                <c:pt idx="46">
                  <c:v>1.2022542485937369</c:v>
                </c:pt>
                <c:pt idx="47">
                  <c:v>1.2227516310470921</c:v>
                </c:pt>
                <c:pt idx="48">
                  <c:v>1.2377641290737884</c:v>
                </c:pt>
                <c:pt idx="49">
                  <c:v>1.2469220851487846</c:v>
                </c:pt>
                <c:pt idx="50">
                  <c:v>1.25</c:v>
                </c:pt>
                <c:pt idx="51">
                  <c:v>1.2469220851487846</c:v>
                </c:pt>
                <c:pt idx="52">
                  <c:v>1.2377641290737884</c:v>
                </c:pt>
                <c:pt idx="53">
                  <c:v>1.2227516310470921</c:v>
                </c:pt>
                <c:pt idx="54">
                  <c:v>1.2022542485937369</c:v>
                </c:pt>
                <c:pt idx="55">
                  <c:v>1.176776695296637</c:v>
                </c:pt>
                <c:pt idx="56">
                  <c:v>1.1469463130731183</c:v>
                </c:pt>
                <c:pt idx="57">
                  <c:v>1.1134976249348867</c:v>
                </c:pt>
                <c:pt idx="58">
                  <c:v>1.0772542485937369</c:v>
                </c:pt>
                <c:pt idx="59">
                  <c:v>1.0391086162600578</c:v>
                </c:pt>
                <c:pt idx="60">
                  <c:v>1</c:v>
                </c:pt>
                <c:pt idx="61">
                  <c:v>0.96089138373994232</c:v>
                </c:pt>
                <c:pt idx="62">
                  <c:v>0.92274575140626325</c:v>
                </c:pt>
                <c:pt idx="63">
                  <c:v>0.88650237506511331</c:v>
                </c:pt>
                <c:pt idx="64">
                  <c:v>0.85305368692688177</c:v>
                </c:pt>
                <c:pt idx="65">
                  <c:v>0.82322330470336313</c:v>
                </c:pt>
                <c:pt idx="66">
                  <c:v>0.79774575140626314</c:v>
                </c:pt>
                <c:pt idx="67">
                  <c:v>0.77724836895290805</c:v>
                </c:pt>
                <c:pt idx="68">
                  <c:v>0.76223587092621159</c:v>
                </c:pt>
                <c:pt idx="69">
                  <c:v>0.75307791485121556</c:v>
                </c:pt>
                <c:pt idx="70">
                  <c:v>0.75</c:v>
                </c:pt>
                <c:pt idx="71">
                  <c:v>0.75307791485121556</c:v>
                </c:pt>
                <c:pt idx="72">
                  <c:v>0.76223587092621159</c:v>
                </c:pt>
                <c:pt idx="73">
                  <c:v>0.77724836895290805</c:v>
                </c:pt>
                <c:pt idx="74">
                  <c:v>0.79774575140626314</c:v>
                </c:pt>
                <c:pt idx="75">
                  <c:v>0.82322330470336302</c:v>
                </c:pt>
                <c:pt idx="76">
                  <c:v>0.85305368692688166</c:v>
                </c:pt>
                <c:pt idx="77">
                  <c:v>0.88650237506511331</c:v>
                </c:pt>
                <c:pt idx="78">
                  <c:v>0.92274575140626314</c:v>
                </c:pt>
                <c:pt idx="79">
                  <c:v>0.96089138373994221</c:v>
                </c:pt>
                <c:pt idx="80">
                  <c:v>0.99999999999999989</c:v>
                </c:pt>
                <c:pt idx="81">
                  <c:v>1.0391086162600573</c:v>
                </c:pt>
                <c:pt idx="82">
                  <c:v>1.0772542485937369</c:v>
                </c:pt>
                <c:pt idx="83">
                  <c:v>1.1134976249348867</c:v>
                </c:pt>
                <c:pt idx="84">
                  <c:v>1.1469463130731181</c:v>
                </c:pt>
                <c:pt idx="85">
                  <c:v>1.1767766952966368</c:v>
                </c:pt>
                <c:pt idx="86">
                  <c:v>1.2022542485937369</c:v>
                </c:pt>
                <c:pt idx="87">
                  <c:v>1.2227516310470921</c:v>
                </c:pt>
                <c:pt idx="88">
                  <c:v>1.2377641290737884</c:v>
                </c:pt>
                <c:pt idx="89">
                  <c:v>1.2469220851487843</c:v>
                </c:pt>
                <c:pt idx="90">
                  <c:v>1.25</c:v>
                </c:pt>
                <c:pt idx="91">
                  <c:v>1.2469220851487846</c:v>
                </c:pt>
                <c:pt idx="92">
                  <c:v>1.2377641290737884</c:v>
                </c:pt>
                <c:pt idx="93">
                  <c:v>1.2227516310470918</c:v>
                </c:pt>
                <c:pt idx="94">
                  <c:v>1.2022542485937369</c:v>
                </c:pt>
                <c:pt idx="95">
                  <c:v>1.1767766952966368</c:v>
                </c:pt>
                <c:pt idx="96">
                  <c:v>1.1469463130731183</c:v>
                </c:pt>
                <c:pt idx="97">
                  <c:v>1.1134976249348869</c:v>
                </c:pt>
                <c:pt idx="98">
                  <c:v>1.0772542485937369</c:v>
                </c:pt>
                <c:pt idx="99">
                  <c:v>1.039108616260058</c:v>
                </c:pt>
                <c:pt idx="100">
                  <c:v>1</c:v>
                </c:pt>
              </c:numCache>
            </c:numRef>
          </c:val>
          <c:smooth val="1"/>
          <c:extLst>
            <c:ext xmlns:c16="http://schemas.microsoft.com/office/drawing/2014/chart" uri="{C3380CC4-5D6E-409C-BE32-E72D297353CC}">
              <c16:uniqueId val="{00000000-A022-42E8-ACEE-AC5E79A010FA}"/>
            </c:ext>
          </c:extLst>
        </c:ser>
        <c:dLbls>
          <c:showLegendKey val="0"/>
          <c:showVal val="0"/>
          <c:showCatName val="0"/>
          <c:showSerName val="0"/>
          <c:showPercent val="0"/>
          <c:showBubbleSize val="0"/>
        </c:dLbls>
        <c:smooth val="0"/>
        <c:axId val="730160672"/>
        <c:axId val="730173152"/>
      </c:lineChart>
      <c:catAx>
        <c:axId val="73016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73152"/>
        <c:crosses val="autoZero"/>
        <c:auto val="1"/>
        <c:lblAlgn val="ctr"/>
        <c:lblOffset val="100"/>
        <c:noMultiLvlLbl val="0"/>
      </c:catAx>
      <c:valAx>
        <c:axId val="73017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60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InnerSin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SinTest!$A$7:$A$107</c:f>
              <c:numCache>
                <c:formatCode>General</c:formatCode>
                <c:ptCount val="1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numCache>
            </c:numRef>
          </c:cat>
          <c:val>
            <c:numRef>
              <c:f>SinTest!$C$7:$C$107</c:f>
              <c:numCache>
                <c:formatCode>General</c:formatCode>
                <c:ptCount val="101"/>
                <c:pt idx="0">
                  <c:v>4.90059381963448E-16</c:v>
                </c:pt>
                <c:pt idx="1">
                  <c:v>0.31286893008046224</c:v>
                </c:pt>
                <c:pt idx="2">
                  <c:v>0.61803398874989524</c:v>
                </c:pt>
                <c:pt idx="3">
                  <c:v>0.90798099947909394</c:v>
                </c:pt>
                <c:pt idx="4">
                  <c:v>1.1755705045849467</c:v>
                </c:pt>
                <c:pt idx="5">
                  <c:v>1.4142135623730954</c:v>
                </c:pt>
                <c:pt idx="6">
                  <c:v>1.6180339887498951</c:v>
                </c:pt>
                <c:pt idx="7">
                  <c:v>1.7820130483767358</c:v>
                </c:pt>
                <c:pt idx="8">
                  <c:v>1.9021130325903073</c:v>
                </c:pt>
                <c:pt idx="9">
                  <c:v>1.9753766811902755</c:v>
                </c:pt>
                <c:pt idx="10">
                  <c:v>2</c:v>
                </c:pt>
                <c:pt idx="11">
                  <c:v>1.9753766811902753</c:v>
                </c:pt>
                <c:pt idx="12">
                  <c:v>1.9021130325903071</c:v>
                </c:pt>
                <c:pt idx="13">
                  <c:v>1.7820130483767356</c:v>
                </c:pt>
                <c:pt idx="14">
                  <c:v>1.6180339887498947</c:v>
                </c:pt>
                <c:pt idx="15">
                  <c:v>1.4142135623730949</c:v>
                </c:pt>
                <c:pt idx="16">
                  <c:v>1.1755705045849461</c:v>
                </c:pt>
                <c:pt idx="17">
                  <c:v>0.90798099947909339</c:v>
                </c:pt>
                <c:pt idx="18">
                  <c:v>0.61803398874989379</c:v>
                </c:pt>
                <c:pt idx="19">
                  <c:v>0.31286893008046146</c:v>
                </c:pt>
                <c:pt idx="20">
                  <c:v>-2.45029690981724E-16</c:v>
                </c:pt>
                <c:pt idx="21">
                  <c:v>-0.31286893008046196</c:v>
                </c:pt>
                <c:pt idx="22">
                  <c:v>-0.61803398874989501</c:v>
                </c:pt>
                <c:pt idx="23">
                  <c:v>-0.90798099947909372</c:v>
                </c:pt>
                <c:pt idx="24">
                  <c:v>-1.1755705045849465</c:v>
                </c:pt>
                <c:pt idx="25">
                  <c:v>-1.4142135623730951</c:v>
                </c:pt>
                <c:pt idx="26">
                  <c:v>-1.6180339887498949</c:v>
                </c:pt>
                <c:pt idx="27">
                  <c:v>-1.7820130483767358</c:v>
                </c:pt>
                <c:pt idx="28">
                  <c:v>-1.9021130325903073</c:v>
                </c:pt>
                <c:pt idx="29">
                  <c:v>-1.9753766811902755</c:v>
                </c:pt>
                <c:pt idx="30">
                  <c:v>-2</c:v>
                </c:pt>
                <c:pt idx="31">
                  <c:v>-1.9753766811902755</c:v>
                </c:pt>
                <c:pt idx="32">
                  <c:v>-1.9021130325903071</c:v>
                </c:pt>
                <c:pt idx="33">
                  <c:v>-1.7820130483767356</c:v>
                </c:pt>
                <c:pt idx="34">
                  <c:v>-1.6180339887498949</c:v>
                </c:pt>
                <c:pt idx="35">
                  <c:v>-1.4142135623730949</c:v>
                </c:pt>
                <c:pt idx="36">
                  <c:v>-1.1755705045849463</c:v>
                </c:pt>
                <c:pt idx="37">
                  <c:v>-0.9079809994790935</c:v>
                </c:pt>
                <c:pt idx="38">
                  <c:v>-0.61803398874989479</c:v>
                </c:pt>
                <c:pt idx="39">
                  <c:v>-0.31286893008046174</c:v>
                </c:pt>
                <c:pt idx="40">
                  <c:v>0</c:v>
                </c:pt>
                <c:pt idx="41">
                  <c:v>0.31286893008046174</c:v>
                </c:pt>
                <c:pt idx="42">
                  <c:v>0.61803398874989479</c:v>
                </c:pt>
                <c:pt idx="43">
                  <c:v>0.9079809994790935</c:v>
                </c:pt>
                <c:pt idx="44">
                  <c:v>1.1755705045849463</c:v>
                </c:pt>
                <c:pt idx="45">
                  <c:v>1.4142135623730949</c:v>
                </c:pt>
                <c:pt idx="46">
                  <c:v>1.6180339887498949</c:v>
                </c:pt>
                <c:pt idx="47">
                  <c:v>1.7820130483767356</c:v>
                </c:pt>
                <c:pt idx="48">
                  <c:v>1.9021130325903071</c:v>
                </c:pt>
                <c:pt idx="49">
                  <c:v>1.9753766811902755</c:v>
                </c:pt>
                <c:pt idx="50">
                  <c:v>2</c:v>
                </c:pt>
                <c:pt idx="51">
                  <c:v>1.9753766811902755</c:v>
                </c:pt>
                <c:pt idx="52">
                  <c:v>1.9021130325903073</c:v>
                </c:pt>
                <c:pt idx="53">
                  <c:v>1.7820130483767358</c:v>
                </c:pt>
                <c:pt idx="54">
                  <c:v>1.6180339887498949</c:v>
                </c:pt>
                <c:pt idx="55">
                  <c:v>1.4142135623730951</c:v>
                </c:pt>
                <c:pt idx="56">
                  <c:v>1.1755705045849465</c:v>
                </c:pt>
                <c:pt idx="57">
                  <c:v>0.90798099947909372</c:v>
                </c:pt>
                <c:pt idx="58">
                  <c:v>0.61803398874989501</c:v>
                </c:pt>
                <c:pt idx="59">
                  <c:v>0.31286893008046196</c:v>
                </c:pt>
                <c:pt idx="60">
                  <c:v>2.45029690981724E-16</c:v>
                </c:pt>
                <c:pt idx="61">
                  <c:v>-0.31286893008046146</c:v>
                </c:pt>
                <c:pt idx="62">
                  <c:v>-0.61803398874989379</c:v>
                </c:pt>
                <c:pt idx="63">
                  <c:v>-0.90798099947909339</c:v>
                </c:pt>
                <c:pt idx="64">
                  <c:v>-1.1755705045849461</c:v>
                </c:pt>
                <c:pt idx="65">
                  <c:v>-1.4142135623730949</c:v>
                </c:pt>
                <c:pt idx="66">
                  <c:v>-1.6180339887498947</c:v>
                </c:pt>
                <c:pt idx="67">
                  <c:v>-1.7820130483767356</c:v>
                </c:pt>
                <c:pt idx="68">
                  <c:v>-1.9021130325903071</c:v>
                </c:pt>
                <c:pt idx="69">
                  <c:v>-1.9753766811902753</c:v>
                </c:pt>
                <c:pt idx="70">
                  <c:v>-2</c:v>
                </c:pt>
                <c:pt idx="71">
                  <c:v>-1.9753766811902755</c:v>
                </c:pt>
                <c:pt idx="72">
                  <c:v>-1.9021130325903073</c:v>
                </c:pt>
                <c:pt idx="73">
                  <c:v>-1.7820130483767358</c:v>
                </c:pt>
                <c:pt idx="74">
                  <c:v>-1.6180339887498951</c:v>
                </c:pt>
                <c:pt idx="75">
                  <c:v>-1.4142135623730954</c:v>
                </c:pt>
                <c:pt idx="76">
                  <c:v>-1.1755705045849467</c:v>
                </c:pt>
                <c:pt idx="77">
                  <c:v>-0.90798099947909394</c:v>
                </c:pt>
                <c:pt idx="78">
                  <c:v>-0.61803398874989524</c:v>
                </c:pt>
                <c:pt idx="79">
                  <c:v>-0.31286893008046224</c:v>
                </c:pt>
                <c:pt idx="80">
                  <c:v>-4.90059381963448E-16</c:v>
                </c:pt>
                <c:pt idx="81">
                  <c:v>0.31286893008045946</c:v>
                </c:pt>
                <c:pt idx="82">
                  <c:v>0.61803398874989435</c:v>
                </c:pt>
                <c:pt idx="83">
                  <c:v>0.90798099947909316</c:v>
                </c:pt>
                <c:pt idx="84">
                  <c:v>1.1755705045849443</c:v>
                </c:pt>
                <c:pt idx="85">
                  <c:v>1.4142135623730947</c:v>
                </c:pt>
                <c:pt idx="86">
                  <c:v>1.6180339887498945</c:v>
                </c:pt>
                <c:pt idx="87">
                  <c:v>1.7820130483767362</c:v>
                </c:pt>
                <c:pt idx="88">
                  <c:v>1.9021130325903071</c:v>
                </c:pt>
                <c:pt idx="89">
                  <c:v>1.9753766811902751</c:v>
                </c:pt>
                <c:pt idx="90">
                  <c:v>2</c:v>
                </c:pt>
                <c:pt idx="91">
                  <c:v>1.9753766811902758</c:v>
                </c:pt>
                <c:pt idx="92">
                  <c:v>1.9021130325903073</c:v>
                </c:pt>
                <c:pt idx="93">
                  <c:v>1.7820130483767351</c:v>
                </c:pt>
                <c:pt idx="94">
                  <c:v>1.6180339887498953</c:v>
                </c:pt>
                <c:pt idx="95">
                  <c:v>1.4142135623730943</c:v>
                </c:pt>
                <c:pt idx="96">
                  <c:v>1.1755705045849467</c:v>
                </c:pt>
                <c:pt idx="97">
                  <c:v>0.90798099947909583</c:v>
                </c:pt>
                <c:pt idx="98">
                  <c:v>0.61803398874989557</c:v>
                </c:pt>
                <c:pt idx="99">
                  <c:v>0.31286893008046418</c:v>
                </c:pt>
                <c:pt idx="100">
                  <c:v>7.3508907294517201E-16</c:v>
                </c:pt>
              </c:numCache>
            </c:numRef>
          </c:val>
          <c:smooth val="1"/>
          <c:extLst>
            <c:ext xmlns:c16="http://schemas.microsoft.com/office/drawing/2014/chart" uri="{C3380CC4-5D6E-409C-BE32-E72D297353CC}">
              <c16:uniqueId val="{00000000-5138-4ACF-ADBB-91C9C3A37EB5}"/>
            </c:ext>
          </c:extLst>
        </c:ser>
        <c:dLbls>
          <c:showLegendKey val="0"/>
          <c:showVal val="0"/>
          <c:showCatName val="0"/>
          <c:showSerName val="0"/>
          <c:showPercent val="0"/>
          <c:showBubbleSize val="0"/>
        </c:dLbls>
        <c:smooth val="0"/>
        <c:axId val="730160672"/>
        <c:axId val="730173152"/>
      </c:lineChart>
      <c:catAx>
        <c:axId val="730160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73152"/>
        <c:crosses val="autoZero"/>
        <c:auto val="1"/>
        <c:lblAlgn val="ctr"/>
        <c:lblOffset val="100"/>
        <c:noMultiLvlLbl val="0"/>
      </c:catAx>
      <c:valAx>
        <c:axId val="73017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60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WaveCyc1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SinTest!$A$7:$A$107</c:f>
              <c:numCache>
                <c:formatCode>General</c:formatCode>
                <c:ptCount val="1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numCache>
            </c:numRef>
          </c:cat>
          <c:val>
            <c:numRef>
              <c:f>SinTest!$D$7:$D$107</c:f>
              <c:numCache>
                <c:formatCode>General</c:formatCode>
                <c:ptCount val="101"/>
                <c:pt idx="0">
                  <c:v>1</c:v>
                </c:pt>
                <c:pt idx="1">
                  <c:v>1.014688775368406</c:v>
                </c:pt>
                <c:pt idx="2">
                  <c:v>1.0299275954991425</c:v>
                </c:pt>
                <c:pt idx="3">
                  <c:v>1.0462294586258449</c:v>
                </c:pt>
                <c:pt idx="4">
                  <c:v>1.0640290314891505</c:v>
                </c:pt>
                <c:pt idx="5">
                  <c:v>1.0836333053139411</c:v>
                </c:pt>
                <c:pt idx="6">
                  <c:v>1.1051615368797207</c:v>
                </c:pt>
                <c:pt idx="7">
                  <c:v>1.1284742789553481</c:v>
                </c:pt>
                <c:pt idx="8">
                  <c:v>1.1530955977550095</c:v>
                </c:pt>
                <c:pt idx="9">
                  <c:v>1.1781388740474148</c:v>
                </c:pt>
                <c:pt idx="10">
                  <c:v>1.2022542485937369</c:v>
                </c:pt>
                <c:pt idx="11">
                  <c:v>1.2236229347673873</c:v>
                </c:pt>
                <c:pt idx="12">
                  <c:v>1.2400270679457961</c:v>
                </c:pt>
                <c:pt idx="13">
                  <c:v>1.2490194628208888</c:v>
                </c:pt>
                <c:pt idx="14">
                  <c:v>1.2482022139861764</c:v>
                </c:pt>
                <c:pt idx="15">
                  <c:v>1.235595989444356</c:v>
                </c:pt>
                <c:pt idx="16">
                  <c:v>1.2100476904557016</c:v>
                </c:pt>
                <c:pt idx="17">
                  <c:v>1.1715931747302606</c:v>
                </c:pt>
                <c:pt idx="18">
                  <c:v>1.1216776676078295</c:v>
                </c:pt>
                <c:pt idx="19">
                  <c:v>1.0631509306915048</c:v>
                </c:pt>
                <c:pt idx="20">
                  <c:v>1</c:v>
                </c:pt>
                <c:pt idx="21">
                  <c:v>0.9368490693084951</c:v>
                </c:pt>
                <c:pt idx="22">
                  <c:v>0.8783223323921705</c:v>
                </c:pt>
                <c:pt idx="23">
                  <c:v>0.82840682526973941</c:v>
                </c:pt>
                <c:pt idx="24">
                  <c:v>0.7899523095442984</c:v>
                </c:pt>
                <c:pt idx="25">
                  <c:v>0.764404010555644</c:v>
                </c:pt>
                <c:pt idx="26">
                  <c:v>0.75179778601382363</c:v>
                </c:pt>
                <c:pt idx="27">
                  <c:v>0.75098053717911117</c:v>
                </c:pt>
                <c:pt idx="28">
                  <c:v>0.75997293205420391</c:v>
                </c:pt>
                <c:pt idx="29">
                  <c:v>0.77637706523261274</c:v>
                </c:pt>
                <c:pt idx="30">
                  <c:v>0.79774575140626314</c:v>
                </c:pt>
                <c:pt idx="31">
                  <c:v>0.8218611259525852</c:v>
                </c:pt>
                <c:pt idx="32">
                  <c:v>0.84690440224499075</c:v>
                </c:pt>
                <c:pt idx="33">
                  <c:v>0.87152572104465198</c:v>
                </c:pt>
                <c:pt idx="34">
                  <c:v>0.89483846312027915</c:v>
                </c:pt>
                <c:pt idx="35">
                  <c:v>0.9163666946860588</c:v>
                </c:pt>
                <c:pt idx="36">
                  <c:v>0.93597096851084949</c:v>
                </c:pt>
                <c:pt idx="37">
                  <c:v>0.95377054137415518</c:v>
                </c:pt>
                <c:pt idx="38">
                  <c:v>0.97007240450085741</c:v>
                </c:pt>
                <c:pt idx="39">
                  <c:v>0.98531122463159415</c:v>
                </c:pt>
                <c:pt idx="40">
                  <c:v>1</c:v>
                </c:pt>
                <c:pt idx="41">
                  <c:v>1.0146887753684057</c:v>
                </c:pt>
                <c:pt idx="42">
                  <c:v>1.0299275954991425</c:v>
                </c:pt>
                <c:pt idx="43">
                  <c:v>1.0462294586258449</c:v>
                </c:pt>
                <c:pt idx="44">
                  <c:v>1.0640290314891505</c:v>
                </c:pt>
                <c:pt idx="45">
                  <c:v>1.0836333053139411</c:v>
                </c:pt>
                <c:pt idx="46">
                  <c:v>1.1051615368797207</c:v>
                </c:pt>
                <c:pt idx="47">
                  <c:v>1.1284742789553481</c:v>
                </c:pt>
                <c:pt idx="48">
                  <c:v>1.1530955977550092</c:v>
                </c:pt>
                <c:pt idx="49">
                  <c:v>1.1781388740474148</c:v>
                </c:pt>
                <c:pt idx="50">
                  <c:v>1.2022542485937369</c:v>
                </c:pt>
                <c:pt idx="51">
                  <c:v>1.2236229347673873</c:v>
                </c:pt>
                <c:pt idx="52">
                  <c:v>1.2400270679457961</c:v>
                </c:pt>
                <c:pt idx="53">
                  <c:v>1.2490194628208888</c:v>
                </c:pt>
                <c:pt idx="54">
                  <c:v>1.2482022139861764</c:v>
                </c:pt>
                <c:pt idx="55">
                  <c:v>1.235595989444356</c:v>
                </c:pt>
                <c:pt idx="56">
                  <c:v>1.2100476904557016</c:v>
                </c:pt>
                <c:pt idx="57">
                  <c:v>1.1715931747302606</c:v>
                </c:pt>
                <c:pt idx="58">
                  <c:v>1.1216776676078295</c:v>
                </c:pt>
                <c:pt idx="59">
                  <c:v>1.063150930691505</c:v>
                </c:pt>
                <c:pt idx="60">
                  <c:v>1</c:v>
                </c:pt>
                <c:pt idx="61">
                  <c:v>0.9368490693084951</c:v>
                </c:pt>
                <c:pt idx="62">
                  <c:v>0.87832233239217061</c:v>
                </c:pt>
                <c:pt idx="63">
                  <c:v>0.82840682526973941</c:v>
                </c:pt>
                <c:pt idx="64">
                  <c:v>0.7899523095442984</c:v>
                </c:pt>
                <c:pt idx="65">
                  <c:v>0.764404010555644</c:v>
                </c:pt>
                <c:pt idx="66">
                  <c:v>0.75179778601382363</c:v>
                </c:pt>
                <c:pt idx="67">
                  <c:v>0.75098053717911117</c:v>
                </c:pt>
                <c:pt idx="68">
                  <c:v>0.75997293205420391</c:v>
                </c:pt>
                <c:pt idx="69">
                  <c:v>0.77637706523261274</c:v>
                </c:pt>
                <c:pt idx="70">
                  <c:v>0.79774575140626314</c:v>
                </c:pt>
                <c:pt idx="71">
                  <c:v>0.82186112595258509</c:v>
                </c:pt>
                <c:pt idx="72">
                  <c:v>0.84690440224499053</c:v>
                </c:pt>
                <c:pt idx="73">
                  <c:v>0.87152572104465187</c:v>
                </c:pt>
                <c:pt idx="74">
                  <c:v>0.89483846312027926</c:v>
                </c:pt>
                <c:pt idx="75">
                  <c:v>0.9163666946860588</c:v>
                </c:pt>
                <c:pt idx="76">
                  <c:v>0.93597096851084949</c:v>
                </c:pt>
                <c:pt idx="77">
                  <c:v>0.95377054137415507</c:v>
                </c:pt>
                <c:pt idx="78">
                  <c:v>0.97007240450085752</c:v>
                </c:pt>
                <c:pt idx="79">
                  <c:v>0.98531122463159404</c:v>
                </c:pt>
                <c:pt idx="80">
                  <c:v>0.99999999999999989</c:v>
                </c:pt>
                <c:pt idx="81">
                  <c:v>1.014688775368406</c:v>
                </c:pt>
                <c:pt idx="82">
                  <c:v>1.0299275954991425</c:v>
                </c:pt>
                <c:pt idx="83">
                  <c:v>1.0462294586258447</c:v>
                </c:pt>
                <c:pt idx="84">
                  <c:v>1.0640290314891505</c:v>
                </c:pt>
                <c:pt idx="85">
                  <c:v>1.0836333053139409</c:v>
                </c:pt>
                <c:pt idx="86">
                  <c:v>1.1051615368797207</c:v>
                </c:pt>
                <c:pt idx="87">
                  <c:v>1.1284742789553479</c:v>
                </c:pt>
                <c:pt idx="88">
                  <c:v>1.1530955977550095</c:v>
                </c:pt>
                <c:pt idx="89">
                  <c:v>1.1781388740474148</c:v>
                </c:pt>
                <c:pt idx="90">
                  <c:v>1.2022542485937369</c:v>
                </c:pt>
                <c:pt idx="91">
                  <c:v>1.2236229347673873</c:v>
                </c:pt>
                <c:pt idx="92">
                  <c:v>1.2400270679457961</c:v>
                </c:pt>
                <c:pt idx="93">
                  <c:v>1.2490194628208888</c:v>
                </c:pt>
                <c:pt idx="94">
                  <c:v>1.2482022139861764</c:v>
                </c:pt>
                <c:pt idx="95">
                  <c:v>1.235595989444356</c:v>
                </c:pt>
                <c:pt idx="96">
                  <c:v>1.2100476904557016</c:v>
                </c:pt>
                <c:pt idx="97">
                  <c:v>1.1715931747302608</c:v>
                </c:pt>
                <c:pt idx="98">
                  <c:v>1.1216776676078297</c:v>
                </c:pt>
                <c:pt idx="99">
                  <c:v>1.0631509306915052</c:v>
                </c:pt>
                <c:pt idx="100">
                  <c:v>1</c:v>
                </c:pt>
              </c:numCache>
            </c:numRef>
          </c:val>
          <c:smooth val="1"/>
          <c:extLst>
            <c:ext xmlns:c16="http://schemas.microsoft.com/office/drawing/2014/chart" uri="{C3380CC4-5D6E-409C-BE32-E72D297353CC}">
              <c16:uniqueId val="{00000000-93A8-407A-98A8-84101AFFA401}"/>
            </c:ext>
          </c:extLst>
        </c:ser>
        <c:dLbls>
          <c:showLegendKey val="0"/>
          <c:showVal val="0"/>
          <c:showCatName val="0"/>
          <c:showSerName val="0"/>
          <c:showPercent val="0"/>
          <c:showBubbleSize val="0"/>
        </c:dLbls>
        <c:smooth val="0"/>
        <c:axId val="730160672"/>
        <c:axId val="730173152"/>
      </c:lineChart>
      <c:catAx>
        <c:axId val="73016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73152"/>
        <c:crosses val="autoZero"/>
        <c:auto val="1"/>
        <c:lblAlgn val="ctr"/>
        <c:lblOffset val="100"/>
        <c:noMultiLvlLbl val="0"/>
      </c:catAx>
      <c:valAx>
        <c:axId val="73017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60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22</xdr:col>
      <xdr:colOff>93618</xdr:colOff>
      <xdr:row>1</xdr:row>
      <xdr:rowOff>82733</xdr:rowOff>
    </xdr:from>
    <xdr:to>
      <xdr:col>40</xdr:col>
      <xdr:colOff>304800</xdr:colOff>
      <xdr:row>26</xdr:row>
      <xdr:rowOff>76969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81643</xdr:colOff>
      <xdr:row>3</xdr:row>
      <xdr:rowOff>76199</xdr:rowOff>
    </xdr:from>
    <xdr:to>
      <xdr:col>16</xdr:col>
      <xdr:colOff>789215</xdr:colOff>
      <xdr:row>28</xdr:row>
      <xdr:rowOff>97972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104503</xdr:colOff>
      <xdr:row>27</xdr:row>
      <xdr:rowOff>50075</xdr:rowOff>
    </xdr:from>
    <xdr:to>
      <xdr:col>38</xdr:col>
      <xdr:colOff>457200</xdr:colOff>
      <xdr:row>51</xdr:row>
      <xdr:rowOff>44311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41</xdr:col>
      <xdr:colOff>0</xdr:colOff>
      <xdr:row>5</xdr:row>
      <xdr:rowOff>0</xdr:rowOff>
    </xdr:from>
    <xdr:to>
      <xdr:col>46</xdr:col>
      <xdr:colOff>297180</xdr:colOff>
      <xdr:row>23</xdr:row>
      <xdr:rowOff>129540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86680" y="1028700"/>
          <a:ext cx="4572000" cy="3429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106680</xdr:colOff>
      <xdr:row>1</xdr:row>
      <xdr:rowOff>0</xdr:rowOff>
    </xdr:from>
    <xdr:to>
      <xdr:col>19</xdr:col>
      <xdr:colOff>411480</xdr:colOff>
      <xdr:row>16</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99060</xdr:colOff>
      <xdr:row>16</xdr:row>
      <xdr:rowOff>83820</xdr:rowOff>
    </xdr:from>
    <xdr:to>
      <xdr:col>19</xdr:col>
      <xdr:colOff>403860</xdr:colOff>
      <xdr:row>31</xdr:row>
      <xdr:rowOff>83820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335280</xdr:colOff>
      <xdr:row>1</xdr:row>
      <xdr:rowOff>22860</xdr:rowOff>
    </xdr:from>
    <xdr:to>
      <xdr:col>12</xdr:col>
      <xdr:colOff>30480</xdr:colOff>
      <xdr:row>16</xdr:row>
      <xdr:rowOff>22860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geltner/Documents/Student%20Theses/Class%20of%202008/Justin%20Lee%20&amp;%20Jeehyun%20Oh/Course%20work/2008%20Spring/Thesis%20Prep/Real%20Option%20Case/NSC%20solutions/Binom&amp;Sam-M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ltner/Documents/Classes%20&amp;%20Teaching/431f09/Mod4%20(Lincoln)/Lincoln%20Case%20Stuff%20from%202005/Sam-McK_LAND_Formu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nom-SamMcK (2)"/>
      <sheetName val="Binom-SamMcK"/>
      <sheetName val="BinomExmpl (3)"/>
      <sheetName val="BinomExmpl (2)"/>
      <sheetName val="BinomExmpl"/>
      <sheetName val="DTA&amp;realoptions"/>
      <sheetName val="Black-Scholes"/>
      <sheetName val="Sam-McK Formula"/>
      <sheetName val="Charts"/>
      <sheetName val="Comparisons"/>
    </sheetNames>
    <sheetDataSet>
      <sheetData sheetId="0"/>
      <sheetData sheetId="1"/>
      <sheetData sheetId="2"/>
      <sheetData sheetId="3"/>
      <sheetData sheetId="4"/>
      <sheetData sheetId="5"/>
      <sheetData sheetId="6"/>
      <sheetData sheetId="7"/>
      <sheetData sheetId="8">
        <row r="10">
          <cell r="K10">
            <v>0</v>
          </cell>
          <cell r="L10">
            <v>0</v>
          </cell>
          <cell r="M10">
            <v>0</v>
          </cell>
        </row>
        <row r="11">
          <cell r="K11">
            <v>0.01</v>
          </cell>
          <cell r="L11">
            <v>1.2226112044404848E-11</v>
          </cell>
          <cell r="M11">
            <v>0</v>
          </cell>
        </row>
        <row r="12">
          <cell r="K12">
            <v>0.02</v>
          </cell>
          <cell r="L12">
            <v>3.6938949169862036E-10</v>
          </cell>
          <cell r="M12">
            <v>0</v>
          </cell>
        </row>
        <row r="13">
          <cell r="K13">
            <v>0.03</v>
          </cell>
          <cell r="L13">
            <v>2.7123378648776208E-9</v>
          </cell>
          <cell r="M13">
            <v>0</v>
          </cell>
        </row>
        <row r="14">
          <cell r="K14">
            <v>0.04</v>
          </cell>
          <cell r="L14">
            <v>1.1160424187328539E-8</v>
          </cell>
          <cell r="M14">
            <v>0</v>
          </cell>
        </row>
        <row r="15">
          <cell r="K15">
            <v>0.05</v>
          </cell>
          <cell r="L15">
            <v>3.3434700183583563E-8</v>
          </cell>
          <cell r="M15">
            <v>0</v>
          </cell>
        </row>
        <row r="16">
          <cell r="K16">
            <v>6.0000000000000005E-2</v>
          </cell>
          <cell r="L16">
            <v>8.1948300619457922E-8</v>
          </cell>
          <cell r="M16">
            <v>0</v>
          </cell>
        </row>
        <row r="17">
          <cell r="K17">
            <v>7.0000000000000007E-2</v>
          </cell>
          <cell r="L17">
            <v>1.7487364449180476E-7</v>
          </cell>
          <cell r="M17">
            <v>0</v>
          </cell>
        </row>
        <row r="18">
          <cell r="K18">
            <v>0.08</v>
          </cell>
          <cell r="L18">
            <v>3.371916928885758E-7</v>
          </cell>
          <cell r="M18">
            <v>0</v>
          </cell>
        </row>
        <row r="19">
          <cell r="K19">
            <v>0.09</v>
          </cell>
          <cell r="L19">
            <v>6.0172658867588474E-7</v>
          </cell>
          <cell r="M19">
            <v>0</v>
          </cell>
        </row>
        <row r="20">
          <cell r="K20">
            <v>9.9999999999999992E-2</v>
          </cell>
          <cell r="L20">
            <v>1.0101679798985422E-6</v>
          </cell>
          <cell r="M20">
            <v>0</v>
          </cell>
        </row>
        <row r="21">
          <cell r="K21">
            <v>0.10999999999999999</v>
          </cell>
          <cell r="L21">
            <v>1.614082715072134E-6</v>
          </cell>
          <cell r="M21">
            <v>0</v>
          </cell>
        </row>
        <row r="22">
          <cell r="K22">
            <v>0.11999999999999998</v>
          </cell>
          <cell r="L22">
            <v>2.4759172009420917E-6</v>
          </cell>
          <cell r="M22">
            <v>0</v>
          </cell>
        </row>
        <row r="23">
          <cell r="K23">
            <v>0.12999999999999998</v>
          </cell>
          <cell r="L23">
            <v>3.6699914408553985E-6</v>
          </cell>
          <cell r="M23">
            <v>0</v>
          </cell>
        </row>
        <row r="24">
          <cell r="K24">
            <v>0.13999999999999999</v>
          </cell>
          <cell r="L24">
            <v>5.2834855770747396E-6</v>
          </cell>
          <cell r="M24">
            <v>0</v>
          </cell>
        </row>
        <row r="25">
          <cell r="K25">
            <v>0.15</v>
          </cell>
          <cell r="L25">
            <v>7.4174196162602682E-6</v>
          </cell>
          <cell r="M25">
            <v>0</v>
          </cell>
        </row>
        <row r="26">
          <cell r="K26">
            <v>0.16</v>
          </cell>
          <cell r="L26">
            <v>1.0187626907779684E-5</v>
          </cell>
          <cell r="M26">
            <v>0</v>
          </cell>
        </row>
        <row r="27">
          <cell r="K27">
            <v>0.17</v>
          </cell>
          <cell r="L27">
            <v>1.3725721859285342E-5</v>
          </cell>
          <cell r="M27">
            <v>0</v>
          </cell>
        </row>
        <row r="28">
          <cell r="K28">
            <v>0.18000000000000002</v>
          </cell>
          <cell r="L28">
            <v>1.8180062306418182E-5</v>
          </cell>
          <cell r="M28">
            <v>0</v>
          </cell>
        </row>
        <row r="29">
          <cell r="K29">
            <v>0.19000000000000003</v>
          </cell>
          <cell r="L29">
            <v>2.3716706899025252E-5</v>
          </cell>
          <cell r="M29">
            <v>0</v>
          </cell>
        </row>
        <row r="30">
          <cell r="K30">
            <v>0.20000000000000004</v>
          </cell>
          <cell r="L30">
            <v>3.0520367821732076E-5</v>
          </cell>
          <cell r="M30">
            <v>0</v>
          </cell>
        </row>
        <row r="31">
          <cell r="K31">
            <v>0.21000000000000005</v>
          </cell>
          <cell r="L31">
            <v>3.8795359129833568E-5</v>
          </cell>
          <cell r="M31">
            <v>0</v>
          </cell>
        </row>
        <row r="32">
          <cell r="K32">
            <v>0.22000000000000006</v>
          </cell>
          <cell r="L32">
            <v>4.876654095059433E-5</v>
          </cell>
          <cell r="M32">
            <v>0</v>
          </cell>
        </row>
        <row r="33">
          <cell r="K33">
            <v>0.23000000000000007</v>
          </cell>
          <cell r="L33">
            <v>6.0680259773953333E-5</v>
          </cell>
          <cell r="M33">
            <v>0</v>
          </cell>
        </row>
        <row r="34">
          <cell r="K34">
            <v>0.24000000000000007</v>
          </cell>
          <cell r="L34">
            <v>7.4805285034371756E-5</v>
          </cell>
          <cell r="M34">
            <v>0</v>
          </cell>
        </row>
        <row r="35">
          <cell r="K35">
            <v>0.25000000000000006</v>
          </cell>
          <cell r="L35">
            <v>9.14337421664403E-5</v>
          </cell>
          <cell r="M35">
            <v>0</v>
          </cell>
        </row>
        <row r="36">
          <cell r="K36">
            <v>0.26000000000000006</v>
          </cell>
          <cell r="L36">
            <v>1.1088204230029643E-4</v>
          </cell>
          <cell r="M36">
            <v>0</v>
          </cell>
        </row>
        <row r="37">
          <cell r="K37">
            <v>0.27000000000000007</v>
          </cell>
          <cell r="L37">
            <v>1.3349180874848546E-4</v>
          </cell>
          <cell r="M37">
            <v>0</v>
          </cell>
        </row>
        <row r="38">
          <cell r="K38">
            <v>0.28000000000000008</v>
          </cell>
          <cell r="L38">
            <v>1.5963080042324593E-4</v>
          </cell>
          <cell r="M38">
            <v>0</v>
          </cell>
        </row>
        <row r="39">
          <cell r="K39">
            <v>0.29000000000000009</v>
          </cell>
          <cell r="L39">
            <v>1.8969383231206316E-4</v>
          </cell>
          <cell r="M39">
            <v>0</v>
          </cell>
        </row>
        <row r="40">
          <cell r="K40">
            <v>0.3000000000000001</v>
          </cell>
          <cell r="L40">
            <v>2.2410369312946449E-4</v>
          </cell>
          <cell r="M40">
            <v>0</v>
          </cell>
        </row>
        <row r="41">
          <cell r="K41">
            <v>0.31000000000000011</v>
          </cell>
          <cell r="L41">
            <v>2.6331206025424731E-4</v>
          </cell>
          <cell r="M41">
            <v>0</v>
          </cell>
        </row>
        <row r="42">
          <cell r="K42">
            <v>0.32000000000000012</v>
          </cell>
          <cell r="L42">
            <v>3.0780041205348861E-4</v>
          </cell>
          <cell r="M42">
            <v>0</v>
          </cell>
        </row>
        <row r="43">
          <cell r="K43">
            <v>0.33000000000000013</v>
          </cell>
          <cell r="L43">
            <v>3.5808093768763895E-4</v>
          </cell>
          <cell r="M43">
            <v>0</v>
          </cell>
        </row>
        <row r="44">
          <cell r="K44">
            <v>0.34000000000000014</v>
          </cell>
          <cell r="L44">
            <v>4.1469744448467943E-4</v>
          </cell>
          <cell r="M44">
            <v>0</v>
          </cell>
        </row>
        <row r="45">
          <cell r="K45">
            <v>0.35000000000000014</v>
          </cell>
          <cell r="L45">
            <v>4.7822626296556978E-4</v>
          </cell>
          <cell r="M45">
            <v>0</v>
          </cell>
        </row>
        <row r="46">
          <cell r="K46">
            <v>0.36000000000000015</v>
          </cell>
          <cell r="L46">
            <v>5.4927714959804807E-4</v>
          </cell>
          <cell r="M46">
            <v>0</v>
          </cell>
        </row>
        <row r="47">
          <cell r="K47">
            <v>0.37000000000000016</v>
          </cell>
          <cell r="L47">
            <v>6.2849418735111059E-4</v>
          </cell>
          <cell r="M47">
            <v>0</v>
          </cell>
        </row>
        <row r="48">
          <cell r="K48">
            <v>0.38000000000000017</v>
          </cell>
          <cell r="L48">
            <v>7.1655668411818173E-4</v>
          </cell>
          <cell r="M48">
            <v>0</v>
          </cell>
        </row>
        <row r="49">
          <cell r="K49">
            <v>0.39000000000000018</v>
          </cell>
          <cell r="L49">
            <v>8.1418006907309063E-4</v>
          </cell>
          <cell r="M49">
            <v>0</v>
          </cell>
        </row>
        <row r="50">
          <cell r="K50">
            <v>0.40000000000000019</v>
          </cell>
          <cell r="L50">
            <v>9.2211678701929734E-4</v>
          </cell>
          <cell r="M50">
            <v>0</v>
          </cell>
        </row>
        <row r="51">
          <cell r="K51">
            <v>0.4100000000000002</v>
          </cell>
          <cell r="L51">
            <v>1.0411571907895719E-3</v>
          </cell>
          <cell r="M51">
            <v>0</v>
          </cell>
        </row>
        <row r="52">
          <cell r="K52">
            <v>0.42000000000000021</v>
          </cell>
          <cell r="L52">
            <v>1.1721304317502065E-3</v>
          </cell>
          <cell r="M52">
            <v>0</v>
          </cell>
        </row>
        <row r="53">
          <cell r="K53">
            <v>0.43000000000000022</v>
          </cell>
          <cell r="L53">
            <v>1.3159053484610714E-3</v>
          </cell>
          <cell r="M53">
            <v>0</v>
          </cell>
        </row>
        <row r="54">
          <cell r="K54">
            <v>0.44000000000000022</v>
          </cell>
          <cell r="L54">
            <v>1.4733913535402172E-3</v>
          </cell>
          <cell r="M54">
            <v>0</v>
          </cell>
        </row>
        <row r="55">
          <cell r="K55">
            <v>0.45000000000000023</v>
          </cell>
          <cell r="L55">
            <v>1.6455393187792529E-3</v>
          </cell>
          <cell r="M55">
            <v>0</v>
          </cell>
        </row>
        <row r="56">
          <cell r="K56">
            <v>0.46000000000000024</v>
          </cell>
          <cell r="L56">
            <v>1.83334245855359E-3</v>
          </cell>
          <cell r="M56">
            <v>0</v>
          </cell>
        </row>
        <row r="57">
          <cell r="K57">
            <v>0.47000000000000025</v>
          </cell>
          <cell r="L57">
            <v>2.0378372115694597E-3</v>
          </cell>
          <cell r="M57">
            <v>0</v>
          </cell>
        </row>
        <row r="58">
          <cell r="K58">
            <v>0.48000000000000026</v>
          </cell>
          <cell r="L58">
            <v>2.2601041209877218E-3</v>
          </cell>
          <cell r="M58">
            <v>0</v>
          </cell>
        </row>
        <row r="59">
          <cell r="K59">
            <v>0.49000000000000027</v>
          </cell>
          <cell r="L59">
            <v>2.5012687129626872E-3</v>
          </cell>
          <cell r="M59">
            <v>0</v>
          </cell>
        </row>
        <row r="60">
          <cell r="K60">
            <v>0.50000000000000022</v>
          </cell>
          <cell r="L60">
            <v>2.7625023736323998E-3</v>
          </cell>
          <cell r="M60">
            <v>0</v>
          </cell>
        </row>
        <row r="61">
          <cell r="K61">
            <v>0.51000000000000023</v>
          </cell>
          <cell r="L61">
            <v>3.0450232245953822E-3</v>
          </cell>
          <cell r="M61">
            <v>0</v>
          </cell>
        </row>
        <row r="62">
          <cell r="K62">
            <v>0.52000000000000024</v>
          </cell>
          <cell r="L62">
            <v>3.350096996907183E-3</v>
          </cell>
          <cell r="M62">
            <v>0</v>
          </cell>
        </row>
        <row r="63">
          <cell r="K63">
            <v>0.53000000000000025</v>
          </cell>
          <cell r="L63">
            <v>3.6790379036288532E-3</v>
          </cell>
          <cell r="M63">
            <v>0</v>
          </cell>
        </row>
        <row r="64">
          <cell r="K64">
            <v>0.54000000000000026</v>
          </cell>
          <cell r="L64">
            <v>4.0332095109580565E-3</v>
          </cell>
          <cell r="M64">
            <v>0</v>
          </cell>
        </row>
        <row r="65">
          <cell r="K65">
            <v>0.55000000000000027</v>
          </cell>
          <cell r="L65">
            <v>4.4140256079722813E-3</v>
          </cell>
          <cell r="M65">
            <v>0</v>
          </cell>
        </row>
        <row r="66">
          <cell r="K66">
            <v>0.56000000000000028</v>
          </cell>
          <cell r="L66">
            <v>4.8229510750125828E-3</v>
          </cell>
          <cell r="M66">
            <v>0</v>
          </cell>
        </row>
        <row r="67">
          <cell r="K67">
            <v>0.57000000000000028</v>
          </cell>
          <cell r="L67">
            <v>5.2615027507350127E-3</v>
          </cell>
          <cell r="M67">
            <v>0</v>
          </cell>
        </row>
        <row r="68">
          <cell r="K68">
            <v>0.58000000000000029</v>
          </cell>
          <cell r="L68">
            <v>5.7312502978560161E-3</v>
          </cell>
          <cell r="M68">
            <v>0</v>
          </cell>
        </row>
        <row r="69">
          <cell r="K69">
            <v>0.5900000000000003</v>
          </cell>
          <cell r="L69">
            <v>6.23381706761705E-3</v>
          </cell>
          <cell r="M69">
            <v>0</v>
          </cell>
        </row>
        <row r="70">
          <cell r="K70">
            <v>0.60000000000000031</v>
          </cell>
          <cell r="L70">
            <v>6.7708809629926925E-3</v>
          </cell>
          <cell r="M70">
            <v>0</v>
          </cell>
        </row>
        <row r="71">
          <cell r="K71">
            <v>0.61000000000000032</v>
          </cell>
          <cell r="L71">
            <v>7.344175300665735E-3</v>
          </cell>
          <cell r="M71">
            <v>0</v>
          </cell>
        </row>
        <row r="72">
          <cell r="K72">
            <v>0.62000000000000033</v>
          </cell>
          <cell r="L72">
            <v>7.9554896717918683E-3</v>
          </cell>
          <cell r="M72">
            <v>0</v>
          </cell>
        </row>
        <row r="73">
          <cell r="K73">
            <v>0.63000000000000034</v>
          </cell>
          <cell r="L73">
            <v>8.6066708015757973E-3</v>
          </cell>
          <cell r="M73">
            <v>0</v>
          </cell>
        </row>
        <row r="74">
          <cell r="K74">
            <v>0.64000000000000035</v>
          </cell>
          <cell r="L74">
            <v>9.2996234076798603E-3</v>
          </cell>
          <cell r="M74">
            <v>0</v>
          </cell>
        </row>
        <row r="75">
          <cell r="K75">
            <v>0.65000000000000036</v>
          </cell>
          <cell r="L75">
            <v>1.00363110574856E-2</v>
          </cell>
          <cell r="M75">
            <v>0</v>
          </cell>
        </row>
        <row r="76">
          <cell r="K76">
            <v>0.66000000000000036</v>
          </cell>
          <cell r="L76">
            <v>1.0818757024227896E-2</v>
          </cell>
          <cell r="M76">
            <v>0</v>
          </cell>
        </row>
        <row r="77">
          <cell r="K77">
            <v>0.67000000000000037</v>
          </cell>
          <cell r="L77">
            <v>1.164904514202081E-2</v>
          </cell>
          <cell r="M77">
            <v>0</v>
          </cell>
        </row>
        <row r="78">
          <cell r="K78">
            <v>0.68000000000000038</v>
          </cell>
          <cell r="L78">
            <v>1.2529320659793553E-2</v>
          </cell>
          <cell r="M78">
            <v>0</v>
          </cell>
        </row>
        <row r="79">
          <cell r="K79">
            <v>0.69000000000000039</v>
          </cell>
          <cell r="L79">
            <v>1.3461791094154484E-2</v>
          </cell>
          <cell r="M79">
            <v>0</v>
          </cell>
        </row>
        <row r="80">
          <cell r="K80">
            <v>0.7000000000000004</v>
          </cell>
          <cell r="L80">
            <v>1.4448727081200376E-2</v>
          </cell>
          <cell r="M80">
            <v>0</v>
          </cell>
        </row>
        <row r="81">
          <cell r="K81">
            <v>0.71000000000000041</v>
          </cell>
          <cell r="L81">
            <v>1.5492463227287988E-2</v>
          </cell>
          <cell r="M81">
            <v>0</v>
          </cell>
        </row>
        <row r="82">
          <cell r="K82">
            <v>0.72000000000000042</v>
          </cell>
          <cell r="L82">
            <v>1.6595398958783779E-2</v>
          </cell>
          <cell r="M82">
            <v>0</v>
          </cell>
        </row>
        <row r="83">
          <cell r="K83">
            <v>0.73000000000000043</v>
          </cell>
          <cell r="L83">
            <v>1.7759999370808032E-2</v>
          </cell>
          <cell r="M83">
            <v>0</v>
          </cell>
        </row>
        <row r="84">
          <cell r="K84">
            <v>0.74000000000000044</v>
          </cell>
          <cell r="L84">
            <v>1.8988796074988469E-2</v>
          </cell>
          <cell r="M84">
            <v>0</v>
          </cell>
        </row>
        <row r="85">
          <cell r="K85">
            <v>0.75000000000000044</v>
          </cell>
          <cell r="L85">
            <v>2.0284388046238121E-2</v>
          </cell>
          <cell r="M85">
            <v>0</v>
          </cell>
        </row>
        <row r="86">
          <cell r="K86">
            <v>0.76000000000000045</v>
          </cell>
          <cell r="L86">
            <v>2.1649442468572477E-2</v>
          </cell>
          <cell r="M86">
            <v>0</v>
          </cell>
        </row>
        <row r="87">
          <cell r="K87">
            <v>0.77000000000000046</v>
          </cell>
          <cell r="L87">
            <v>2.3086695579979156E-2</v>
          </cell>
          <cell r="M87">
            <v>0</v>
          </cell>
        </row>
        <row r="88">
          <cell r="K88">
            <v>0.78000000000000047</v>
          </cell>
          <cell r="L88">
            <v>2.4598953516354452E-2</v>
          </cell>
          <cell r="M88">
            <v>0</v>
          </cell>
        </row>
        <row r="89">
          <cell r="K89">
            <v>0.79000000000000048</v>
          </cell>
          <cell r="L89">
            <v>2.6189093154519814E-2</v>
          </cell>
          <cell r="M89">
            <v>0</v>
          </cell>
        </row>
        <row r="90">
          <cell r="K90">
            <v>0.80000000000000049</v>
          </cell>
          <cell r="L90">
            <v>2.786006295433097E-2</v>
          </cell>
          <cell r="M90">
            <v>0</v>
          </cell>
        </row>
        <row r="91">
          <cell r="K91">
            <v>0.8100000000000005</v>
          </cell>
          <cell r="L91">
            <v>2.9614883799892772E-2</v>
          </cell>
          <cell r="M91">
            <v>0</v>
          </cell>
        </row>
        <row r="92">
          <cell r="K92">
            <v>0.82000000000000051</v>
          </cell>
          <cell r="L92">
            <v>3.14566498398915E-2</v>
          </cell>
          <cell r="M92">
            <v>0</v>
          </cell>
        </row>
        <row r="93">
          <cell r="K93">
            <v>0.83000000000000052</v>
          </cell>
          <cell r="L93">
            <v>3.3388529327056965E-2</v>
          </cell>
          <cell r="M93">
            <v>0</v>
          </cell>
        </row>
        <row r="94">
          <cell r="K94">
            <v>0.84000000000000052</v>
          </cell>
          <cell r="L94">
            <v>3.5413765456765799E-2</v>
          </cell>
          <cell r="M94">
            <v>0</v>
          </cell>
        </row>
        <row r="95">
          <cell r="K95">
            <v>0.85000000000000053</v>
          </cell>
          <cell r="L95">
            <v>3.7535677204797314E-2</v>
          </cell>
          <cell r="M95">
            <v>0</v>
          </cell>
        </row>
        <row r="96">
          <cell r="K96">
            <v>0.86000000000000054</v>
          </cell>
          <cell r="L96">
            <v>3.9757660164253208E-2</v>
          </cell>
          <cell r="M96">
            <v>0</v>
          </cell>
        </row>
        <row r="97">
          <cell r="K97">
            <v>0.87000000000000055</v>
          </cell>
          <cell r="L97">
            <v>4.2083187381651462E-2</v>
          </cell>
          <cell r="M97">
            <v>0</v>
          </cell>
        </row>
        <row r="98">
          <cell r="K98">
            <v>0.88000000000000056</v>
          </cell>
          <cell r="L98">
            <v>4.4515810192205386E-2</v>
          </cell>
          <cell r="M98">
            <v>0</v>
          </cell>
        </row>
        <row r="99">
          <cell r="K99">
            <v>0.89000000000000057</v>
          </cell>
          <cell r="L99">
            <v>4.7059159054297806E-2</v>
          </cell>
          <cell r="M99">
            <v>0</v>
          </cell>
        </row>
        <row r="100">
          <cell r="K100">
            <v>0.90000000000000058</v>
          </cell>
          <cell r="L100">
            <v>4.971694438316028E-2</v>
          </cell>
          <cell r="M100">
            <v>0</v>
          </cell>
        </row>
        <row r="101">
          <cell r="K101">
            <v>0.91000000000000059</v>
          </cell>
          <cell r="L101">
            <v>5.2492957383767781E-2</v>
          </cell>
          <cell r="M101">
            <v>0</v>
          </cell>
        </row>
        <row r="102">
          <cell r="K102">
            <v>0.9200000000000006</v>
          </cell>
          <cell r="L102">
            <v>5.5391070882957472E-2</v>
          </cell>
          <cell r="M102">
            <v>0</v>
          </cell>
        </row>
        <row r="103">
          <cell r="K103">
            <v>0.9300000000000006</v>
          </cell>
          <cell r="L103">
            <v>5.8415240160781576E-2</v>
          </cell>
          <cell r="M103">
            <v>0</v>
          </cell>
        </row>
        <row r="104">
          <cell r="K104">
            <v>0.94000000000000061</v>
          </cell>
          <cell r="L104">
            <v>6.156950378110318E-2</v>
          </cell>
          <cell r="M104">
            <v>0</v>
          </cell>
        </row>
        <row r="105">
          <cell r="K105">
            <v>0.95000000000000062</v>
          </cell>
          <cell r="L105">
            <v>6.4857984421444012E-2</v>
          </cell>
          <cell r="M105">
            <v>0</v>
          </cell>
        </row>
        <row r="106">
          <cell r="K106">
            <v>0.96000000000000063</v>
          </cell>
          <cell r="L106">
            <v>6.8284889702092635E-2</v>
          </cell>
          <cell r="M106">
            <v>0</v>
          </cell>
        </row>
        <row r="107">
          <cell r="K107">
            <v>0.97000000000000064</v>
          </cell>
          <cell r="L107">
            <v>7.1854513014482022E-2</v>
          </cell>
          <cell r="M107">
            <v>0</v>
          </cell>
        </row>
        <row r="108">
          <cell r="K108">
            <v>0.98000000000000065</v>
          </cell>
          <cell r="L108">
            <v>7.5571234348844427E-2</v>
          </cell>
          <cell r="M108">
            <v>0</v>
          </cell>
        </row>
        <row r="109">
          <cell r="K109">
            <v>0.99000000000000066</v>
          </cell>
          <cell r="L109">
            <v>7.9439521121151796E-2</v>
          </cell>
          <cell r="M109">
            <v>0</v>
          </cell>
        </row>
        <row r="110">
          <cell r="K110">
            <v>1.0000000000000007</v>
          </cell>
          <cell r="L110">
            <v>8.346392899935004E-2</v>
          </cell>
          <cell r="M110">
            <v>6.6613381477509392E-16</v>
          </cell>
        </row>
        <row r="111">
          <cell r="K111">
            <v>1.0100000000000007</v>
          </cell>
          <cell r="L111">
            <v>8.7649102728894035E-2</v>
          </cell>
          <cell r="M111">
            <v>1.0000000000000675E-2</v>
          </cell>
        </row>
        <row r="112">
          <cell r="K112">
            <v>1.0200000000000007</v>
          </cell>
          <cell r="L112">
            <v>9.1999776957592552E-2</v>
          </cell>
          <cell r="M112">
            <v>2.0000000000000684E-2</v>
          </cell>
        </row>
        <row r="113">
          <cell r="K113">
            <v>1.0300000000000007</v>
          </cell>
          <cell r="L113">
            <v>9.6520777059768983E-2</v>
          </cell>
          <cell r="M113">
            <v>3.0000000000000693E-2</v>
          </cell>
        </row>
        <row r="114">
          <cell r="K114">
            <v>1.0400000000000007</v>
          </cell>
          <cell r="L114">
            <v>0.10121701995974611</v>
          </cell>
          <cell r="M114">
            <v>4.0000000000000702E-2</v>
          </cell>
        </row>
        <row r="115">
          <cell r="K115">
            <v>1.0500000000000007</v>
          </cell>
          <cell r="L115">
            <v>0.1060935149546619</v>
          </cell>
          <cell r="M115">
            <v>5.0000000000000711E-2</v>
          </cell>
        </row>
        <row r="116">
          <cell r="K116">
            <v>1.0600000000000007</v>
          </cell>
          <cell r="L116">
            <v>0.11115536453662314</v>
          </cell>
          <cell r="M116">
            <v>6.0000000000000719E-2</v>
          </cell>
        </row>
        <row r="117">
          <cell r="K117">
            <v>1.0700000000000007</v>
          </cell>
          <cell r="L117">
            <v>0.11640776521420444</v>
          </cell>
          <cell r="M117">
            <v>7.0000000000000728E-2</v>
          </cell>
        </row>
        <row r="118">
          <cell r="K118">
            <v>1.0800000000000007</v>
          </cell>
          <cell r="L118">
            <v>0.12185600833329836</v>
          </cell>
          <cell r="M118">
            <v>8.0000000000000737E-2</v>
          </cell>
        </row>
        <row r="119">
          <cell r="K119">
            <v>1.0900000000000007</v>
          </cell>
          <cell r="L119">
            <v>0.12750548089732422</v>
          </cell>
          <cell r="M119">
            <v>9.0000000000000746E-2</v>
          </cell>
        </row>
        <row r="120">
          <cell r="K120">
            <v>1.1000000000000008</v>
          </cell>
          <cell r="L120">
            <v>0.13336166638680153</v>
          </cell>
          <cell r="M120">
            <v>0.10000000000000075</v>
          </cell>
        </row>
        <row r="121">
          <cell r="K121">
            <v>1.1100000000000008</v>
          </cell>
          <cell r="L121">
            <v>0.13943014557829436</v>
          </cell>
          <cell r="M121">
            <v>0.11000000000000076</v>
          </cell>
        </row>
        <row r="122">
          <cell r="K122">
            <v>1.1200000000000008</v>
          </cell>
          <cell r="L122">
            <v>0.14571659736273393</v>
          </cell>
          <cell r="M122">
            <v>0.12000000000000077</v>
          </cell>
        </row>
        <row r="123">
          <cell r="K123">
            <v>1.1300000000000008</v>
          </cell>
          <cell r="L123">
            <v>0.15222679956312349</v>
          </cell>
          <cell r="M123">
            <v>0.13000000000000078</v>
          </cell>
        </row>
        <row r="124">
          <cell r="K124">
            <v>1.1400000000000008</v>
          </cell>
          <cell r="L124">
            <v>0.15896662975163392</v>
          </cell>
          <cell r="M124">
            <v>0.14000000000000079</v>
          </cell>
        </row>
        <row r="125">
          <cell r="K125">
            <v>1.1500000000000008</v>
          </cell>
          <cell r="L125">
            <v>0.16594206606609402</v>
          </cell>
          <cell r="M125">
            <v>0.1500000000000008</v>
          </cell>
        </row>
        <row r="126">
          <cell r="K126">
            <v>1.1600000000000008</v>
          </cell>
          <cell r="L126">
            <v>0.17315918802588195</v>
          </cell>
          <cell r="M126">
            <v>0.16000000000000081</v>
          </cell>
        </row>
        <row r="127">
          <cell r="K127">
            <v>1.1700000000000008</v>
          </cell>
          <cell r="L127">
            <v>0.18062417734722469</v>
          </cell>
          <cell r="M127">
            <v>0.17000000000000082</v>
          </cell>
        </row>
        <row r="128">
          <cell r="K128">
            <v>1.1800000000000008</v>
          </cell>
          <cell r="L128">
            <v>0.18834331875790838</v>
          </cell>
          <cell r="M128">
            <v>0.18000000000000083</v>
          </cell>
        </row>
        <row r="129">
          <cell r="K129">
            <v>1.1900000000000008</v>
          </cell>
          <cell r="L129">
            <v>0.19632300081140802</v>
          </cell>
          <cell r="M129">
            <v>0.19000000000000083</v>
          </cell>
        </row>
        <row r="130">
          <cell r="K130">
            <v>1.2000000000000008</v>
          </cell>
          <cell r="L130">
            <v>0.20456971670043977</v>
          </cell>
          <cell r="M130">
            <v>0.20000000000000084</v>
          </cell>
        </row>
        <row r="131">
          <cell r="K131">
            <v>1.2100000000000009</v>
          </cell>
          <cell r="L131">
            <v>0.21309006506994227</v>
          </cell>
          <cell r="M131">
            <v>0.21000000000000085</v>
          </cell>
        </row>
        <row r="132">
          <cell r="K132">
            <v>1.2200000000000009</v>
          </cell>
          <cell r="L132">
            <v>0.2218907508294912</v>
          </cell>
          <cell r="M132">
            <v>0.22000000000000086</v>
          </cell>
        </row>
        <row r="133">
          <cell r="K133">
            <v>1.2300000000000009</v>
          </cell>
          <cell r="L133">
            <v>0.23097858596515408</v>
          </cell>
          <cell r="M133">
            <v>0.23000000000000087</v>
          </cell>
        </row>
        <row r="134">
          <cell r="K134">
            <v>1.2400000000000009</v>
          </cell>
          <cell r="L134">
            <v>0.24036049035078766</v>
          </cell>
          <cell r="M134">
            <v>0.24000000000000088</v>
          </cell>
        </row>
        <row r="135">
          <cell r="K135">
            <v>1.2500000000000009</v>
          </cell>
          <cell r="L135">
            <v>0.25004349255878505</v>
          </cell>
          <cell r="M135">
            <v>0.25000000000000089</v>
          </cell>
        </row>
        <row r="136">
          <cell r="K136">
            <v>1.2600000000000009</v>
          </cell>
          <cell r="L136">
            <v>0.2600000000000009</v>
          </cell>
          <cell r="M136">
            <v>0.2600000000000009</v>
          </cell>
        </row>
        <row r="137">
          <cell r="K137">
            <v>1.2700000000000009</v>
          </cell>
          <cell r="L137">
            <v>0.27000000000000091</v>
          </cell>
          <cell r="M137">
            <v>0.27000000000000091</v>
          </cell>
        </row>
        <row r="138">
          <cell r="K138">
            <v>1.2800000000000009</v>
          </cell>
          <cell r="L138">
            <v>0.28000000000000091</v>
          </cell>
          <cell r="M138">
            <v>0.28000000000000091</v>
          </cell>
        </row>
        <row r="139">
          <cell r="K139">
            <v>1.2900000000000009</v>
          </cell>
          <cell r="L139">
            <v>0.29000000000000092</v>
          </cell>
          <cell r="M139">
            <v>0.29000000000000092</v>
          </cell>
        </row>
        <row r="140">
          <cell r="K140">
            <v>1.3000000000000009</v>
          </cell>
          <cell r="L140">
            <v>0.30000000000000093</v>
          </cell>
          <cell r="M140">
            <v>0.30000000000000093</v>
          </cell>
        </row>
        <row r="141">
          <cell r="K141">
            <v>1.3100000000000009</v>
          </cell>
          <cell r="L141">
            <v>0.31000000000000094</v>
          </cell>
          <cell r="M141">
            <v>0.31000000000000094</v>
          </cell>
        </row>
        <row r="142">
          <cell r="K142">
            <v>1.320000000000001</v>
          </cell>
          <cell r="L142">
            <v>0.32000000000000095</v>
          </cell>
          <cell r="M142">
            <v>0.32000000000000095</v>
          </cell>
        </row>
        <row r="143">
          <cell r="K143">
            <v>1.330000000000001</v>
          </cell>
          <cell r="L143">
            <v>0.33000000000000096</v>
          </cell>
          <cell r="M143">
            <v>0.33000000000000096</v>
          </cell>
        </row>
        <row r="144">
          <cell r="K144">
            <v>1.340000000000001</v>
          </cell>
          <cell r="L144">
            <v>0.34000000000000097</v>
          </cell>
          <cell r="M144">
            <v>0.34000000000000097</v>
          </cell>
        </row>
        <row r="145">
          <cell r="K145">
            <v>1.350000000000001</v>
          </cell>
          <cell r="L145">
            <v>0.35000000000000098</v>
          </cell>
          <cell r="M145">
            <v>0.35000000000000098</v>
          </cell>
        </row>
        <row r="146">
          <cell r="K146">
            <v>1.360000000000001</v>
          </cell>
          <cell r="L146">
            <v>0.36000000000000099</v>
          </cell>
          <cell r="M146">
            <v>0.36000000000000099</v>
          </cell>
        </row>
        <row r="147">
          <cell r="K147">
            <v>1.370000000000001</v>
          </cell>
          <cell r="L147">
            <v>0.37000000000000099</v>
          </cell>
          <cell r="M147">
            <v>0.37000000000000099</v>
          </cell>
        </row>
        <row r="148">
          <cell r="K148">
            <v>1.380000000000001</v>
          </cell>
          <cell r="L148">
            <v>0.380000000000001</v>
          </cell>
          <cell r="M148">
            <v>0.380000000000001</v>
          </cell>
        </row>
        <row r="149">
          <cell r="K149">
            <v>1.390000000000001</v>
          </cell>
          <cell r="L149">
            <v>0.39000000000000101</v>
          </cell>
          <cell r="M149">
            <v>0.39000000000000101</v>
          </cell>
        </row>
        <row r="150">
          <cell r="K150">
            <v>1.400000000000001</v>
          </cell>
          <cell r="L150">
            <v>0.40000000000000102</v>
          </cell>
          <cell r="M150">
            <v>0.40000000000000102</v>
          </cell>
        </row>
        <row r="151">
          <cell r="K151">
            <v>1.410000000000001</v>
          </cell>
          <cell r="L151">
            <v>0.41000000000000103</v>
          </cell>
          <cell r="M151">
            <v>0.41000000000000103</v>
          </cell>
        </row>
        <row r="152">
          <cell r="K152">
            <v>1.420000000000001</v>
          </cell>
          <cell r="L152">
            <v>0.42000000000000104</v>
          </cell>
          <cell r="M152">
            <v>0.42000000000000104</v>
          </cell>
        </row>
        <row r="153">
          <cell r="K153">
            <v>1.430000000000001</v>
          </cell>
          <cell r="L153">
            <v>0.43000000000000105</v>
          </cell>
          <cell r="M153">
            <v>0.43000000000000105</v>
          </cell>
        </row>
        <row r="154">
          <cell r="K154">
            <v>1.4400000000000011</v>
          </cell>
          <cell r="L154">
            <v>0.44000000000000106</v>
          </cell>
          <cell r="M154">
            <v>0.44000000000000106</v>
          </cell>
        </row>
        <row r="155">
          <cell r="K155">
            <v>1.4500000000000011</v>
          </cell>
          <cell r="L155">
            <v>0.45000000000000107</v>
          </cell>
          <cell r="M155">
            <v>0.45000000000000107</v>
          </cell>
        </row>
        <row r="156">
          <cell r="K156">
            <v>1.4600000000000011</v>
          </cell>
          <cell r="L156">
            <v>0.46000000000000107</v>
          </cell>
          <cell r="M156">
            <v>0.46000000000000107</v>
          </cell>
        </row>
        <row r="157">
          <cell r="K157">
            <v>1.4700000000000011</v>
          </cell>
          <cell r="L157">
            <v>0.47000000000000108</v>
          </cell>
          <cell r="M157">
            <v>0.47000000000000108</v>
          </cell>
        </row>
        <row r="158">
          <cell r="K158">
            <v>1.4800000000000011</v>
          </cell>
          <cell r="L158">
            <v>0.48000000000000109</v>
          </cell>
          <cell r="M158">
            <v>0.48000000000000109</v>
          </cell>
        </row>
        <row r="159">
          <cell r="K159">
            <v>1.4900000000000011</v>
          </cell>
          <cell r="L159">
            <v>0.4900000000000011</v>
          </cell>
          <cell r="M159">
            <v>0.4900000000000011</v>
          </cell>
        </row>
        <row r="160">
          <cell r="K160">
            <v>1.5000000000000011</v>
          </cell>
          <cell r="L160">
            <v>0.50000000000000111</v>
          </cell>
          <cell r="M160">
            <v>0.50000000000000111</v>
          </cell>
        </row>
        <row r="161">
          <cell r="K161">
            <v>1.5100000000000011</v>
          </cell>
          <cell r="L161">
            <v>0.51000000000000112</v>
          </cell>
          <cell r="M161">
            <v>0.51000000000000112</v>
          </cell>
        </row>
        <row r="162">
          <cell r="K162">
            <v>1.5200000000000011</v>
          </cell>
          <cell r="L162">
            <v>0.52000000000000113</v>
          </cell>
          <cell r="M162">
            <v>0.52000000000000113</v>
          </cell>
        </row>
        <row r="163">
          <cell r="K163">
            <v>1.5300000000000011</v>
          </cell>
          <cell r="L163">
            <v>0.53000000000000114</v>
          </cell>
          <cell r="M163">
            <v>0.53000000000000114</v>
          </cell>
        </row>
        <row r="164">
          <cell r="K164">
            <v>1.5400000000000011</v>
          </cell>
          <cell r="L164">
            <v>0.54000000000000115</v>
          </cell>
          <cell r="M164">
            <v>0.54000000000000115</v>
          </cell>
        </row>
        <row r="165">
          <cell r="K165">
            <v>1.5500000000000012</v>
          </cell>
          <cell r="L165">
            <v>0.55000000000000115</v>
          </cell>
          <cell r="M165">
            <v>0.55000000000000115</v>
          </cell>
        </row>
        <row r="166">
          <cell r="K166">
            <v>1.5600000000000012</v>
          </cell>
          <cell r="L166">
            <v>0.56000000000000116</v>
          </cell>
          <cell r="M166">
            <v>0.56000000000000116</v>
          </cell>
        </row>
        <row r="167">
          <cell r="K167">
            <v>1.5700000000000012</v>
          </cell>
          <cell r="L167">
            <v>0.57000000000000117</v>
          </cell>
          <cell r="M167">
            <v>0.57000000000000117</v>
          </cell>
        </row>
        <row r="168">
          <cell r="K168">
            <v>1.5800000000000012</v>
          </cell>
          <cell r="L168">
            <v>0.58000000000000118</v>
          </cell>
          <cell r="M168">
            <v>0.58000000000000118</v>
          </cell>
        </row>
        <row r="169">
          <cell r="K169">
            <v>1.5900000000000012</v>
          </cell>
          <cell r="L169">
            <v>0.59000000000000119</v>
          </cell>
          <cell r="M169">
            <v>0.59000000000000119</v>
          </cell>
        </row>
        <row r="170">
          <cell r="K170">
            <v>1.6000000000000012</v>
          </cell>
          <cell r="L170">
            <v>0.6000000000000012</v>
          </cell>
          <cell r="M170">
            <v>0.6000000000000012</v>
          </cell>
        </row>
        <row r="171">
          <cell r="K171">
            <v>1.6100000000000012</v>
          </cell>
          <cell r="L171">
            <v>0.61000000000000121</v>
          </cell>
          <cell r="M171">
            <v>0.61000000000000121</v>
          </cell>
        </row>
        <row r="172">
          <cell r="K172">
            <v>1.6200000000000012</v>
          </cell>
          <cell r="L172">
            <v>0.62000000000000122</v>
          </cell>
          <cell r="M172">
            <v>0.62000000000000122</v>
          </cell>
        </row>
        <row r="173">
          <cell r="K173">
            <v>1.6300000000000012</v>
          </cell>
          <cell r="L173">
            <v>0.63000000000000123</v>
          </cell>
          <cell r="M173">
            <v>0.63000000000000123</v>
          </cell>
        </row>
        <row r="174">
          <cell r="K174">
            <v>1.6400000000000012</v>
          </cell>
          <cell r="L174">
            <v>0.64000000000000123</v>
          </cell>
          <cell r="M174">
            <v>0.64000000000000123</v>
          </cell>
        </row>
        <row r="175">
          <cell r="K175">
            <v>1.6500000000000012</v>
          </cell>
          <cell r="L175">
            <v>0.65000000000000124</v>
          </cell>
          <cell r="M175">
            <v>0.65000000000000124</v>
          </cell>
        </row>
      </sheetData>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McK Formula"/>
      <sheetName val="Charts"/>
      <sheetName val="Comparisons"/>
    </sheetNames>
    <sheetDataSet>
      <sheetData sheetId="0"/>
      <sheetData sheetId="1">
        <row r="4">
          <cell r="L4">
            <v>0.15</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T75"/>
  <sheetViews>
    <sheetView showGridLines="0" tabSelected="1" zoomScale="70" zoomScaleNormal="70" zoomScalePageLayoutView="80" workbookViewId="0"/>
  </sheetViews>
  <sheetFormatPr defaultColWidth="9.109375" defaultRowHeight="13.2"/>
  <cols>
    <col min="1" max="1" width="2.44140625" style="2" customWidth="1"/>
    <col min="2" max="2" width="30.44140625" style="2" customWidth="1"/>
    <col min="3" max="17" width="12.44140625" style="2" customWidth="1"/>
    <col min="18" max="18" width="6.109375" style="2" customWidth="1"/>
    <col min="19" max="19" width="8.44140625" style="2" customWidth="1"/>
    <col min="20" max="20" width="11.88671875" style="128" customWidth="1"/>
    <col min="21" max="21" width="10.44140625" style="128" customWidth="1"/>
    <col min="22" max="22" width="12.77734375" style="2" customWidth="1"/>
    <col min="23" max="40" width="9.109375" style="2"/>
    <col min="41" max="41" width="12.77734375" style="2" customWidth="1"/>
    <col min="42" max="45" width="12.5546875" style="2" customWidth="1"/>
    <col min="46" max="46" width="12.109375" style="2" customWidth="1"/>
    <col min="47" max="16384" width="9.109375" style="2"/>
  </cols>
  <sheetData>
    <row r="1" spans="1:46" ht="23.4">
      <c r="A1" s="10" t="s">
        <v>29</v>
      </c>
      <c r="G1" s="115" t="s">
        <v>69</v>
      </c>
      <c r="R1" s="196" t="s">
        <v>34</v>
      </c>
      <c r="S1" s="196"/>
      <c r="T1" s="196"/>
      <c r="U1" s="196"/>
      <c r="V1" s="197"/>
      <c r="AQ1" s="2" t="s">
        <v>145</v>
      </c>
      <c r="AR1" s="2" t="s">
        <v>146</v>
      </c>
      <c r="AS1" s="2" t="s">
        <v>147</v>
      </c>
      <c r="AT1" s="2" t="s">
        <v>148</v>
      </c>
    </row>
    <row r="2" spans="1:46" ht="14.4">
      <c r="A2" s="11" t="s">
        <v>57</v>
      </c>
      <c r="B2" s="25"/>
      <c r="C2" s="9"/>
      <c r="D2" s="9"/>
      <c r="E2" s="9"/>
      <c r="F2" s="9"/>
      <c r="G2" s="9"/>
      <c r="H2" s="9"/>
      <c r="I2" s="9"/>
      <c r="J2" s="9"/>
      <c r="K2" s="9"/>
      <c r="L2" s="9"/>
      <c r="M2" s="9"/>
      <c r="N2" s="9"/>
      <c r="O2" s="9"/>
      <c r="P2" s="9"/>
      <c r="Q2" s="9"/>
      <c r="R2" s="331"/>
      <c r="S2" s="332"/>
      <c r="T2" s="332"/>
      <c r="U2" s="202" t="s">
        <v>94</v>
      </c>
      <c r="V2" s="198">
        <v>1</v>
      </c>
      <c r="AP2" s="2" t="s">
        <v>138</v>
      </c>
      <c r="AQ2" s="2">
        <f ca="1">RentCycPer</f>
        <v>13.267355904988353</v>
      </c>
      <c r="AR2" s="2">
        <f ca="1">AQ2</f>
        <v>13.267355904988353</v>
      </c>
      <c r="AS2" s="2">
        <f ca="1">CapRcycPer</f>
        <v>13.839866814415654</v>
      </c>
      <c r="AT2" s="2">
        <f ca="1">AS2</f>
        <v>13.839866814415654</v>
      </c>
    </row>
    <row r="3" spans="1:46" ht="14.4">
      <c r="A3" s="11" t="s">
        <v>98</v>
      </c>
      <c r="B3" s="9"/>
      <c r="C3" s="9"/>
      <c r="D3" s="9"/>
      <c r="E3" s="9"/>
      <c r="F3" s="9"/>
      <c r="G3" s="9"/>
      <c r="H3" s="9"/>
      <c r="I3" s="9"/>
      <c r="J3" s="9"/>
      <c r="K3" s="9"/>
      <c r="L3" s="9"/>
      <c r="M3" s="9"/>
      <c r="N3" s="9"/>
      <c r="O3" s="9"/>
      <c r="P3" s="9"/>
      <c r="Q3" s="9"/>
      <c r="R3" s="331"/>
      <c r="S3" s="332"/>
      <c r="T3" s="332"/>
      <c r="U3" s="202" t="s">
        <v>93</v>
      </c>
      <c r="V3" s="199">
        <v>-5.0000000000000001E-4</v>
      </c>
      <c r="AP3" s="2" t="s">
        <v>137</v>
      </c>
      <c r="AQ3" s="2">
        <f>RentCycAmpli</f>
        <v>0.5</v>
      </c>
      <c r="AR3" s="2">
        <f ca="1">AR2/10</f>
        <v>1.3267355904988354</v>
      </c>
      <c r="AS3" s="2">
        <f>CapRcycAmpli</f>
        <v>0.02</v>
      </c>
      <c r="AT3" s="2">
        <f ca="1">AT2/10</f>
        <v>1.3839866814415653</v>
      </c>
    </row>
    <row r="4" spans="1:46" ht="14.4">
      <c r="A4" s="9"/>
      <c r="B4" s="11"/>
      <c r="C4" s="9"/>
      <c r="D4" s="9"/>
      <c r="E4" s="9"/>
      <c r="F4" s="9"/>
      <c r="G4" s="9"/>
      <c r="H4" s="9"/>
      <c r="I4" s="9"/>
      <c r="J4" s="9"/>
      <c r="K4" s="9"/>
      <c r="L4" s="9"/>
      <c r="M4" s="9"/>
      <c r="N4" s="9"/>
      <c r="O4" s="9"/>
      <c r="P4" s="9"/>
      <c r="Q4" s="9"/>
      <c r="R4" s="331"/>
      <c r="S4" s="332"/>
      <c r="T4" s="332"/>
      <c r="U4" s="202" t="s">
        <v>70</v>
      </c>
      <c r="V4" s="199">
        <v>5.0000000000000001E-3</v>
      </c>
      <c r="AP4" s="2" t="s">
        <v>139</v>
      </c>
      <c r="AQ4" s="2">
        <f ca="1">RentCycPhse</f>
        <v>7.0495864132585311</v>
      </c>
      <c r="AR4" s="2">
        <f ca="1">AQ4</f>
        <v>7.0495864132585311</v>
      </c>
      <c r="AS4" s="2">
        <f ca="1">CapRcycPhse</f>
        <v>8.3033370422436121</v>
      </c>
      <c r="AT4" s="2">
        <f ca="1">AS4</f>
        <v>8.3033370422436121</v>
      </c>
    </row>
    <row r="5" spans="1:46" ht="14.4">
      <c r="A5" s="9"/>
      <c r="B5" s="9"/>
      <c r="C5" s="9"/>
      <c r="D5" s="9"/>
      <c r="E5" s="9"/>
      <c r="F5" s="9"/>
      <c r="G5" s="9"/>
      <c r="H5" s="9"/>
      <c r="I5" s="9"/>
      <c r="J5" s="9"/>
      <c r="K5" s="9"/>
      <c r="L5" s="9"/>
      <c r="M5" s="9"/>
      <c r="N5" s="9"/>
      <c r="O5" s="9"/>
      <c r="P5" s="9"/>
      <c r="Q5" s="9"/>
      <c r="R5" s="331"/>
      <c r="S5" s="332"/>
      <c r="T5" s="332"/>
      <c r="U5" s="202" t="s">
        <v>31</v>
      </c>
      <c r="V5" s="199">
        <v>5.0000000000000001E-3</v>
      </c>
    </row>
    <row r="6" spans="1:46" ht="14.4">
      <c r="A6" s="9"/>
      <c r="B6" s="9"/>
      <c r="C6" s="9"/>
      <c r="D6" s="9"/>
      <c r="E6" s="9"/>
      <c r="F6" s="9"/>
      <c r="G6" s="9"/>
      <c r="H6" s="9"/>
      <c r="I6" s="9"/>
      <c r="J6" s="9"/>
      <c r="K6" s="9"/>
      <c r="L6" s="9"/>
      <c r="M6" s="9"/>
      <c r="N6" s="9"/>
      <c r="O6" s="9"/>
      <c r="P6" s="9"/>
      <c r="Q6" s="9"/>
      <c r="R6" s="331"/>
      <c r="S6" s="332"/>
      <c r="T6" s="332"/>
      <c r="U6" s="202" t="s">
        <v>30</v>
      </c>
      <c r="V6" s="199">
        <v>0.1</v>
      </c>
    </row>
    <row r="7" spans="1:46" ht="14.4">
      <c r="A7" s="9"/>
      <c r="B7" s="9"/>
      <c r="C7" s="9"/>
      <c r="D7" s="9"/>
      <c r="E7" s="9"/>
      <c r="F7" s="9"/>
      <c r="G7" s="9"/>
      <c r="H7" s="9"/>
      <c r="I7" s="9"/>
      <c r="J7" s="9"/>
      <c r="K7" s="9"/>
      <c r="L7" s="9"/>
      <c r="M7" s="9"/>
      <c r="N7" s="9"/>
      <c r="O7" s="9"/>
      <c r="P7" s="9"/>
      <c r="Q7" s="9"/>
      <c r="R7" s="331"/>
      <c r="S7" s="332"/>
      <c r="T7" s="332"/>
      <c r="U7" s="202" t="s">
        <v>37</v>
      </c>
      <c r="V7" s="198">
        <v>0.2</v>
      </c>
    </row>
    <row r="8" spans="1:46" ht="14.4">
      <c r="A8" s="9"/>
      <c r="B8" s="9"/>
      <c r="C8" s="9"/>
      <c r="D8" s="9"/>
      <c r="E8" s="9"/>
      <c r="F8" s="9"/>
      <c r="G8" s="9"/>
      <c r="H8" s="9"/>
      <c r="I8" s="9"/>
      <c r="J8" s="9"/>
      <c r="K8" s="9"/>
      <c r="L8" s="9"/>
      <c r="M8" s="9"/>
      <c r="N8" s="9"/>
      <c r="O8" s="9"/>
      <c r="P8" s="9"/>
      <c r="Q8" s="9"/>
      <c r="R8" s="331"/>
      <c r="S8" s="332"/>
      <c r="T8" s="332"/>
      <c r="U8" s="202" t="s">
        <v>73</v>
      </c>
      <c r="V8" s="198">
        <v>0.3</v>
      </c>
    </row>
    <row r="9" spans="1:46" ht="14.4">
      <c r="A9" s="9"/>
      <c r="B9" s="9"/>
      <c r="C9" s="9"/>
      <c r="D9" s="9"/>
      <c r="E9" s="9"/>
      <c r="F9" s="9"/>
      <c r="G9" s="9"/>
      <c r="H9" s="9"/>
      <c r="I9" s="9"/>
      <c r="J9" s="9"/>
      <c r="K9" s="9"/>
      <c r="L9" s="9"/>
      <c r="M9" s="9"/>
      <c r="N9" s="9"/>
      <c r="O9" s="9"/>
      <c r="P9" s="9"/>
      <c r="Q9" s="9"/>
      <c r="R9" s="331"/>
      <c r="S9" s="332"/>
      <c r="T9" s="332"/>
      <c r="U9" s="202" t="s">
        <v>42</v>
      </c>
      <c r="V9" s="199">
        <v>0.5</v>
      </c>
    </row>
    <row r="10" spans="1:46" ht="14.4">
      <c r="A10" s="9"/>
      <c r="B10" s="9"/>
      <c r="C10" s="9"/>
      <c r="D10" s="9"/>
      <c r="E10" s="9"/>
      <c r="F10" s="9"/>
      <c r="G10" s="9"/>
      <c r="H10" s="9"/>
      <c r="I10" s="9"/>
      <c r="J10" s="9"/>
      <c r="K10" s="9"/>
      <c r="L10" s="9"/>
      <c r="M10" s="9"/>
      <c r="N10" s="9"/>
      <c r="O10" s="9"/>
      <c r="P10" s="9"/>
      <c r="Q10" s="9"/>
      <c r="R10" s="331"/>
      <c r="S10" s="332"/>
      <c r="T10" s="332"/>
      <c r="U10" s="202" t="s">
        <v>41</v>
      </c>
      <c r="V10" s="199">
        <v>0.02</v>
      </c>
    </row>
    <row r="11" spans="1:46" ht="14.4">
      <c r="A11" s="9"/>
      <c r="B11" s="9"/>
      <c r="C11" s="9"/>
      <c r="D11" s="9"/>
      <c r="E11" s="9"/>
      <c r="F11" s="9"/>
      <c r="G11" s="9"/>
      <c r="H11" s="9"/>
      <c r="I11" s="9"/>
      <c r="J11" s="9"/>
      <c r="K11" s="9"/>
      <c r="L11" s="9"/>
      <c r="M11" s="9"/>
      <c r="N11" s="9"/>
      <c r="O11" s="9"/>
      <c r="P11" s="9"/>
      <c r="Q11" s="9"/>
      <c r="R11" s="331"/>
      <c r="S11" s="332"/>
      <c r="T11" s="332"/>
      <c r="U11" s="202" t="s">
        <v>38</v>
      </c>
      <c r="V11" s="200">
        <f ca="1">RAND()*V13</f>
        <v>7.0495864132585311</v>
      </c>
    </row>
    <row r="12" spans="1:46" ht="14.4">
      <c r="A12" s="9"/>
      <c r="B12" s="9"/>
      <c r="C12" s="9"/>
      <c r="D12" s="9"/>
      <c r="E12" s="9"/>
      <c r="F12" s="9"/>
      <c r="G12" s="9"/>
      <c r="H12" s="9"/>
      <c r="I12" s="9"/>
      <c r="J12" s="9"/>
      <c r="K12" s="9"/>
      <c r="L12" s="9"/>
      <c r="M12" s="9"/>
      <c r="N12" s="9"/>
      <c r="O12" s="9"/>
      <c r="P12" s="9"/>
      <c r="Q12" s="9"/>
      <c r="R12" s="331"/>
      <c r="S12" s="332"/>
      <c r="T12" s="332"/>
      <c r="U12" s="202" t="s">
        <v>39</v>
      </c>
      <c r="V12" s="200">
        <f ca="1">V11+(RAND()*V14/5-V14/10)</f>
        <v>8.3033370422436121</v>
      </c>
    </row>
    <row r="13" spans="1:46" ht="14.4">
      <c r="A13" s="9"/>
      <c r="B13" s="9"/>
      <c r="C13" s="9"/>
      <c r="D13" s="9"/>
      <c r="E13" s="9"/>
      <c r="F13" s="9"/>
      <c r="G13" s="9"/>
      <c r="H13" s="9"/>
      <c r="I13" s="9"/>
      <c r="J13" s="9"/>
      <c r="K13" s="9"/>
      <c r="L13" s="9"/>
      <c r="M13" s="9"/>
      <c r="N13" s="9"/>
      <c r="O13" s="9"/>
      <c r="P13" s="9"/>
      <c r="Q13" s="9"/>
      <c r="R13" s="331"/>
      <c r="S13" s="332"/>
      <c r="T13" s="332"/>
      <c r="U13" s="202" t="s">
        <v>47</v>
      </c>
      <c r="V13" s="200">
        <f ca="1">RAND()*10+10</f>
        <v>13.267355904988353</v>
      </c>
    </row>
    <row r="14" spans="1:46" ht="14.4">
      <c r="A14" s="9"/>
      <c r="B14" s="9"/>
      <c r="C14" s="9"/>
      <c r="D14" s="9"/>
      <c r="E14" s="9"/>
      <c r="F14" s="9"/>
      <c r="G14" s="9"/>
      <c r="H14" s="9"/>
      <c r="I14" s="9"/>
      <c r="J14" s="9"/>
      <c r="K14" s="9"/>
      <c r="L14" s="9"/>
      <c r="M14" s="9"/>
      <c r="N14" s="9"/>
      <c r="O14" s="9"/>
      <c r="P14" s="9"/>
      <c r="Q14" s="9"/>
      <c r="R14" s="331"/>
      <c r="S14" s="332"/>
      <c r="T14" s="332"/>
      <c r="U14" s="202" t="s">
        <v>40</v>
      </c>
      <c r="V14" s="200">
        <f ca="1">V13+(RAND()*2-1)</f>
        <v>13.839866814415654</v>
      </c>
    </row>
    <row r="15" spans="1:46" ht="14.4">
      <c r="A15" s="9"/>
      <c r="B15" s="9"/>
      <c r="C15" s="9"/>
      <c r="D15" s="9"/>
      <c r="E15" s="9"/>
      <c r="F15" s="9"/>
      <c r="G15" s="9"/>
      <c r="H15" s="9"/>
      <c r="I15" s="9"/>
      <c r="J15" s="9"/>
      <c r="K15" s="9"/>
      <c r="L15" s="9"/>
      <c r="M15" s="9"/>
      <c r="N15" s="9"/>
      <c r="O15" s="9"/>
      <c r="P15" s="9"/>
      <c r="Q15" s="9"/>
      <c r="R15" s="331"/>
      <c r="S15" s="332"/>
      <c r="T15" s="332"/>
      <c r="U15" s="202" t="s">
        <v>32</v>
      </c>
      <c r="V15" s="199">
        <v>0.05</v>
      </c>
    </row>
    <row r="16" spans="1:46" ht="14.4">
      <c r="A16" s="9"/>
      <c r="B16" s="9"/>
      <c r="C16" s="9"/>
      <c r="D16" s="9"/>
      <c r="E16" s="9"/>
      <c r="F16" s="9"/>
      <c r="G16" s="9"/>
      <c r="H16" s="9"/>
      <c r="I16" s="9"/>
      <c r="J16" s="9"/>
      <c r="K16" s="9"/>
      <c r="L16" s="9"/>
      <c r="M16" s="9"/>
      <c r="N16" s="9"/>
      <c r="O16" s="9"/>
      <c r="P16" s="9"/>
      <c r="Q16" s="9"/>
      <c r="R16" s="331"/>
      <c r="S16" s="332"/>
      <c r="T16" s="332"/>
      <c r="U16" s="202" t="s">
        <v>33</v>
      </c>
      <c r="V16" s="199">
        <v>0.05</v>
      </c>
    </row>
    <row r="17" spans="1:22" ht="14.4">
      <c r="A17" s="9"/>
      <c r="B17" s="9"/>
      <c r="C17" s="9"/>
      <c r="D17" s="9"/>
      <c r="E17" s="9"/>
      <c r="F17" s="9"/>
      <c r="G17" s="9"/>
      <c r="H17" s="9"/>
      <c r="I17" s="9"/>
      <c r="J17" s="9"/>
      <c r="K17" s="9"/>
      <c r="L17" s="9"/>
      <c r="M17" s="9"/>
      <c r="N17" s="9"/>
      <c r="O17" s="9"/>
      <c r="P17" s="9"/>
      <c r="Q17" s="9"/>
      <c r="R17" s="331"/>
      <c r="S17" s="332"/>
      <c r="T17" s="332"/>
      <c r="U17" s="202" t="s">
        <v>19</v>
      </c>
      <c r="V17" s="199">
        <v>-0.25</v>
      </c>
    </row>
    <row r="18" spans="1:22" ht="14.4">
      <c r="A18" s="9"/>
      <c r="B18" s="9"/>
      <c r="C18" s="9"/>
      <c r="D18" s="9"/>
      <c r="E18" s="9"/>
      <c r="F18" s="9"/>
      <c r="G18" s="9"/>
      <c r="H18" s="9"/>
      <c r="I18" s="9"/>
      <c r="J18" s="9"/>
      <c r="K18" s="9"/>
      <c r="L18" s="9"/>
      <c r="M18" s="9"/>
      <c r="N18" s="9"/>
      <c r="O18" s="9"/>
      <c r="P18" s="9"/>
      <c r="Q18" s="9"/>
      <c r="R18" s="331"/>
      <c r="S18" s="332"/>
      <c r="T18" s="332"/>
      <c r="U18" s="202" t="s">
        <v>92</v>
      </c>
      <c r="V18" s="199">
        <f>$U$26</f>
        <v>0.05</v>
      </c>
    </row>
    <row r="19" spans="1:22" ht="14.4">
      <c r="A19" s="9"/>
      <c r="B19" s="9"/>
      <c r="C19" s="9"/>
      <c r="D19" s="9"/>
      <c r="E19" s="9"/>
      <c r="F19" s="9"/>
      <c r="G19" s="9"/>
      <c r="H19" s="9"/>
      <c r="I19" s="9"/>
      <c r="J19" s="9"/>
      <c r="K19" s="9"/>
      <c r="L19" s="9"/>
      <c r="M19" s="9"/>
      <c r="N19" s="9"/>
      <c r="O19" s="9"/>
      <c r="P19" s="9"/>
      <c r="Q19" s="9"/>
      <c r="R19" s="331"/>
      <c r="S19" s="332"/>
      <c r="T19" s="332"/>
      <c r="U19" s="202" t="s">
        <v>85</v>
      </c>
      <c r="V19" s="199">
        <v>0.02</v>
      </c>
    </row>
    <row r="20" spans="1:22" ht="14.4">
      <c r="A20" s="9"/>
      <c r="B20" s="9"/>
      <c r="C20" s="9"/>
      <c r="D20" s="9"/>
      <c r="E20" s="9"/>
      <c r="F20" s="9"/>
      <c r="G20" s="9"/>
      <c r="H20" s="9"/>
      <c r="I20" s="9"/>
      <c r="J20" s="9"/>
      <c r="K20" s="9"/>
      <c r="L20" s="9"/>
      <c r="M20" s="9"/>
      <c r="N20" s="9"/>
      <c r="O20" s="9"/>
      <c r="P20" s="9"/>
      <c r="Q20" s="9"/>
      <c r="R20" s="331"/>
      <c r="S20" s="332"/>
      <c r="T20" s="332"/>
      <c r="U20" s="202" t="s">
        <v>80</v>
      </c>
      <c r="V20" s="199">
        <v>0.03</v>
      </c>
    </row>
    <row r="21" spans="1:22" ht="14.4">
      <c r="A21" s="9"/>
      <c r="B21" s="9"/>
      <c r="C21" s="9"/>
      <c r="D21" s="9"/>
      <c r="E21" s="9"/>
      <c r="F21" s="9"/>
      <c r="G21" s="9"/>
      <c r="H21" s="9"/>
      <c r="I21" s="9"/>
      <c r="J21" s="9"/>
      <c r="K21" s="9"/>
      <c r="L21" s="9"/>
      <c r="M21" s="9"/>
      <c r="N21" s="9"/>
      <c r="O21" s="9"/>
      <c r="P21" s="9"/>
      <c r="Q21" s="9"/>
      <c r="R21" s="331"/>
      <c r="S21" s="332"/>
      <c r="T21" s="332"/>
      <c r="U21" s="202" t="s">
        <v>71</v>
      </c>
      <c r="V21" s="199">
        <v>0.02</v>
      </c>
    </row>
    <row r="22" spans="1:22" ht="14.4">
      <c r="A22" s="9"/>
      <c r="B22" s="9"/>
      <c r="C22" s="9"/>
      <c r="D22" s="9"/>
      <c r="E22" s="9"/>
      <c r="F22" s="9"/>
      <c r="G22" s="9"/>
      <c r="H22" s="9"/>
      <c r="I22" s="9"/>
      <c r="J22" s="9"/>
      <c r="K22" s="9"/>
      <c r="L22" s="9"/>
      <c r="M22" s="9"/>
      <c r="N22" s="9"/>
      <c r="O22" s="9"/>
      <c r="P22" s="9"/>
      <c r="Q22" s="9"/>
      <c r="R22" s="331"/>
      <c r="S22" s="332"/>
      <c r="T22" s="332"/>
      <c r="U22" s="202" t="s">
        <v>72</v>
      </c>
      <c r="V22" s="199">
        <v>7.0000000000000007E-2</v>
      </c>
    </row>
    <row r="23" spans="1:22" ht="15" thickBot="1">
      <c r="A23" s="9"/>
      <c r="B23" s="9"/>
      <c r="C23" s="9"/>
      <c r="D23" s="9"/>
      <c r="E23" s="9"/>
      <c r="F23" s="9"/>
      <c r="G23" s="9"/>
      <c r="H23" s="9"/>
      <c r="I23" s="9"/>
      <c r="J23" s="9"/>
      <c r="K23" s="9"/>
      <c r="L23" s="9"/>
      <c r="M23" s="9"/>
      <c r="N23" s="9"/>
      <c r="O23" s="9"/>
      <c r="P23" s="9"/>
      <c r="Q23" s="9"/>
      <c r="R23" s="333"/>
      <c r="S23" s="334"/>
      <c r="T23" s="334"/>
      <c r="U23" s="203" t="s">
        <v>95</v>
      </c>
      <c r="V23" s="201">
        <f>$U$27</f>
        <v>999.99999999999955</v>
      </c>
    </row>
    <row r="24" spans="1:22" ht="14.4">
      <c r="A24" s="9"/>
      <c r="B24" s="9"/>
      <c r="C24" s="9"/>
      <c r="D24" s="9"/>
      <c r="E24" s="9"/>
      <c r="F24" s="9"/>
      <c r="G24" s="9"/>
      <c r="H24" s="9"/>
      <c r="I24" s="9"/>
      <c r="J24" s="9"/>
      <c r="K24" s="9"/>
      <c r="L24" s="9"/>
      <c r="M24" s="9"/>
      <c r="N24" s="9"/>
      <c r="O24" s="9"/>
      <c r="P24" s="9"/>
      <c r="Q24" s="9"/>
      <c r="R24" s="9"/>
      <c r="U24" s="2"/>
      <c r="V24" s="128"/>
    </row>
    <row r="25" spans="1:22" ht="14.4">
      <c r="A25" s="9"/>
      <c r="B25" s="9"/>
      <c r="C25" s="9"/>
      <c r="D25" s="9"/>
      <c r="E25" s="9"/>
      <c r="F25" s="9"/>
      <c r="G25" s="9"/>
      <c r="H25" s="9"/>
      <c r="I25" s="9"/>
      <c r="J25" s="9"/>
      <c r="K25" s="9"/>
      <c r="L25" s="9"/>
      <c r="M25" s="9"/>
      <c r="N25" s="9"/>
      <c r="O25" s="9"/>
      <c r="P25" s="9"/>
      <c r="Q25" s="9"/>
      <c r="R25" s="9"/>
      <c r="U25" s="325">
        <f>RealisticTradlDCFproforma!$P$14/(RealisticTradlDCFproforma!$O$17/(1-Selling_Expense))</f>
        <v>5.8800000000000012E-2</v>
      </c>
      <c r="V25" s="326">
        <f>MktDynamicsInputs!V22-ProFormaCFgroRateInput+0.015</f>
        <v>6.5000000000000002E-2</v>
      </c>
    </row>
    <row r="26" spans="1:22" ht="14.4">
      <c r="A26" s="9"/>
      <c r="B26" s="9"/>
      <c r="C26" s="9"/>
      <c r="D26" s="9"/>
      <c r="E26" s="9"/>
      <c r="F26" s="9"/>
      <c r="G26" s="9"/>
      <c r="H26" s="9"/>
      <c r="I26" s="9"/>
      <c r="J26" s="9"/>
      <c r="K26" s="9"/>
      <c r="L26" s="9"/>
      <c r="M26" s="9"/>
      <c r="N26" s="9"/>
      <c r="O26" s="9"/>
      <c r="P26" s="9"/>
      <c r="Q26" s="9"/>
      <c r="R26" s="9"/>
      <c r="U26" s="327">
        <f>RealisticTradlDCFproforma!C28</f>
        <v>0.05</v>
      </c>
      <c r="V26" s="33"/>
    </row>
    <row r="27" spans="1:22" ht="14.4">
      <c r="A27" s="9"/>
      <c r="B27" s="9"/>
      <c r="C27" s="9"/>
      <c r="D27" s="9"/>
      <c r="E27" s="9"/>
      <c r="F27" s="9"/>
      <c r="G27" s="9"/>
      <c r="H27" s="9"/>
      <c r="I27" s="9"/>
      <c r="J27" s="9"/>
      <c r="K27" s="9"/>
      <c r="L27" s="9"/>
      <c r="M27" s="9"/>
      <c r="N27" s="9"/>
      <c r="O27" s="9"/>
      <c r="P27" s="9"/>
      <c r="Q27" s="9"/>
      <c r="R27" s="9"/>
      <c r="U27" s="330">
        <f>RealisticTradlDCFproforma!C29</f>
        <v>999.99999999999955</v>
      </c>
      <c r="V27" s="33"/>
    </row>
    <row r="28" spans="1:22" ht="14.4">
      <c r="A28" s="9"/>
      <c r="B28" s="9"/>
      <c r="C28" s="9"/>
      <c r="D28" s="9"/>
      <c r="E28" s="9"/>
      <c r="F28" s="9"/>
      <c r="G28" s="9"/>
      <c r="H28" s="9"/>
      <c r="I28" s="9"/>
      <c r="J28" s="9"/>
      <c r="K28" s="9"/>
      <c r="L28" s="9"/>
      <c r="M28" s="9"/>
      <c r="N28" s="9"/>
      <c r="O28" s="9"/>
      <c r="P28" s="9"/>
      <c r="Q28" s="9"/>
      <c r="R28" s="9"/>
      <c r="S28" s="123"/>
      <c r="T28" s="133"/>
    </row>
    <row r="29" spans="1:22" ht="14.4">
      <c r="A29" s="9"/>
      <c r="B29" s="9"/>
      <c r="C29" s="9"/>
      <c r="D29" s="9"/>
      <c r="E29" s="9"/>
      <c r="F29" s="9"/>
      <c r="G29" s="9"/>
      <c r="H29" s="9"/>
      <c r="I29" s="9"/>
      <c r="J29" s="9"/>
      <c r="K29" s="9"/>
      <c r="L29" s="9"/>
      <c r="M29" s="9"/>
      <c r="N29" s="9"/>
      <c r="O29" s="9"/>
      <c r="P29" s="9"/>
      <c r="Q29" s="9"/>
      <c r="R29" s="9"/>
      <c r="S29" s="123"/>
      <c r="T29" s="33"/>
    </row>
    <row r="30" spans="1:22" ht="14.4">
      <c r="A30" s="9"/>
      <c r="B30" s="9"/>
      <c r="C30" s="9"/>
      <c r="D30" s="9"/>
      <c r="E30" s="9"/>
      <c r="F30" s="9"/>
      <c r="G30" s="9"/>
      <c r="H30" s="9"/>
      <c r="I30" s="9"/>
      <c r="J30" s="9"/>
      <c r="K30" s="9"/>
      <c r="L30" s="9"/>
      <c r="M30" s="9"/>
      <c r="N30" s="9"/>
      <c r="O30" s="9"/>
      <c r="P30" s="9"/>
      <c r="Q30" s="9"/>
      <c r="R30" s="9"/>
      <c r="T30" s="33"/>
    </row>
    <row r="31" spans="1:22" ht="14.4">
      <c r="B31" s="11" t="s">
        <v>131</v>
      </c>
      <c r="C31" s="9"/>
      <c r="D31" s="9"/>
      <c r="E31" s="9"/>
      <c r="F31" s="9"/>
      <c r="G31" s="9"/>
      <c r="H31" s="9"/>
      <c r="I31" s="9"/>
      <c r="J31" s="9"/>
      <c r="K31" s="9"/>
      <c r="L31" s="9"/>
      <c r="M31" s="9"/>
      <c r="N31" s="9"/>
      <c r="O31" s="9"/>
      <c r="P31" s="9"/>
      <c r="Q31" s="9"/>
      <c r="R31" s="9"/>
    </row>
    <row r="32" spans="1:22" ht="14.4">
      <c r="A32" s="9"/>
      <c r="B32" s="19"/>
      <c r="C32" s="19" t="s">
        <v>59</v>
      </c>
      <c r="D32" s="113"/>
      <c r="E32" s="19"/>
      <c r="F32" s="19"/>
      <c r="G32" s="19"/>
      <c r="H32" s="27" t="s">
        <v>58</v>
      </c>
      <c r="I32" s="26"/>
      <c r="J32" s="26"/>
      <c r="K32" s="28"/>
      <c r="L32" s="19" t="s">
        <v>60</v>
      </c>
      <c r="M32" s="19"/>
      <c r="N32" s="19"/>
      <c r="O32" s="19"/>
      <c r="P32" s="27" t="s">
        <v>15</v>
      </c>
      <c r="Q32" s="28"/>
      <c r="R32" s="19"/>
      <c r="S32" s="19"/>
      <c r="T32" s="19"/>
      <c r="U32" s="19"/>
    </row>
    <row r="33" spans="1:22" ht="43.2">
      <c r="A33" s="9"/>
      <c r="B33" s="14"/>
      <c r="C33" s="15" t="s">
        <v>66</v>
      </c>
      <c r="D33" s="15" t="s">
        <v>35</v>
      </c>
      <c r="E33" s="15" t="s">
        <v>45</v>
      </c>
      <c r="F33" s="15" t="s">
        <v>46</v>
      </c>
      <c r="G33" s="15" t="s">
        <v>0</v>
      </c>
      <c r="H33" s="29"/>
      <c r="I33" s="15" t="s">
        <v>43</v>
      </c>
      <c r="J33" s="15"/>
      <c r="K33" s="30" t="s">
        <v>44</v>
      </c>
      <c r="L33" s="15" t="s">
        <v>100</v>
      </c>
      <c r="M33" s="15" t="s">
        <v>101</v>
      </c>
      <c r="N33" s="15" t="s">
        <v>16</v>
      </c>
      <c r="O33" s="15" t="s">
        <v>67</v>
      </c>
      <c r="P33" s="29" t="s">
        <v>17</v>
      </c>
      <c r="Q33" s="30" t="s">
        <v>68</v>
      </c>
      <c r="R33" s="14"/>
      <c r="S33" s="14"/>
      <c r="T33" s="129" t="s">
        <v>75</v>
      </c>
      <c r="U33" s="129" t="s">
        <v>99</v>
      </c>
    </row>
    <row r="34" spans="1:22" ht="14.4">
      <c r="A34" s="9"/>
      <c r="B34" s="12" t="s">
        <v>26</v>
      </c>
      <c r="C34" s="151">
        <f>InitPriceFactor</f>
        <v>1</v>
      </c>
      <c r="D34" s="76"/>
      <c r="E34" s="77"/>
      <c r="F34" s="77"/>
      <c r="G34" s="77"/>
      <c r="H34" s="78"/>
      <c r="I34" s="77"/>
      <c r="J34" s="77"/>
      <c r="K34" s="79"/>
      <c r="L34" s="77"/>
      <c r="M34" s="77"/>
      <c r="N34" s="77"/>
      <c r="O34" s="76"/>
      <c r="P34" s="80"/>
      <c r="Q34" s="81"/>
      <c r="R34" s="31"/>
      <c r="S34" s="31"/>
      <c r="T34" s="31"/>
      <c r="U34" s="31"/>
    </row>
    <row r="35" spans="1:22" ht="18">
      <c r="A35" s="9"/>
      <c r="B35" s="12" t="s">
        <v>18</v>
      </c>
      <c r="C35" s="311">
        <f>K35*C34</f>
        <v>0.05</v>
      </c>
      <c r="D35" s="116">
        <f>LRtrendMean</f>
        <v>-5.0000000000000001E-4</v>
      </c>
      <c r="E35" s="116">
        <f>MktDynamicsInputs!V6</f>
        <v>0.1</v>
      </c>
      <c r="F35" s="82"/>
      <c r="G35" s="82"/>
      <c r="H35" s="78"/>
      <c r="I35" s="83"/>
      <c r="J35" s="83"/>
      <c r="K35" s="118">
        <f>MktDynamicsInputs!V18</f>
        <v>0.05</v>
      </c>
      <c r="L35" s="83"/>
      <c r="M35" s="83"/>
      <c r="N35" s="83"/>
      <c r="O35" s="83"/>
      <c r="P35" s="84"/>
      <c r="Q35" s="118">
        <f>MktDynamicsInputs!V16</f>
        <v>0.05</v>
      </c>
      <c r="R35" s="12" t="s">
        <v>28</v>
      </c>
      <c r="S35" s="31"/>
      <c r="T35" s="31"/>
      <c r="U35" s="336">
        <f ca="1">STDEV(U45:U69)</f>
        <v>0.34387080305707274</v>
      </c>
      <c r="V35" s="337" t="s">
        <v>78</v>
      </c>
    </row>
    <row r="36" spans="1:22" ht="18">
      <c r="A36" s="9"/>
      <c r="B36" s="12" t="s">
        <v>25</v>
      </c>
      <c r="C36" s="312">
        <f>MktDynamicsInputs!V4</f>
        <v>5.0000000000000001E-3</v>
      </c>
      <c r="D36" s="116">
        <f>MktDynamicsInputs!V5</f>
        <v>5.0000000000000001E-3</v>
      </c>
      <c r="E36" s="83"/>
      <c r="F36" s="83"/>
      <c r="G36" s="83"/>
      <c r="H36" s="84"/>
      <c r="I36" s="83"/>
      <c r="J36" s="83"/>
      <c r="K36" s="85"/>
      <c r="L36" s="83"/>
      <c r="M36" s="83"/>
      <c r="N36" s="116">
        <f>MktDynamicsInputs!V15</f>
        <v>0.05</v>
      </c>
      <c r="O36" s="83"/>
      <c r="P36" s="84"/>
      <c r="Q36" s="118">
        <f>MktDynamicsInputs!V17</f>
        <v>-0.25</v>
      </c>
      <c r="R36" s="12" t="s">
        <v>36</v>
      </c>
      <c r="S36" s="31"/>
      <c r="T36" s="31"/>
      <c r="U36" s="336">
        <f ca="1">CORREL(U45:U68,U46:U69)</f>
        <v>0.42260358157562572</v>
      </c>
      <c r="V36" s="337" t="s">
        <v>79</v>
      </c>
    </row>
    <row r="37" spans="1:22" ht="18">
      <c r="A37" s="9"/>
      <c r="B37" s="12" t="s">
        <v>21</v>
      </c>
      <c r="C37" s="86"/>
      <c r="D37" s="82"/>
      <c r="E37" s="87"/>
      <c r="F37" s="117">
        <f>MktDynamicsInputs!V7</f>
        <v>0.2</v>
      </c>
      <c r="G37" s="88"/>
      <c r="H37" s="84"/>
      <c r="I37" s="83"/>
      <c r="J37" s="83"/>
      <c r="K37" s="85"/>
      <c r="L37" s="83"/>
      <c r="M37" s="83"/>
      <c r="N37" s="82"/>
      <c r="O37" s="83"/>
      <c r="P37" s="84"/>
      <c r="Q37" s="89"/>
      <c r="R37" s="31"/>
      <c r="S37" s="31"/>
      <c r="T37" s="31"/>
      <c r="U37" s="336">
        <f ca="1">AVERAGE(U45:U54)</f>
        <v>9.3006586231632049E-2</v>
      </c>
      <c r="V37" s="337" t="s">
        <v>82</v>
      </c>
    </row>
    <row r="38" spans="1:22" ht="18">
      <c r="A38" s="9"/>
      <c r="B38" s="12" t="s">
        <v>22</v>
      </c>
      <c r="C38" s="86"/>
      <c r="D38" s="83"/>
      <c r="E38" s="83"/>
      <c r="F38" s="83"/>
      <c r="G38" s="83"/>
      <c r="H38" s="84"/>
      <c r="I38" s="119">
        <f ca="1">MktDynamicsInputs!V13</f>
        <v>13.267355904988353</v>
      </c>
      <c r="J38" s="119"/>
      <c r="K38" s="120">
        <f ca="1">MktDynamicsInputs!V14</f>
        <v>13.839866814415654</v>
      </c>
      <c r="L38" s="83"/>
      <c r="M38" s="83"/>
      <c r="N38" s="83"/>
      <c r="O38" s="83"/>
      <c r="P38" s="84"/>
      <c r="Q38" s="85"/>
      <c r="R38" s="31"/>
      <c r="S38" s="31"/>
      <c r="T38" s="31"/>
      <c r="U38" s="336">
        <f ca="1">(Q54/Q44)^(1/10)-1</f>
        <v>1.440777846716168E-2</v>
      </c>
      <c r="V38" s="337" t="s">
        <v>83</v>
      </c>
    </row>
    <row r="39" spans="1:22" ht="18">
      <c r="A39" s="9"/>
      <c r="B39" s="12" t="s">
        <v>23</v>
      </c>
      <c r="C39" s="86"/>
      <c r="D39" s="83"/>
      <c r="E39" s="83"/>
      <c r="F39" s="83"/>
      <c r="G39" s="83"/>
      <c r="H39" s="84"/>
      <c r="I39" s="116">
        <f>MktDynamicsInputs!V9</f>
        <v>0.5</v>
      </c>
      <c r="J39" s="116"/>
      <c r="K39" s="118">
        <f>MktDynamicsInputs!V10</f>
        <v>0.02</v>
      </c>
      <c r="L39" s="83"/>
      <c r="M39" s="83"/>
      <c r="N39" s="83"/>
      <c r="O39" s="83"/>
      <c r="P39" s="84"/>
      <c r="Q39" s="85"/>
      <c r="R39" s="31"/>
      <c r="S39" s="31"/>
      <c r="T39" s="31"/>
      <c r="U39" s="336">
        <f ca="1">AVERAGE(U45:U1048576)</f>
        <v>7.1927520366348988E-2</v>
      </c>
      <c r="V39" s="337" t="s">
        <v>81</v>
      </c>
    </row>
    <row r="40" spans="1:22" ht="18">
      <c r="A40" s="9"/>
      <c r="B40" s="12" t="s">
        <v>24</v>
      </c>
      <c r="C40" s="86"/>
      <c r="D40" s="83"/>
      <c r="E40" s="83"/>
      <c r="F40" s="83"/>
      <c r="G40" s="83"/>
      <c r="H40" s="90" t="s">
        <v>43</v>
      </c>
      <c r="I40" s="121">
        <f ca="1">MktDynamicsInputs!V11</f>
        <v>7.0495864132585311</v>
      </c>
      <c r="J40" s="125" t="s">
        <v>74</v>
      </c>
      <c r="K40" s="122">
        <f ca="1">MktDynamicsInputs!V12</f>
        <v>8.3033370422436121</v>
      </c>
      <c r="L40" s="83"/>
      <c r="M40" s="83"/>
      <c r="N40" s="83"/>
      <c r="O40" s="83"/>
      <c r="P40" s="91"/>
      <c r="Q40" s="328">
        <f ca="1">AVERAGE(Q45:Q69)</f>
        <v>1.0879732938556301</v>
      </c>
      <c r="R40" s="31" t="s">
        <v>81</v>
      </c>
      <c r="S40" s="31"/>
      <c r="T40" s="31"/>
      <c r="U40" s="336">
        <f ca="1">(Q68/Q44)^(1/24)-1</f>
        <v>7.3803300420720586E-3</v>
      </c>
      <c r="V40" s="337" t="s">
        <v>84</v>
      </c>
    </row>
    <row r="41" spans="1:22" ht="14.4">
      <c r="A41" s="9"/>
      <c r="B41" s="12" t="s">
        <v>73</v>
      </c>
      <c r="C41" s="86"/>
      <c r="D41" s="83"/>
      <c r="E41" s="83"/>
      <c r="F41" s="119">
        <f>MktDynamicsInputs!V8</f>
        <v>0.3</v>
      </c>
      <c r="G41" s="83"/>
      <c r="H41" s="124"/>
      <c r="I41" s="119"/>
      <c r="J41" s="126"/>
      <c r="K41" s="119"/>
      <c r="L41" s="83"/>
      <c r="M41" s="83"/>
      <c r="N41" s="83"/>
      <c r="O41" s="83"/>
      <c r="P41" s="83"/>
      <c r="Q41" s="329">
        <f ca="1">AVERAGE(Q45:Q54)</f>
        <v>0.82475733525850126</v>
      </c>
      <c r="R41" s="31" t="s">
        <v>82</v>
      </c>
      <c r="S41" s="31"/>
      <c r="T41" s="31"/>
      <c r="U41" s="31"/>
    </row>
    <row r="42" spans="1:22" customFormat="1" ht="14.4">
      <c r="A42" s="24"/>
      <c r="B42" s="24"/>
      <c r="C42" s="24">
        <f>5%*0.5%</f>
        <v>2.5000000000000001E-4</v>
      </c>
      <c r="D42" s="112">
        <f ca="1">D35+(RAND()+RAND()-1)*D36*2</f>
        <v>-1.7927441877199032E-3</v>
      </c>
      <c r="E42" s="114" t="s">
        <v>61</v>
      </c>
      <c r="F42" s="114" t="s">
        <v>62</v>
      </c>
      <c r="G42" s="114" t="s">
        <v>63</v>
      </c>
      <c r="H42" s="24"/>
      <c r="I42" s="114" t="s">
        <v>64</v>
      </c>
      <c r="J42" s="114"/>
      <c r="K42" s="114" t="s">
        <v>65</v>
      </c>
      <c r="L42" s="24"/>
      <c r="M42" s="127"/>
      <c r="N42" s="24"/>
      <c r="O42" s="24"/>
      <c r="P42" s="127"/>
      <c r="Q42" s="127"/>
      <c r="R42" s="114" t="s">
        <v>76</v>
      </c>
      <c r="S42" s="114" t="s">
        <v>77</v>
      </c>
      <c r="T42" s="114"/>
      <c r="U42" s="114" t="s">
        <v>62</v>
      </c>
    </row>
    <row r="43" spans="1:22" ht="14.4">
      <c r="A43" s="9"/>
      <c r="B43" s="23" t="s">
        <v>27</v>
      </c>
      <c r="C43" s="19"/>
      <c r="D43" s="19"/>
      <c r="E43" s="19"/>
      <c r="F43" s="19"/>
      <c r="G43" s="19"/>
      <c r="H43" s="19"/>
      <c r="I43" s="19"/>
      <c r="J43" s="19"/>
      <c r="K43" s="19"/>
      <c r="L43" s="19"/>
      <c r="M43" s="19"/>
      <c r="N43" s="19"/>
      <c r="O43" s="19"/>
      <c r="P43" s="19"/>
      <c r="Q43" s="19"/>
      <c r="R43" s="19"/>
      <c r="S43" s="19"/>
      <c r="T43" s="19"/>
      <c r="U43" s="19"/>
    </row>
    <row r="44" spans="1:22" ht="14.4">
      <c r="A44" s="9"/>
      <c r="B44" s="12">
        <v>0</v>
      </c>
      <c r="C44" s="319">
        <f ca="1">$C$35+(RAND()+RAND()-1)*2*$C$36</f>
        <v>4.7922122090306052E-2</v>
      </c>
      <c r="D44" s="319">
        <f ca="1">C44</f>
        <v>4.7922122090306052E-2</v>
      </c>
      <c r="E44" s="32">
        <f ca="1">NORMSINV(RAND())*$E$35</f>
        <v>9.6220017915980047E-2</v>
      </c>
      <c r="F44" s="32">
        <f ca="1">E44</f>
        <v>9.6220017915980047E-2</v>
      </c>
      <c r="G44" s="319">
        <f ca="1">C44</f>
        <v>4.7922122090306052E-2</v>
      </c>
      <c r="H44" s="32">
        <f t="shared" ref="H44:H69" ca="1" si="0">1+SpAmp1*SIN((B44-SpPhs1-SpAmp2*SIN((B44-SpPhs2)*2*PI()/SpPer2))*2*PI()/SpPer1)</f>
        <v>1.1572482444551129</v>
      </c>
      <c r="I44" s="320">
        <f t="shared" ref="I44:I69" ca="1" si="1">G44*H44</f>
        <v>5.5457791659570266E-2</v>
      </c>
      <c r="J44" s="32">
        <f t="shared" ref="J44:J69" ca="1" si="2">CapAmp1*SIN((B44-CapPhs1-CapAmp2*SIN((B44-CapPhs2)*2*PI()/CapPer2))*2*PI()/CapPer1)</f>
        <v>1.6799483566085512E-2</v>
      </c>
      <c r="K44" s="32">
        <f ca="1">$K$35-J44</f>
        <v>3.3200516433914487E-2</v>
      </c>
      <c r="L44" s="321">
        <f ca="1">I44/K44</f>
        <v>1.6703894281270837</v>
      </c>
      <c r="M44" s="321">
        <f ca="1">I44/$C$44</f>
        <v>1.1572482444551129</v>
      </c>
      <c r="N44" s="32">
        <f ca="1">(RAND()+RAND()-1)*$N$36*2</f>
        <v>-4.7834856211876921E-2</v>
      </c>
      <c r="O44" s="321">
        <f ca="1">L44*(1+N44)</f>
        <v>1.5904865900147853</v>
      </c>
      <c r="P44" s="13">
        <v>0</v>
      </c>
      <c r="Q44" s="321">
        <f ca="1">IF(MAX($P$44:P44)=0,O44,O44*(1+$Q$36*S44))</f>
        <v>1.5904865900147853</v>
      </c>
      <c r="R44" s="130">
        <f t="shared" ref="R44:R69" si="3">P44*B44</f>
        <v>0</v>
      </c>
      <c r="S44" s="131">
        <f>IF(MAX(P44:$P$44)=1,(1-$F$41)^(B44-MAX($R$44:$R$68)),0)</f>
        <v>0</v>
      </c>
      <c r="T44" s="32">
        <f ca="1">I45/Q44</f>
        <v>2.3620131454513235E-2</v>
      </c>
      <c r="U44" s="32"/>
      <c r="V44" s="335">
        <f ca="1">D44/$K$35</f>
        <v>0.95844244180612104</v>
      </c>
    </row>
    <row r="45" spans="1:22" ht="14.4">
      <c r="A45" s="9"/>
      <c r="B45" s="12">
        <f>B44+1</f>
        <v>1</v>
      </c>
      <c r="C45" s="319">
        <f ca="1">C44</f>
        <v>4.7922122090306052E-2</v>
      </c>
      <c r="D45" s="319">
        <f t="shared" ref="D45:D68" ca="1" si="4">C45*(1+$D$42)^(B45-$B$44)</f>
        <v>4.7836209984465451E-2</v>
      </c>
      <c r="E45" s="32">
        <f t="shared" ref="E45:E69" ca="1" si="5">NORMSINV(RAND())*$E$35</f>
        <v>-1.6679256038484157E-2</v>
      </c>
      <c r="F45" s="32">
        <f ca="1">E45+$F$37*F44</f>
        <v>2.5647475447118546E-3</v>
      </c>
      <c r="G45" s="319">
        <f ca="1">G44*(1+$D$42+F45)+$F$41*(D44-G44)</f>
        <v>4.7959118129433952E-2</v>
      </c>
      <c r="H45" s="32">
        <f t="shared" ca="1" si="0"/>
        <v>0.78332345960576422</v>
      </c>
      <c r="I45" s="320">
        <f t="shared" ca="1" si="1"/>
        <v>3.7567502332789729E-2</v>
      </c>
      <c r="J45" s="32">
        <f t="shared" ca="1" si="2"/>
        <v>5.5823910529379144E-3</v>
      </c>
      <c r="K45" s="32">
        <f ca="1">$K$35-J45</f>
        <v>4.4417608947062086E-2</v>
      </c>
      <c r="L45" s="321">
        <f t="shared" ref="L45:L68" ca="1" si="6">I45/K45</f>
        <v>0.84577948303258577</v>
      </c>
      <c r="M45" s="321">
        <f t="shared" ref="M45:M69" ca="1" si="7">I45/$C$44</f>
        <v>0.78392818794619046</v>
      </c>
      <c r="N45" s="32">
        <f ca="1">(RAND()+RAND()-1)*$N$36*2</f>
        <v>-1.1785094895712179E-2</v>
      </c>
      <c r="O45" s="321">
        <f t="shared" ref="O45:O64" ca="1" si="8">L45*(1+N45)</f>
        <v>0.83581189156420033</v>
      </c>
      <c r="P45" s="13">
        <f ca="1">IF(MAX(P44:$P$44)=1,0,IF(RAND()&lt;$Q$35,1,0))</f>
        <v>0</v>
      </c>
      <c r="Q45" s="321">
        <f ca="1">IF(MAX($P$44:P45)=0,O45,O45*(1+$Q$36*S45))</f>
        <v>0.83581189156420033</v>
      </c>
      <c r="R45" s="130">
        <f t="shared" ca="1" si="3"/>
        <v>0</v>
      </c>
      <c r="S45" s="131">
        <f ca="1">IF(MAX(P$44:$P45)=1,(1-$F$41)^(B45-MAX($R$44:$R$68)),0)</f>
        <v>0</v>
      </c>
      <c r="T45" s="32">
        <f t="shared" ref="T45:T68" ca="1" si="9">I46/Q45</f>
        <v>2.6591464604413192E-2</v>
      </c>
      <c r="U45" s="32">
        <f ca="1">Q45/Q44-1</f>
        <v>-0.47449296535318131</v>
      </c>
      <c r="V45" s="335">
        <f t="shared" ref="V45:V68" ca="1" si="10">D45/$K$35</f>
        <v>0.956724199689309</v>
      </c>
    </row>
    <row r="46" spans="1:22" ht="14.4">
      <c r="A46" s="9"/>
      <c r="B46" s="12">
        <f t="shared" ref="B46:B69" si="11">B45+1</f>
        <v>2</v>
      </c>
      <c r="C46" s="319">
        <f ca="1">C45</f>
        <v>4.7922122090306052E-2</v>
      </c>
      <c r="D46" s="319">
        <f t="shared" ca="1" si="4"/>
        <v>4.7750451897053257E-2</v>
      </c>
      <c r="E46" s="32">
        <f t="shared" ca="1" si="5"/>
        <v>-0.13651648471040256</v>
      </c>
      <c r="F46" s="32">
        <f t="shared" ref="F46:F68" ca="1" si="12">E46+$F$37*F45</f>
        <v>-0.13600353520146019</v>
      </c>
      <c r="G46" s="319">
        <f ca="1">G45*(1+$D$42+F46)+$F$41*(D45-G45)</f>
        <v>4.1313657644921231E-2</v>
      </c>
      <c r="H46" s="32">
        <f t="shared" ca="1" si="0"/>
        <v>0.53796888480556238</v>
      </c>
      <c r="I46" s="320">
        <f t="shared" ca="1" si="1"/>
        <v>2.2225462330477071E-2</v>
      </c>
      <c r="J46" s="32">
        <f t="shared" ca="1" si="2"/>
        <v>-8.7627660871747136E-3</v>
      </c>
      <c r="K46" s="32">
        <f t="shared" ref="K46:K69" ca="1" si="13">$K$35-J46</f>
        <v>5.876276608717472E-2</v>
      </c>
      <c r="L46" s="321">
        <f t="shared" ca="1" si="6"/>
        <v>0.37822355566968269</v>
      </c>
      <c r="M46" s="321">
        <f t="shared" ca="1" si="7"/>
        <v>0.46378293282994992</v>
      </c>
      <c r="N46" s="32">
        <f t="shared" ref="N46:N69" ca="1" si="14">(RAND()+RAND()-1)*$N$36*2</f>
        <v>5.9719533725246521E-3</v>
      </c>
      <c r="O46" s="321">
        <f t="shared" ca="1" si="8"/>
        <v>0.38048228910853249</v>
      </c>
      <c r="P46" s="13">
        <f ca="1">IF(MAX(P$44:$P45)=1,0,IF(RAND()&lt;$Q$35,1,0))</f>
        <v>0</v>
      </c>
      <c r="Q46" s="321">
        <f ca="1">IF(MAX($P$44:P46)=0,O46,O46*(1+$Q$36*S46))</f>
        <v>0.38048228910853249</v>
      </c>
      <c r="R46" s="130">
        <f t="shared" ca="1" si="3"/>
        <v>0</v>
      </c>
      <c r="S46" s="131">
        <f ca="1">IF(MAX(P$44:$P46)=1,(1-$F$41)^(B46-MAX($R$44:$R$68)),0)</f>
        <v>0</v>
      </c>
      <c r="T46" s="32">
        <f t="shared" ca="1" si="9"/>
        <v>5.4460251299821551E-2</v>
      </c>
      <c r="U46" s="32">
        <f t="shared" ref="U46:U68" ca="1" si="15">Q46/Q45-1</f>
        <v>-0.54477521443674393</v>
      </c>
      <c r="V46" s="335">
        <f t="shared" ca="1" si="10"/>
        <v>0.95500903794106506</v>
      </c>
    </row>
    <row r="47" spans="1:22" ht="14.4">
      <c r="A47" s="9"/>
      <c r="B47" s="12">
        <f t="shared" si="11"/>
        <v>3</v>
      </c>
      <c r="C47" s="319">
        <f ca="1">C46</f>
        <v>4.7922122090306052E-2</v>
      </c>
      <c r="D47" s="319">
        <f t="shared" ca="1" si="4"/>
        <v>4.7664847551953812E-2</v>
      </c>
      <c r="E47" s="32">
        <f t="shared" ca="1" si="5"/>
        <v>-4.3456743984183976E-2</v>
      </c>
      <c r="F47" s="32">
        <f t="shared" ca="1" si="12"/>
        <v>-7.0657451024476015E-2</v>
      </c>
      <c r="G47" s="319">
        <f ca="1">G46*(1+$D$42+F47)+$F$41*(D46-G46)</f>
        <v>4.0251513359256474E-2</v>
      </c>
      <c r="H47" s="32">
        <f t="shared" ca="1" si="0"/>
        <v>0.51479209974143436</v>
      </c>
      <c r="I47" s="320">
        <f t="shared" ca="1" si="1"/>
        <v>2.0721161079982037E-2</v>
      </c>
      <c r="J47" s="32">
        <f t="shared" ca="1" si="2"/>
        <v>-1.8293965995476322E-2</v>
      </c>
      <c r="K47" s="32">
        <f t="shared" ca="1" si="13"/>
        <v>6.8293965995476325E-2</v>
      </c>
      <c r="L47" s="321">
        <f t="shared" ca="1" si="6"/>
        <v>0.30341130110022563</v>
      </c>
      <c r="M47" s="321">
        <f t="shared" ca="1" si="7"/>
        <v>0.43239239366183296</v>
      </c>
      <c r="N47" s="32">
        <f t="shared" ca="1" si="14"/>
        <v>-2.5388080924293233E-3</v>
      </c>
      <c r="O47" s="321">
        <f t="shared" ca="1" si="8"/>
        <v>0.30264099803365785</v>
      </c>
      <c r="P47" s="13">
        <f ca="1">IF(MAX(P$44:$P46)=1,0,IF(RAND()&lt;$Q$35,1,0))</f>
        <v>0</v>
      </c>
      <c r="Q47" s="321">
        <f ca="1">IF(MAX($P$44:P47)=0,O47,O47*(1+$Q$36*S47))</f>
        <v>0.30264099803365785</v>
      </c>
      <c r="R47" s="130">
        <f t="shared" ca="1" si="3"/>
        <v>0</v>
      </c>
      <c r="S47" s="131">
        <f ca="1">IF(MAX(P$44:$P47)=1,(1-$F$41)^(B47-MAX($R$44:$R$68)),0)</f>
        <v>0</v>
      </c>
      <c r="T47" s="32">
        <f t="shared" ca="1" si="9"/>
        <v>0.10172071311603967</v>
      </c>
      <c r="U47" s="32">
        <f t="shared" ca="1" si="15"/>
        <v>-0.20458584618289666</v>
      </c>
      <c r="V47" s="335">
        <f t="shared" ca="1" si="10"/>
        <v>0.95329695103907619</v>
      </c>
    </row>
    <row r="48" spans="1:22" ht="14.4">
      <c r="A48" s="9"/>
      <c r="B48" s="12">
        <f t="shared" si="11"/>
        <v>4</v>
      </c>
      <c r="C48" s="319">
        <f t="shared" ref="C48:C69" ca="1" si="16">C47</f>
        <v>4.7922122090306052E-2</v>
      </c>
      <c r="D48" s="319">
        <f t="shared" ca="1" si="4"/>
        <v>4.7579396673546499E-2</v>
      </c>
      <c r="E48" s="32">
        <f t="shared" ca="1" si="5"/>
        <v>0.16679599431930914</v>
      </c>
      <c r="F48" s="32">
        <f t="shared" ca="1" si="12"/>
        <v>0.15266450411441393</v>
      </c>
      <c r="G48" s="319">
        <f t="shared" ref="G48:G69" ca="1" si="17">G47*(1+$D$42+F48)+$F$41*(D47-G47)</f>
        <v>4.8548330277289532E-2</v>
      </c>
      <c r="H48" s="32">
        <f t="shared" ca="1" si="0"/>
        <v>0.63410745461898022</v>
      </c>
      <c r="I48" s="320">
        <f t="shared" ca="1" si="1"/>
        <v>3.0784858138133635E-2</v>
      </c>
      <c r="J48" s="32">
        <f t="shared" ca="1" si="2"/>
        <v>-1.9601571272600541E-2</v>
      </c>
      <c r="K48" s="32">
        <f t="shared" ca="1" si="13"/>
        <v>6.960157127260054E-2</v>
      </c>
      <c r="L48" s="321">
        <f t="shared" ca="1" si="6"/>
        <v>0.44230119486185293</v>
      </c>
      <c r="M48" s="321">
        <f t="shared" ca="1" si="7"/>
        <v>0.64239346663575581</v>
      </c>
      <c r="N48" s="32">
        <f t="shared" ca="1" si="14"/>
        <v>7.2274416272634409E-2</v>
      </c>
      <c r="O48" s="321">
        <f t="shared" ca="1" si="8"/>
        <v>0.47426825553718205</v>
      </c>
      <c r="P48" s="13">
        <f ca="1">IF(MAX(P$44:$P47)=1,0,IF(RAND()&lt;$Q$35,1,0))</f>
        <v>0</v>
      </c>
      <c r="Q48" s="321">
        <f ca="1">IF(MAX($P$44:P48)=0,O48,O48*(1+$Q$36*S48))</f>
        <v>0.47426825553718205</v>
      </c>
      <c r="R48" s="130">
        <f t="shared" ca="1" si="3"/>
        <v>0</v>
      </c>
      <c r="S48" s="131">
        <f ca="1">IF(MAX(P$44:$P48)=1,(1-$F$41)^(B48-MAX($R$44:$R$68)),0)</f>
        <v>0</v>
      </c>
      <c r="T48" s="32">
        <f t="shared" ca="1" si="9"/>
        <v>7.1582683756676299E-2</v>
      </c>
      <c r="U48" s="32">
        <f t="shared" ca="1" si="15"/>
        <v>0.56709850489072489</v>
      </c>
      <c r="V48" s="335">
        <f t="shared" ca="1" si="10"/>
        <v>0.95158793347092996</v>
      </c>
    </row>
    <row r="49" spans="1:27" ht="14.4">
      <c r="A49" s="9"/>
      <c r="B49" s="12">
        <f t="shared" si="11"/>
        <v>5</v>
      </c>
      <c r="C49" s="319">
        <f t="shared" ca="1" si="16"/>
        <v>4.7922122090306052E-2</v>
      </c>
      <c r="D49" s="319">
        <f t="shared" ca="1" si="4"/>
        <v>4.7494098986704772E-2</v>
      </c>
      <c r="E49" s="32">
        <f t="shared" ca="1" si="5"/>
        <v>-0.12801585196098908</v>
      </c>
      <c r="F49" s="32">
        <f t="shared" ca="1" si="12"/>
        <v>-9.7482951138106289E-2</v>
      </c>
      <c r="G49" s="319">
        <f t="shared" ca="1" si="17"/>
        <v>4.3437980950980844E-2</v>
      </c>
      <c r="H49" s="32">
        <f t="shared" ca="1" si="0"/>
        <v>0.78156014180907873</v>
      </c>
      <c r="I49" s="320">
        <f t="shared" ca="1" si="1"/>
        <v>3.3949394551948647E-2</v>
      </c>
      <c r="J49" s="32">
        <f t="shared" ca="1" si="2"/>
        <v>-1.5324647889948338E-2</v>
      </c>
      <c r="K49" s="32">
        <f t="shared" ca="1" si="13"/>
        <v>6.5324647889948337E-2</v>
      </c>
      <c r="L49" s="321">
        <f t="shared" ca="1" si="6"/>
        <v>0.51970267959412186</v>
      </c>
      <c r="M49" s="321">
        <f t="shared" ca="1" si="7"/>
        <v>0.70842844747094613</v>
      </c>
      <c r="N49" s="32">
        <f t="shared" ca="1" si="14"/>
        <v>-2.2405402540214472E-2</v>
      </c>
      <c r="O49" s="321">
        <f t="shared" ca="1" si="8"/>
        <v>0.50805853185658745</v>
      </c>
      <c r="P49" s="13">
        <f ca="1">IF(MAX(P$44:$P48)=1,0,IF(RAND()&lt;$Q$35,1,0))</f>
        <v>0</v>
      </c>
      <c r="Q49" s="321">
        <f ca="1">IF(MAX($P$44:P49)=0,O49,O49*(1+$Q$36*S49))</f>
        <v>0.50805853185658745</v>
      </c>
      <c r="R49" s="130">
        <f t="shared" ca="1" si="3"/>
        <v>0</v>
      </c>
      <c r="S49" s="131">
        <f ca="1">IF(MAX(P$44:$P49)=1,(1-$F$41)^(B49-MAX($R$44:$R$68)),0)</f>
        <v>0</v>
      </c>
      <c r="T49" s="32">
        <f t="shared" ca="1" si="9"/>
        <v>7.9481712148731787E-2</v>
      </c>
      <c r="U49" s="32">
        <f t="shared" ca="1" si="15"/>
        <v>7.1247181157281236E-2</v>
      </c>
      <c r="V49" s="335">
        <f t="shared" ca="1" si="10"/>
        <v>0.94988197973409538</v>
      </c>
    </row>
    <row r="50" spans="1:27" ht="14.4">
      <c r="A50" s="9"/>
      <c r="B50" s="12">
        <f t="shared" si="11"/>
        <v>6</v>
      </c>
      <c r="C50" s="319">
        <f t="shared" ca="1" si="16"/>
        <v>4.7922122090306052E-2</v>
      </c>
      <c r="D50" s="319">
        <f t="shared" ca="1" si="4"/>
        <v>4.740895421679537E-2</v>
      </c>
      <c r="E50" s="32">
        <f t="shared" ca="1" si="5"/>
        <v>2.4009466675213063E-2</v>
      </c>
      <c r="F50" s="32">
        <f t="shared" ca="1" si="12"/>
        <v>4.5128764475918029E-3</v>
      </c>
      <c r="G50" s="319">
        <f t="shared" ca="1" si="17"/>
        <v>4.4772973414986497E-2</v>
      </c>
      <c r="H50" s="32">
        <f t="shared" ca="1" si="0"/>
        <v>0.90191378645886489</v>
      </c>
      <c r="I50" s="320">
        <f t="shared" ca="1" si="1"/>
        <v>4.0381361983732565E-2</v>
      </c>
      <c r="J50" s="32">
        <f t="shared" ca="1" si="2"/>
        <v>-9.6240951548233391E-3</v>
      </c>
      <c r="K50" s="32">
        <f t="shared" ca="1" si="13"/>
        <v>5.9624095154823344E-2</v>
      </c>
      <c r="L50" s="321">
        <f t="shared" ca="1" si="6"/>
        <v>0.67726582481253605</v>
      </c>
      <c r="M50" s="321">
        <f t="shared" ca="1" si="7"/>
        <v>0.84264553033850575</v>
      </c>
      <c r="N50" s="32">
        <f t="shared" ca="1" si="14"/>
        <v>-3.7606091373938557E-3</v>
      </c>
      <c r="O50" s="321">
        <f t="shared" ca="1" si="8"/>
        <v>0.67471889276330144</v>
      </c>
      <c r="P50" s="13">
        <f ca="1">IF(MAX(P$44:$P49)=1,0,IF(RAND()&lt;$Q$35,1,0))</f>
        <v>0</v>
      </c>
      <c r="Q50" s="321">
        <f ca="1">IF(MAX($P$44:P50)=0,O50,O50*(1+$Q$36*S50))</f>
        <v>0.67471889276330144</v>
      </c>
      <c r="R50" s="130">
        <f t="shared" ca="1" si="3"/>
        <v>0</v>
      </c>
      <c r="S50" s="131">
        <f ca="1">IF(MAX(P$44:$P50)=1,(1-$F$41)^(B50-MAX($R$44:$R$68)),0)</f>
        <v>0</v>
      </c>
      <c r="T50" s="32">
        <f t="shared" ca="1" si="9"/>
        <v>7.0980268434243293E-2</v>
      </c>
      <c r="U50" s="32">
        <f t="shared" ca="1" si="15"/>
        <v>0.32803378047346343</v>
      </c>
      <c r="V50" s="335">
        <f t="shared" ca="1" si="10"/>
        <v>0.94817908433590736</v>
      </c>
    </row>
    <row r="51" spans="1:27" ht="14.4">
      <c r="A51" s="9"/>
      <c r="B51" s="12">
        <f t="shared" si="11"/>
        <v>7</v>
      </c>
      <c r="C51" s="319">
        <f t="shared" ca="1" si="16"/>
        <v>4.7922122090306052E-2</v>
      </c>
      <c r="D51" s="319">
        <f t="shared" ca="1" si="4"/>
        <v>4.7323962089677332E-2</v>
      </c>
      <c r="E51" s="32">
        <f t="shared" ca="1" si="5"/>
        <v>5.7574210618596022E-2</v>
      </c>
      <c r="F51" s="32">
        <f t="shared" ca="1" si="12"/>
        <v>5.8476785908114386E-2</v>
      </c>
      <c r="G51" s="319">
        <f t="shared" ca="1" si="17"/>
        <v>4.8101680748530364E-2</v>
      </c>
      <c r="H51" s="32">
        <f t="shared" ca="1" si="0"/>
        <v>0.99563523312972324</v>
      </c>
      <c r="I51" s="320">
        <f t="shared" ca="1" si="1"/>
        <v>4.789172812599455E-2</v>
      </c>
      <c r="J51" s="32">
        <f t="shared" ca="1" si="2"/>
        <v>-4.7781971149266382E-3</v>
      </c>
      <c r="K51" s="32">
        <f t="shared" ca="1" si="13"/>
        <v>5.4778197114926638E-2</v>
      </c>
      <c r="L51" s="321">
        <f t="shared" ca="1" si="6"/>
        <v>0.87428448996807928</v>
      </c>
      <c r="M51" s="321">
        <f t="shared" ca="1" si="7"/>
        <v>0.99936576338889527</v>
      </c>
      <c r="N51" s="32">
        <f t="shared" ca="1" si="14"/>
        <v>4.5953369480145195E-2</v>
      </c>
      <c r="O51" s="321">
        <f t="shared" ca="1" si="8"/>
        <v>0.91446080816634279</v>
      </c>
      <c r="P51" s="13">
        <f ca="1">IF(MAX(P$44:$P50)=1,0,IF(RAND()&lt;$Q$35,1,0))</f>
        <v>0</v>
      </c>
      <c r="Q51" s="321">
        <f ca="1">IF(MAX($P$44:P51)=0,O51,O51*(1+$Q$36*S51))</f>
        <v>0.91446080816634279</v>
      </c>
      <c r="R51" s="130">
        <f t="shared" ca="1" si="3"/>
        <v>0</v>
      </c>
      <c r="S51" s="131">
        <f ca="1">IF(MAX(P$44:$P51)=1,(1-$F$41)^(B51-MAX($R$44:$R$68)),0)</f>
        <v>0</v>
      </c>
      <c r="T51" s="32">
        <f t="shared" ca="1" si="9"/>
        <v>5.3966490701912437E-2</v>
      </c>
      <c r="U51" s="32">
        <f t="shared" ca="1" si="15"/>
        <v>0.3553211833467147</v>
      </c>
      <c r="V51" s="335">
        <f t="shared" ca="1" si="10"/>
        <v>0.94647924179354659</v>
      </c>
    </row>
    <row r="52" spans="1:27" ht="15" thickBot="1">
      <c r="A52" s="9"/>
      <c r="B52" s="12">
        <f t="shared" si="11"/>
        <v>8</v>
      </c>
      <c r="C52" s="319">
        <f t="shared" ca="1" si="16"/>
        <v>4.7922122090306052E-2</v>
      </c>
      <c r="D52" s="319">
        <f t="shared" ca="1" si="4"/>
        <v>4.7239122331701182E-2</v>
      </c>
      <c r="E52" s="32">
        <f t="shared" ca="1" si="5"/>
        <v>-6.2002419804581002E-2</v>
      </c>
      <c r="F52" s="32">
        <f t="shared" ca="1" si="12"/>
        <v>-5.0307062622958122E-2</v>
      </c>
      <c r="G52" s="319">
        <f t="shared" ca="1" si="17"/>
        <v>4.5362276876607113E-2</v>
      </c>
      <c r="H52" s="32">
        <f t="shared" ca="1" si="0"/>
        <v>1.0879136608467224</v>
      </c>
      <c r="I52" s="320">
        <f t="shared" ca="1" si="1"/>
        <v>4.935024070117227E-2</v>
      </c>
      <c r="J52" s="32">
        <f t="shared" ca="1" si="2"/>
        <v>-1.0287143554666071E-3</v>
      </c>
      <c r="K52" s="32">
        <f t="shared" ca="1" si="13"/>
        <v>5.102871435546661E-2</v>
      </c>
      <c r="L52" s="321">
        <f t="shared" ca="1" si="6"/>
        <v>0.96710727135702312</v>
      </c>
      <c r="M52" s="321">
        <f t="shared" ca="1" si="7"/>
        <v>1.0298008215949832</v>
      </c>
      <c r="N52" s="32">
        <f t="shared" ca="1" si="14"/>
        <v>-3.8592650387065525E-2</v>
      </c>
      <c r="O52" s="321">
        <f t="shared" ca="1" si="8"/>
        <v>0.92978403854675262</v>
      </c>
      <c r="P52" s="13">
        <f ca="1">IF(MAX(P$44:$P51)=1,0,IF(RAND()&lt;$Q$35,1,0))</f>
        <v>0</v>
      </c>
      <c r="Q52" s="321">
        <f ca="1">IF(MAX($P$44:P52)=0,O52,O52*(1+$Q$36*S52))</f>
        <v>0.92978403854675262</v>
      </c>
      <c r="R52" s="130">
        <f t="shared" ca="1" si="3"/>
        <v>0</v>
      </c>
      <c r="S52" s="131">
        <f ca="1">IF(MAX(P$44:$P52)=1,(1-$F$41)^(B52-MAX($R$44:$R$68)),0)</f>
        <v>0</v>
      </c>
      <c r="T52" s="32">
        <f t="shared" ca="1" si="9"/>
        <v>6.6048286424599714E-2</v>
      </c>
      <c r="U52" s="32">
        <f t="shared" ca="1" si="15"/>
        <v>1.675657419494625E-2</v>
      </c>
      <c r="V52" s="335">
        <f t="shared" ca="1" si="10"/>
        <v>0.94478244663402355</v>
      </c>
    </row>
    <row r="53" spans="1:27" ht="14.4">
      <c r="A53" s="9"/>
      <c r="B53" s="12">
        <f t="shared" si="11"/>
        <v>9</v>
      </c>
      <c r="C53" s="319">
        <f t="shared" ca="1" si="16"/>
        <v>4.7922122090306052E-2</v>
      </c>
      <c r="D53" s="319">
        <f t="shared" ca="1" si="4"/>
        <v>4.7154434669708041E-2</v>
      </c>
      <c r="E53" s="32">
        <f t="shared" ca="1" si="5"/>
        <v>0.12293876514610842</v>
      </c>
      <c r="F53" s="32">
        <f t="shared" ca="1" si="12"/>
        <v>0.1128773526215168</v>
      </c>
      <c r="G53" s="319">
        <f t="shared" ca="1" si="17"/>
        <v>5.0964381277638714E-2</v>
      </c>
      <c r="H53" s="32">
        <f t="shared" ca="1" si="0"/>
        <v>1.2049718048456266</v>
      </c>
      <c r="I53" s="320">
        <f t="shared" ca="1" si="1"/>
        <v>6.1410642490956985E-2</v>
      </c>
      <c r="J53" s="32">
        <f t="shared" ca="1" si="2"/>
        <v>2.4111556683380684E-3</v>
      </c>
      <c r="K53" s="32">
        <f t="shared" ca="1" si="13"/>
        <v>4.7588844331661932E-2</v>
      </c>
      <c r="L53" s="321">
        <f t="shared" ca="1" si="6"/>
        <v>1.2904419796994124</v>
      </c>
      <c r="M53" s="321">
        <f t="shared" ca="1" si="7"/>
        <v>1.2814675104585878</v>
      </c>
      <c r="N53" s="32">
        <f t="shared" ca="1" si="14"/>
        <v>7.8905243019402035E-2</v>
      </c>
      <c r="O53" s="321">
        <f t="shared" ca="1" si="8"/>
        <v>1.3922646177100326</v>
      </c>
      <c r="P53" s="13">
        <f ca="1">IF(MAX(P$44:$P52)=1,0,IF(RAND()&lt;$Q$35,1,0))</f>
        <v>0</v>
      </c>
      <c r="Q53" s="321">
        <f ca="1">IF(MAX($P$44:P53)=0,O53,O53*(1+$Q$36*S53))</f>
        <v>1.3922646177100326</v>
      </c>
      <c r="R53" s="130">
        <f t="shared" ca="1" si="3"/>
        <v>0</v>
      </c>
      <c r="S53" s="131">
        <f ca="1">IF(MAX(P$44:$P53)=1,(1-$F$41)^(B53-MAX($R$44:$R$68)),0)</f>
        <v>0</v>
      </c>
      <c r="T53" s="32">
        <f t="shared" ca="1" si="9"/>
        <v>5.6340014195116354E-2</v>
      </c>
      <c r="U53" s="32">
        <f t="shared" ca="1" si="15"/>
        <v>0.49740645137997275</v>
      </c>
      <c r="V53" s="335">
        <f t="shared" ca="1" si="10"/>
        <v>0.94308869339416079</v>
      </c>
      <c r="W53" s="196" t="s">
        <v>135</v>
      </c>
      <c r="X53" s="196"/>
      <c r="Y53" s="196"/>
      <c r="Z53" s="196"/>
      <c r="AA53" s="197"/>
    </row>
    <row r="54" spans="1:27" ht="14.4">
      <c r="A54" s="9"/>
      <c r="B54" s="12">
        <f t="shared" si="11"/>
        <v>10</v>
      </c>
      <c r="C54" s="319">
        <f t="shared" ca="1" si="16"/>
        <v>4.7922122090306052E-2</v>
      </c>
      <c r="D54" s="319">
        <f t="shared" ca="1" si="4"/>
        <v>4.7069898831028703E-2</v>
      </c>
      <c r="E54" s="32">
        <f t="shared" ca="1" si="5"/>
        <v>0.14083403062531155</v>
      </c>
      <c r="F54" s="32">
        <f t="shared" ca="1" si="12"/>
        <v>0.16340950114961492</v>
      </c>
      <c r="G54" s="319">
        <f t="shared" ca="1" si="17"/>
        <v>5.8058095317920999E-2</v>
      </c>
      <c r="H54" s="32">
        <f t="shared" ca="1" si="0"/>
        <v>1.3510641004602344</v>
      </c>
      <c r="I54" s="320">
        <f t="shared" ca="1" si="1"/>
        <v>7.8440208325141481E-2</v>
      </c>
      <c r="J54" s="32">
        <f t="shared" ca="1" si="2"/>
        <v>6.5329456903738085E-3</v>
      </c>
      <c r="K54" s="32">
        <f t="shared" ca="1" si="13"/>
        <v>4.3467054309626191E-2</v>
      </c>
      <c r="L54" s="321">
        <f t="shared" ca="1" si="6"/>
        <v>1.8045899261172191</v>
      </c>
      <c r="M54" s="321">
        <f t="shared" ca="1" si="7"/>
        <v>1.6368266867925032</v>
      </c>
      <c r="N54" s="32">
        <f t="shared" ca="1" si="14"/>
        <v>1.6897524883569704E-2</v>
      </c>
      <c r="O54" s="321">
        <f t="shared" ca="1" si="8"/>
        <v>1.8350830292984239</v>
      </c>
      <c r="P54" s="13">
        <f ca="1">IF(MAX(P$44:$P53)=1,0,IF(RAND()&lt;$Q$35,1,0))</f>
        <v>0</v>
      </c>
      <c r="Q54" s="321">
        <f ca="1">IF(MAX($P$44:P54)=0,O54,O54*(1+$Q$36*S54))</f>
        <v>1.8350830292984239</v>
      </c>
      <c r="R54" s="130">
        <f t="shared" ca="1" si="3"/>
        <v>0</v>
      </c>
      <c r="S54" s="131">
        <f ca="1">IF(MAX(P$44:$P54)=1,(1-$F$41)^(B54-MAX($R$44:$R$68)),0)</f>
        <v>0</v>
      </c>
      <c r="T54" s="32">
        <f t="shared" ca="1" si="9"/>
        <v>4.231239427445907E-2</v>
      </c>
      <c r="U54" s="32">
        <f t="shared" ca="1" si="15"/>
        <v>0.31805621284603913</v>
      </c>
      <c r="V54" s="335">
        <f t="shared" ca="1" si="10"/>
        <v>0.94139797662057401</v>
      </c>
      <c r="W54" s="331"/>
      <c r="X54" s="332"/>
      <c r="Y54" s="332"/>
      <c r="Z54" s="202" t="s">
        <v>94</v>
      </c>
      <c r="AA54" s="198">
        <v>1</v>
      </c>
    </row>
    <row r="55" spans="1:27" ht="14.4">
      <c r="A55" s="9"/>
      <c r="B55" s="12">
        <f t="shared" si="11"/>
        <v>11</v>
      </c>
      <c r="C55" s="319">
        <f t="shared" ca="1" si="16"/>
        <v>4.7922122090306052E-2</v>
      </c>
      <c r="D55" s="319">
        <f t="shared" ca="1" si="4"/>
        <v>4.6985514543482813E-2</v>
      </c>
      <c r="E55" s="32">
        <f t="shared" ca="1" si="5"/>
        <v>-6.9019755007782388E-2</v>
      </c>
      <c r="F55" s="32">
        <f t="shared" ca="1" si="12"/>
        <v>-3.6337854777859405E-2</v>
      </c>
      <c r="G55" s="319">
        <f t="shared" ca="1" si="17"/>
        <v>5.2547846422580279E-2</v>
      </c>
      <c r="H55" s="32">
        <f t="shared" ca="1" si="0"/>
        <v>1.4776391793038</v>
      </c>
      <c r="I55" s="320">
        <f t="shared" ca="1" si="1"/>
        <v>7.7646756662043639E-2</v>
      </c>
      <c r="J55" s="32">
        <f t="shared" ca="1" si="2"/>
        <v>1.1836066544704094E-2</v>
      </c>
      <c r="K55" s="32">
        <f t="shared" ca="1" si="13"/>
        <v>3.8163933455295909E-2</v>
      </c>
      <c r="L55" s="321">
        <f t="shared" ca="1" si="6"/>
        <v>2.0345585381809959</v>
      </c>
      <c r="M55" s="321">
        <f t="shared" ca="1" si="7"/>
        <v>1.6202695806275751</v>
      </c>
      <c r="N55" s="32">
        <f t="shared" ca="1" si="14"/>
        <v>-2.8305272222494984E-2</v>
      </c>
      <c r="O55" s="321">
        <f t="shared" ca="1" si="8"/>
        <v>1.9769698049051811</v>
      </c>
      <c r="P55" s="13">
        <f ca="1">IF(MAX(P$44:$P54)=1,0,IF(RAND()&lt;$Q$35,1,0))</f>
        <v>0</v>
      </c>
      <c r="Q55" s="321">
        <f ca="1">IF(MAX($P$44:P55)=0,O55,O55*(1+$Q$36*S55))</f>
        <v>1.9769698049051811</v>
      </c>
      <c r="R55" s="130">
        <f t="shared" ca="1" si="3"/>
        <v>0</v>
      </c>
      <c r="S55" s="131">
        <f ca="1">IF(MAX(P$44:$P55)=1,(1-$F$41)^(B55-MAX($R$44:$R$68)),0)</f>
        <v>0</v>
      </c>
      <c r="T55" s="32">
        <f t="shared" ca="1" si="9"/>
        <v>4.2768244646268237E-2</v>
      </c>
      <c r="U55" s="32">
        <f t="shared" ca="1" si="15"/>
        <v>7.7318995021714354E-2</v>
      </c>
      <c r="V55" s="335">
        <f t="shared" ca="1" si="10"/>
        <v>0.93971029086965618</v>
      </c>
      <c r="W55" s="331"/>
      <c r="X55" s="332"/>
      <c r="Y55" s="332"/>
      <c r="Z55" s="202" t="s">
        <v>93</v>
      </c>
      <c r="AA55" s="199">
        <v>-5.0000000000000001E-4</v>
      </c>
    </row>
    <row r="56" spans="1:27" ht="14.4">
      <c r="A56" s="9"/>
      <c r="B56" s="12">
        <f t="shared" si="11"/>
        <v>12</v>
      </c>
      <c r="C56" s="319">
        <f t="shared" ca="1" si="16"/>
        <v>4.7922122090306052E-2</v>
      </c>
      <c r="D56" s="319">
        <f t="shared" ca="1" si="4"/>
        <v>4.690128153537796E-2</v>
      </c>
      <c r="E56" s="32">
        <f t="shared" ca="1" si="5"/>
        <v>0.13245864394896165</v>
      </c>
      <c r="F56" s="32">
        <f t="shared" ca="1" si="12"/>
        <v>0.12519107299338977</v>
      </c>
      <c r="G56" s="319">
        <f t="shared" ca="1" si="17"/>
        <v>5.7363463289734448E-2</v>
      </c>
      <c r="H56" s="32">
        <f t="shared" ca="1" si="0"/>
        <v>1.4739613584244835</v>
      </c>
      <c r="I56" s="320">
        <f t="shared" ca="1" si="1"/>
        <v>8.4551528274469975E-2</v>
      </c>
      <c r="J56" s="32">
        <f t="shared" ca="1" si="2"/>
        <v>1.7383782837685661E-2</v>
      </c>
      <c r="K56" s="32">
        <f t="shared" ca="1" si="13"/>
        <v>3.2616217162314345E-2</v>
      </c>
      <c r="L56" s="321">
        <f t="shared" ca="1" si="6"/>
        <v>2.5923155911582256</v>
      </c>
      <c r="M56" s="321">
        <f t="shared" ca="1" si="7"/>
        <v>1.7643527579003753</v>
      </c>
      <c r="N56" s="32">
        <f t="shared" ca="1" si="14"/>
        <v>-2.1183714081489936E-2</v>
      </c>
      <c r="O56" s="321">
        <f t="shared" ca="1" si="8"/>
        <v>2.5374007188661412</v>
      </c>
      <c r="P56" s="13">
        <f ca="1">IF(MAX(P$44:$P55)=1,0,IF(RAND()&lt;$Q$35,1,0))</f>
        <v>0</v>
      </c>
      <c r="Q56" s="321">
        <f ca="1">IF(MAX($P$44:P56)=0,O56,O56*(1+$Q$36*S56))</f>
        <v>2.5374007188661412</v>
      </c>
      <c r="R56" s="130">
        <f t="shared" ca="1" si="3"/>
        <v>0</v>
      </c>
      <c r="S56" s="131">
        <f ca="1">IF(MAX(P$44:$P56)=1,(1-$F$41)^(B56-MAX($R$44:$R$68)),0)</f>
        <v>0</v>
      </c>
      <c r="T56" s="32">
        <f t="shared" ca="1" si="9"/>
        <v>2.9834596906799276E-2</v>
      </c>
      <c r="U56" s="32">
        <f t="shared" ca="1" si="15"/>
        <v>0.28347975400051162</v>
      </c>
      <c r="V56" s="335">
        <f t="shared" ca="1" si="10"/>
        <v>0.93802563070755918</v>
      </c>
      <c r="W56" s="331"/>
      <c r="X56" s="332"/>
      <c r="Y56" s="332"/>
      <c r="Z56" s="202" t="s">
        <v>70</v>
      </c>
      <c r="AA56" s="199">
        <v>5.0000000000000001E-3</v>
      </c>
    </row>
    <row r="57" spans="1:27" ht="14.4">
      <c r="A57" s="9"/>
      <c r="B57" s="12">
        <f t="shared" si="11"/>
        <v>13</v>
      </c>
      <c r="C57" s="319">
        <f t="shared" ca="1" si="16"/>
        <v>4.7922122090306052E-2</v>
      </c>
      <c r="D57" s="319">
        <f t="shared" ca="1" si="4"/>
        <v>4.6817199535508794E-2</v>
      </c>
      <c r="E57" s="32">
        <f t="shared" ca="1" si="5"/>
        <v>8.7311985112793145E-2</v>
      </c>
      <c r="F57" s="32">
        <f t="shared" ca="1" si="12"/>
        <v>0.1123501997114711</v>
      </c>
      <c r="G57" s="319">
        <f t="shared" ca="1" si="17"/>
        <v>6.0566767304770647E-2</v>
      </c>
      <c r="H57" s="32">
        <f t="shared" ca="1" si="0"/>
        <v>1.2498987647377906</v>
      </c>
      <c r="I57" s="320">
        <f t="shared" ca="1" si="1"/>
        <v>7.5702327638394032E-2</v>
      </c>
      <c r="J57" s="32">
        <f t="shared" ca="1" si="2"/>
        <v>1.9991245979787929E-2</v>
      </c>
      <c r="K57" s="32">
        <f t="shared" ca="1" si="13"/>
        <v>3.0008754020212074E-2</v>
      </c>
      <c r="L57" s="321">
        <f t="shared" ca="1" si="6"/>
        <v>2.5226748030726482</v>
      </c>
      <c r="M57" s="321">
        <f t="shared" ca="1" si="7"/>
        <v>1.579694811839468</v>
      </c>
      <c r="N57" s="32">
        <f t="shared" ca="1" si="14"/>
        <v>-6.8611358070650164E-2</v>
      </c>
      <c r="O57" s="321">
        <f t="shared" ca="1" si="8"/>
        <v>2.3495906588632236</v>
      </c>
      <c r="P57" s="13">
        <f ca="1">IF(MAX(P$44:$P56)=1,0,IF(RAND()&lt;$Q$35,1,0))</f>
        <v>0</v>
      </c>
      <c r="Q57" s="321">
        <f ca="1">IF(MAX($P$44:P57)=0,O57,O57*(1+$Q$36*S57))</f>
        <v>2.3495906588632236</v>
      </c>
      <c r="R57" s="130">
        <f t="shared" ca="1" si="3"/>
        <v>0</v>
      </c>
      <c r="S57" s="131">
        <f ca="1">IF(MAX(P$44:$P57)=1,(1-$F$41)^(B57-MAX($R$44:$R$68)),0)</f>
        <v>0</v>
      </c>
      <c r="T57" s="32">
        <f t="shared" ca="1" si="9"/>
        <v>2.2873061413727584E-2</v>
      </c>
      <c r="U57" s="32">
        <f t="shared" ca="1" si="15"/>
        <v>-7.4016712695991527E-2</v>
      </c>
      <c r="V57" s="335">
        <f t="shared" ca="1" si="10"/>
        <v>0.93634399071017582</v>
      </c>
      <c r="W57" s="331"/>
      <c r="X57" s="332"/>
      <c r="Y57" s="332"/>
      <c r="Z57" s="202" t="s">
        <v>31</v>
      </c>
      <c r="AA57" s="199">
        <v>5.0000000000000001E-3</v>
      </c>
    </row>
    <row r="58" spans="1:27" ht="14.4">
      <c r="A58" s="9"/>
      <c r="B58" s="12">
        <f t="shared" si="11"/>
        <v>14</v>
      </c>
      <c r="C58" s="319">
        <f t="shared" ca="1" si="16"/>
        <v>4.7922122090306052E-2</v>
      </c>
      <c r="D58" s="319">
        <f t="shared" ca="1" si="4"/>
        <v>4.6733268273156187E-2</v>
      </c>
      <c r="E58" s="32">
        <f t="shared" ca="1" si="5"/>
        <v>5.6600906488640725E-2</v>
      </c>
      <c r="F58" s="32">
        <f t="shared" ca="1" si="12"/>
        <v>7.9070946430934944E-2</v>
      </c>
      <c r="G58" s="319">
        <f t="shared" ca="1" si="17"/>
        <v>6.1122387866987905E-2</v>
      </c>
      <c r="H58" s="32">
        <f t="shared" ca="1" si="0"/>
        <v>0.87925772066122609</v>
      </c>
      <c r="I58" s="320">
        <f t="shared" ca="1" si="1"/>
        <v>5.3742331437299166E-2</v>
      </c>
      <c r="J58" s="32">
        <f t="shared" ca="1" si="2"/>
        <v>1.5498953651718231E-2</v>
      </c>
      <c r="K58" s="32">
        <f t="shared" ca="1" si="13"/>
        <v>3.4501046348281772E-2</v>
      </c>
      <c r="L58" s="321">
        <f t="shared" ca="1" si="6"/>
        <v>1.5577014938845659</v>
      </c>
      <c r="M58" s="321">
        <f t="shared" ca="1" si="7"/>
        <v>1.1214514110211005</v>
      </c>
      <c r="N58" s="32">
        <f t="shared" ca="1" si="14"/>
        <v>-6.7263736163816562E-2</v>
      </c>
      <c r="O58" s="321">
        <f t="shared" ca="1" si="8"/>
        <v>1.4529246715779316</v>
      </c>
      <c r="P58" s="13">
        <f ca="1">IF(MAX(P$44:$P57)=1,0,IF(RAND()&lt;$Q$35,1,0))</f>
        <v>0</v>
      </c>
      <c r="Q58" s="321">
        <f ca="1">IF(MAX($P$44:P58)=0,O58,O58*(1+$Q$36*S58))</f>
        <v>1.4529246715779316</v>
      </c>
      <c r="R58" s="130">
        <f t="shared" ca="1" si="3"/>
        <v>0</v>
      </c>
      <c r="S58" s="131">
        <f ca="1">IF(MAX(P$44:$P58)=1,(1-$F$41)^(B58-MAX($R$44:$R$68)),0)</f>
        <v>0</v>
      </c>
      <c r="T58" s="32">
        <f t="shared" ca="1" si="9"/>
        <v>2.4669065941741567E-2</v>
      </c>
      <c r="U58" s="32">
        <f t="shared" ca="1" si="15"/>
        <v>-0.38162646923320509</v>
      </c>
      <c r="V58" s="335">
        <f t="shared" ca="1" si="10"/>
        <v>0.93466536546312373</v>
      </c>
      <c r="W58" s="331"/>
      <c r="X58" s="332"/>
      <c r="Y58" s="332"/>
      <c r="Z58" s="202" t="s">
        <v>30</v>
      </c>
      <c r="AA58" s="199">
        <v>0.1</v>
      </c>
    </row>
    <row r="59" spans="1:27" ht="14.4">
      <c r="A59" s="9"/>
      <c r="B59" s="12">
        <f t="shared" si="11"/>
        <v>15</v>
      </c>
      <c r="C59" s="319">
        <f t="shared" ca="1" si="16"/>
        <v>4.7922122090306052E-2</v>
      </c>
      <c r="D59" s="319">
        <f t="shared" ca="1" si="4"/>
        <v>4.6649487478086331E-2</v>
      </c>
      <c r="E59" s="32">
        <f t="shared" ca="1" si="5"/>
        <v>6.4420783397267659E-2</v>
      </c>
      <c r="F59" s="32">
        <f t="shared" ca="1" si="12"/>
        <v>8.0234972683454642E-2</v>
      </c>
      <c r="G59" s="319">
        <f t="shared" ca="1" si="17"/>
        <v>6.1600228304105581E-2</v>
      </c>
      <c r="H59" s="32">
        <f t="shared" ca="1" si="0"/>
        <v>0.58185327422155608</v>
      </c>
      <c r="I59" s="320">
        <f t="shared" ca="1" si="1"/>
        <v>3.5842294531539205E-2</v>
      </c>
      <c r="J59" s="32">
        <f t="shared" ca="1" si="2"/>
        <v>3.2839053573954996E-3</v>
      </c>
      <c r="K59" s="32">
        <f t="shared" ca="1" si="13"/>
        <v>4.6716094642604504E-2</v>
      </c>
      <c r="L59" s="321">
        <f t="shared" ca="1" si="6"/>
        <v>0.76723653391290703</v>
      </c>
      <c r="M59" s="321">
        <f t="shared" ca="1" si="7"/>
        <v>0.74792794993503808</v>
      </c>
      <c r="N59" s="32">
        <f t="shared" ca="1" si="14"/>
        <v>7.0421525565028995E-2</v>
      </c>
      <c r="O59" s="321">
        <f t="shared" ca="1" si="8"/>
        <v>0.82126650110027899</v>
      </c>
      <c r="P59" s="13">
        <f ca="1">IF(MAX(P$44:$P58)=1,0,IF(RAND()&lt;$Q$35,1,0))</f>
        <v>0</v>
      </c>
      <c r="Q59" s="321">
        <f ca="1">IF(MAX($P$44:P59)=0,O59,O59*(1+$Q$36*S59))</f>
        <v>0.82126650110027899</v>
      </c>
      <c r="R59" s="130">
        <f t="shared" ca="1" si="3"/>
        <v>0</v>
      </c>
      <c r="S59" s="131">
        <f ca="1">IF(MAX(P$44:$P59)=1,(1-$F$41)^(B59-MAX($R$44:$R$68)),0)</f>
        <v>0</v>
      </c>
      <c r="T59" s="32">
        <f t="shared" ca="1" si="9"/>
        <v>3.8689388733666688E-2</v>
      </c>
      <c r="U59" s="32">
        <f t="shared" ca="1" si="15"/>
        <v>-0.43474942840061193</v>
      </c>
      <c r="V59" s="335">
        <f t="shared" ca="1" si="10"/>
        <v>0.93298974956172653</v>
      </c>
      <c r="W59" s="331"/>
      <c r="X59" s="332"/>
      <c r="Y59" s="332"/>
      <c r="Z59" s="202" t="s">
        <v>37</v>
      </c>
      <c r="AA59" s="198">
        <v>0.2</v>
      </c>
    </row>
    <row r="60" spans="1:27" ht="14.4">
      <c r="A60" s="9"/>
      <c r="B60" s="12">
        <f t="shared" si="11"/>
        <v>16</v>
      </c>
      <c r="C60" s="319">
        <f t="shared" ca="1" si="16"/>
        <v>4.7922122090306052E-2</v>
      </c>
      <c r="D60" s="319">
        <f t="shared" ca="1" si="4"/>
        <v>4.6565856880549879E-2</v>
      </c>
      <c r="E60" s="32">
        <f t="shared" ca="1" si="5"/>
        <v>8.643026272916654E-2</v>
      </c>
      <c r="F60" s="32">
        <f t="shared" ca="1" si="12"/>
        <v>0.10247725726585746</v>
      </c>
      <c r="G60" s="319">
        <f t="shared" ca="1" si="17"/>
        <v>6.3317195048600783E-2</v>
      </c>
      <c r="H60" s="32">
        <f t="shared" ca="1" si="0"/>
        <v>0.501827329694845</v>
      </c>
      <c r="I60" s="320">
        <f t="shared" ca="1" si="1"/>
        <v>3.1774298915006993E-2</v>
      </c>
      <c r="J60" s="32">
        <f t="shared" ca="1" si="2"/>
        <v>-1.0786388154941144E-2</v>
      </c>
      <c r="K60" s="32">
        <f t="shared" ca="1" si="13"/>
        <v>6.0786388154941147E-2</v>
      </c>
      <c r="L60" s="321">
        <f t="shared" ca="1" si="6"/>
        <v>0.52272062676295328</v>
      </c>
      <c r="M60" s="321">
        <f t="shared" ca="1" si="7"/>
        <v>0.66304031476591208</v>
      </c>
      <c r="N60" s="32">
        <f t="shared" ca="1" si="14"/>
        <v>-2.9414811195958016E-4</v>
      </c>
      <c r="O60" s="321">
        <f t="shared" ca="1" si="8"/>
        <v>0.52256686947750863</v>
      </c>
      <c r="P60" s="13">
        <f ca="1">IF(MAX(P$44:$P59)=1,0,IF(RAND()&lt;$Q$35,1,0))</f>
        <v>1</v>
      </c>
      <c r="Q60" s="321">
        <f ca="1">IF(MAX($P$44:P60)=0,O60,O60*(1+$Q$36*S60))</f>
        <v>0.3919251521081315</v>
      </c>
      <c r="R60" s="130">
        <f t="shared" ca="1" si="3"/>
        <v>16</v>
      </c>
      <c r="S60" s="131">
        <f ca="1">IF(MAX(P$44:$P60)=1,(1-$F$41)^(B60-MAX($R$44:$R$68)),0)</f>
        <v>1</v>
      </c>
      <c r="T60" s="32">
        <f t="shared" ca="1" si="9"/>
        <v>9.6603961298690602E-2</v>
      </c>
      <c r="U60" s="32">
        <f t="shared" ca="1" si="15"/>
        <v>-0.52277957084203985</v>
      </c>
      <c r="V60" s="335">
        <f t="shared" ca="1" si="10"/>
        <v>0.93131713761099755</v>
      </c>
      <c r="W60" s="331"/>
      <c r="X60" s="332"/>
      <c r="Y60" s="332"/>
      <c r="Z60" s="202" t="s">
        <v>73</v>
      </c>
      <c r="AA60" s="198">
        <v>0.3</v>
      </c>
    </row>
    <row r="61" spans="1:27" ht="14.4">
      <c r="A61" s="9"/>
      <c r="B61" s="12">
        <f t="shared" si="11"/>
        <v>17</v>
      </c>
      <c r="C61" s="319">
        <f t="shared" ca="1" si="16"/>
        <v>4.7922122090306052E-2</v>
      </c>
      <c r="D61" s="319">
        <f t="shared" ca="1" si="4"/>
        <v>4.6482376211281082E-2</v>
      </c>
      <c r="E61" s="32">
        <f t="shared" ca="1" si="5"/>
        <v>6.4845399233973783E-2</v>
      </c>
      <c r="F61" s="32">
        <f t="shared" ca="1" si="12"/>
        <v>8.5340850687145281E-2</v>
      </c>
      <c r="G61" s="319">
        <f t="shared" ca="1" si="17"/>
        <v>6.3581825353350899E-2</v>
      </c>
      <c r="H61" s="32">
        <f t="shared" ca="1" si="0"/>
        <v>0.59547711969300954</v>
      </c>
      <c r="I61" s="320">
        <f t="shared" ca="1" si="1"/>
        <v>3.7861522226237364E-2</v>
      </c>
      <c r="J61" s="32">
        <f t="shared" ca="1" si="2"/>
        <v>-1.9043255556904164E-2</v>
      </c>
      <c r="K61" s="32">
        <f t="shared" ca="1" si="13"/>
        <v>6.9043255556904159E-2</v>
      </c>
      <c r="L61" s="321">
        <f t="shared" ca="1" si="6"/>
        <v>0.54837394211564383</v>
      </c>
      <c r="M61" s="321">
        <f t="shared" ca="1" si="7"/>
        <v>0.79006355676173612</v>
      </c>
      <c r="N61" s="32">
        <f t="shared" ca="1" si="14"/>
        <v>2.5714421665490785E-2</v>
      </c>
      <c r="O61" s="321">
        <f t="shared" ca="1" si="8"/>
        <v>0.56247506089357291</v>
      </c>
      <c r="P61" s="13">
        <f ca="1">IF(MAX(P$44:$P60)=1,0,IF(RAND()&lt;$Q$35,1,0))</f>
        <v>0</v>
      </c>
      <c r="Q61" s="321">
        <f ca="1">IF(MAX($P$44:P61)=0,O61,O61*(1+$Q$36*S61))</f>
        <v>0.46404192523719762</v>
      </c>
      <c r="R61" s="130">
        <f t="shared" ca="1" si="3"/>
        <v>0</v>
      </c>
      <c r="S61" s="131">
        <f ca="1">IF(MAX(P$44:$P61)=1,(1-$F$41)^(B61-MAX($R$44:$R$68)),0)</f>
        <v>0.7</v>
      </c>
      <c r="T61" s="32">
        <f t="shared" ca="1" si="9"/>
        <v>0.1023650671866603</v>
      </c>
      <c r="U61" s="32">
        <f t="shared" ca="1" si="15"/>
        <v>0.18400649394701052</v>
      </c>
      <c r="V61" s="335">
        <f t="shared" ca="1" si="10"/>
        <v>0.92964752422562158</v>
      </c>
      <c r="W61" s="331"/>
      <c r="X61" s="332"/>
      <c r="Y61" s="332"/>
      <c r="Z61" s="202" t="s">
        <v>42</v>
      </c>
      <c r="AA61" s="199">
        <v>0.5</v>
      </c>
    </row>
    <row r="62" spans="1:27" ht="14.4">
      <c r="A62" s="9"/>
      <c r="B62" s="12">
        <f t="shared" si="11"/>
        <v>18</v>
      </c>
      <c r="C62" s="319">
        <f t="shared" ca="1" si="16"/>
        <v>4.7922122090306052E-2</v>
      </c>
      <c r="D62" s="319">
        <f t="shared" ca="1" si="4"/>
        <v>4.6399045201496895E-2</v>
      </c>
      <c r="E62" s="32">
        <f t="shared" ca="1" si="5"/>
        <v>6.9897095380038549E-2</v>
      </c>
      <c r="F62" s="32">
        <f t="shared" ca="1" si="12"/>
        <v>8.696526551746761E-2</v>
      </c>
      <c r="G62" s="319">
        <f t="shared" ca="1" si="17"/>
        <v>6.386741498682251E-2</v>
      </c>
      <c r="H62" s="32">
        <f t="shared" ca="1" si="0"/>
        <v>0.74375458696948593</v>
      </c>
      <c r="I62" s="320">
        <f t="shared" ca="1" si="1"/>
        <v>4.7501682854332934E-2</v>
      </c>
      <c r="J62" s="32">
        <f t="shared" ca="1" si="2"/>
        <v>-1.917542768377814E-2</v>
      </c>
      <c r="K62" s="32">
        <f t="shared" ca="1" si="13"/>
        <v>6.9175427683778143E-2</v>
      </c>
      <c r="L62" s="321">
        <f t="shared" ca="1" si="6"/>
        <v>0.68668433929281258</v>
      </c>
      <c r="M62" s="321">
        <f t="shared" ca="1" si="7"/>
        <v>0.99122661481516139</v>
      </c>
      <c r="N62" s="32">
        <f t="shared" ca="1" si="14"/>
        <v>6.4835895025479998E-2</v>
      </c>
      <c r="O62" s="321">
        <f t="shared" ca="1" si="8"/>
        <v>0.73120613303084248</v>
      </c>
      <c r="P62" s="13">
        <f ca="1">IF(MAX(P$44:$P61)=1,0,IF(RAND()&lt;$Q$35,1,0))</f>
        <v>0</v>
      </c>
      <c r="Q62" s="321">
        <f ca="1">IF(MAX($P$44:P62)=0,O62,O62*(1+$Q$36*S62))</f>
        <v>0.6416333817345643</v>
      </c>
      <c r="R62" s="130">
        <f t="shared" ca="1" si="3"/>
        <v>0</v>
      </c>
      <c r="S62" s="131">
        <f ca="1">IF(MAX(P$44:$P62)=1,(1-$F$41)^(B62-MAX($R$44:$R$68)),0)</f>
        <v>0.48999999999999994</v>
      </c>
      <c r="T62" s="32">
        <f t="shared" ca="1" si="9"/>
        <v>6.6610431656926303E-2</v>
      </c>
      <c r="U62" s="32">
        <f t="shared" ca="1" si="15"/>
        <v>0.38270562817484599</v>
      </c>
      <c r="V62" s="335">
        <f t="shared" ca="1" si="10"/>
        <v>0.92798090402993783</v>
      </c>
      <c r="W62" s="331"/>
      <c r="X62" s="332"/>
      <c r="Y62" s="332"/>
      <c r="Z62" s="202" t="s">
        <v>41</v>
      </c>
      <c r="AA62" s="199">
        <v>0.02</v>
      </c>
    </row>
    <row r="63" spans="1:27" ht="14.4">
      <c r="A63" s="9"/>
      <c r="B63" s="12">
        <f t="shared" si="11"/>
        <v>19</v>
      </c>
      <c r="C63" s="319">
        <f t="shared" ca="1" si="16"/>
        <v>4.7922122090306052E-2</v>
      </c>
      <c r="D63" s="319">
        <f t="shared" ca="1" si="4"/>
        <v>4.6315863582896161E-2</v>
      </c>
      <c r="E63" s="32">
        <f t="shared" ca="1" si="5"/>
        <v>-0.16704326250152068</v>
      </c>
      <c r="F63" s="32">
        <f t="shared" ca="1" si="12"/>
        <v>-0.14965020939802717</v>
      </c>
      <c r="G63" s="319">
        <f t="shared" ca="1" si="17"/>
        <v>4.895463408773381E-2</v>
      </c>
      <c r="H63" s="32">
        <f t="shared" ca="1" si="0"/>
        <v>0.87304250801338545</v>
      </c>
      <c r="I63" s="320">
        <f t="shared" ca="1" si="1"/>
        <v>4.2739476522832699E-2</v>
      </c>
      <c r="J63" s="32">
        <f t="shared" ca="1" si="2"/>
        <v>-1.4418773939525058E-2</v>
      </c>
      <c r="K63" s="32">
        <f t="shared" ca="1" si="13"/>
        <v>6.4418773939525054E-2</v>
      </c>
      <c r="L63" s="321">
        <f t="shared" ca="1" si="6"/>
        <v>0.66346305446538911</v>
      </c>
      <c r="M63" s="321">
        <f t="shared" ca="1" si="7"/>
        <v>0.8918527531458853</v>
      </c>
      <c r="N63" s="32">
        <f t="shared" ca="1" si="14"/>
        <v>-5.5911543114781408E-2</v>
      </c>
      <c r="O63" s="321">
        <f t="shared" ca="1" si="8"/>
        <v>0.62636781129058294</v>
      </c>
      <c r="P63" s="13">
        <f ca="1">IF(MAX(P$44:$P62)=1,0,IF(RAND()&lt;$Q$35,1,0))</f>
        <v>0</v>
      </c>
      <c r="Q63" s="321">
        <f ca="1">IF(MAX($P$44:P63)=0,O63,O63*(1+$Q$36*S63))</f>
        <v>0.57265677147241545</v>
      </c>
      <c r="R63" s="130">
        <f t="shared" ca="1" si="3"/>
        <v>0</v>
      </c>
      <c r="S63" s="131">
        <f ca="1">IF(MAX(P$44:$P63)=1,(1-$F$41)^(B63-MAX($R$44:$R$68)),0)</f>
        <v>0.34299999999999992</v>
      </c>
      <c r="T63" s="32">
        <f t="shared" ca="1" si="9"/>
        <v>8.638800145420189E-2</v>
      </c>
      <c r="U63" s="32">
        <f t="shared" ca="1" si="15"/>
        <v>-0.10750159238236701</v>
      </c>
      <c r="V63" s="335">
        <f t="shared" ca="1" si="10"/>
        <v>0.92631727165792321</v>
      </c>
      <c r="W63" s="331"/>
      <c r="X63" s="332"/>
      <c r="Y63" s="332"/>
      <c r="Z63" s="202" t="s">
        <v>38</v>
      </c>
      <c r="AA63" s="200">
        <f ca="1">RAND()*AA65</f>
        <v>1.9608748837261101</v>
      </c>
    </row>
    <row r="64" spans="1:27" ht="14.4">
      <c r="A64" s="9"/>
      <c r="B64" s="12">
        <f t="shared" si="11"/>
        <v>20</v>
      </c>
      <c r="C64" s="319">
        <f t="shared" ca="1" si="16"/>
        <v>4.7922122090306052E-2</v>
      </c>
      <c r="D64" s="319">
        <f t="shared" ca="1" si="4"/>
        <v>4.6232831087658695E-2</v>
      </c>
      <c r="E64" s="32">
        <f t="shared" ca="1" si="5"/>
        <v>8.7605350308844823E-2</v>
      </c>
      <c r="F64" s="32">
        <f t="shared" ca="1" si="12"/>
        <v>5.7675308429239389E-2</v>
      </c>
      <c r="G64" s="319">
        <f t="shared" ca="1" si="17"/>
        <v>5.0898713420610378E-2</v>
      </c>
      <c r="H64" s="32">
        <f t="shared" ca="1" si="0"/>
        <v>0.97194350666406948</v>
      </c>
      <c r="I64" s="320">
        <f t="shared" ca="1" si="1"/>
        <v>4.9470674006717584E-2</v>
      </c>
      <c r="J64" s="32">
        <f t="shared" ca="1" si="2"/>
        <v>-8.7648730808737949E-3</v>
      </c>
      <c r="K64" s="32">
        <f t="shared" ca="1" si="13"/>
        <v>5.8764873080873796E-2</v>
      </c>
      <c r="L64" s="321">
        <f t="shared" ca="1" si="6"/>
        <v>0.84184090619296859</v>
      </c>
      <c r="M64" s="321">
        <f t="shared" ca="1" si="7"/>
        <v>1.0323139261966194</v>
      </c>
      <c r="N64" s="32">
        <f t="shared" ca="1" si="14"/>
        <v>-4.6351064411864094E-3</v>
      </c>
      <c r="O64" s="321">
        <f t="shared" ca="1" si="8"/>
        <v>0.83793888398621941</v>
      </c>
      <c r="P64" s="13">
        <f ca="1">IF(MAX(P$44:$P63)=1,0,IF(RAND()&lt;$Q$35,1,0))</f>
        <v>0</v>
      </c>
      <c r="Q64" s="321">
        <f ca="1">IF(MAX($P$44:P64)=0,O64,O64*(1+$Q$36*S64))</f>
        <v>0.78764160247494663</v>
      </c>
      <c r="R64" s="130">
        <f t="shared" ca="1" si="3"/>
        <v>0</v>
      </c>
      <c r="S64" s="131">
        <f ca="1">IF(MAX(P$44:$P64)=1,(1-$F$41)^(B64-MAX($R$44:$R$68)),0)</f>
        <v>0.24009999999999992</v>
      </c>
      <c r="T64" s="32">
        <f t="shared" ca="1" si="9"/>
        <v>6.72076298984563E-2</v>
      </c>
      <c r="U64" s="32">
        <f t="shared" ca="1" si="15"/>
        <v>0.3754165526581692</v>
      </c>
      <c r="V64" s="335">
        <f t="shared" ca="1" si="10"/>
        <v>0.92465662175317387</v>
      </c>
      <c r="W64" s="331"/>
      <c r="X64" s="332"/>
      <c r="Y64" s="332"/>
      <c r="Z64" s="202" t="s">
        <v>39</v>
      </c>
      <c r="AA64" s="200">
        <f ca="1">AA63+(RAND()*AA66/5-AA66/10)</f>
        <v>1.8105391730138114</v>
      </c>
    </row>
    <row r="65" spans="1:27" ht="14.4">
      <c r="A65" s="9"/>
      <c r="B65" s="12">
        <f t="shared" si="11"/>
        <v>21</v>
      </c>
      <c r="C65" s="319">
        <f t="shared" ca="1" si="16"/>
        <v>4.7922122090306052E-2</v>
      </c>
      <c r="D65" s="319">
        <f t="shared" ca="1" si="4"/>
        <v>4.6149947448444459E-2</v>
      </c>
      <c r="E65" s="32">
        <f t="shared" ca="1" si="5"/>
        <v>-2.6843924355203306E-3</v>
      </c>
      <c r="F65" s="32">
        <f t="shared" ca="1" si="12"/>
        <v>8.8506692503275471E-3</v>
      </c>
      <c r="G65" s="319">
        <f t="shared" ca="1" si="17"/>
        <v>4.9858188025830683E-2</v>
      </c>
      <c r="H65" s="32">
        <f t="shared" ca="1" si="0"/>
        <v>1.0617218035348228</v>
      </c>
      <c r="I65" s="320">
        <f t="shared" ca="1" si="1"/>
        <v>5.2935525311763258E-2</v>
      </c>
      <c r="J65" s="32">
        <f t="shared" ca="1" si="2"/>
        <v>-4.1173233027621981E-3</v>
      </c>
      <c r="K65" s="32">
        <f t="shared" ca="1" si="13"/>
        <v>5.4117323302762199E-2</v>
      </c>
      <c r="L65" s="321">
        <f t="shared" ca="1" si="6"/>
        <v>0.97816229778425456</v>
      </c>
      <c r="M65" s="321">
        <f t="shared" ca="1" si="7"/>
        <v>1.1046156347586149</v>
      </c>
      <c r="N65" s="32">
        <f t="shared" ca="1" si="14"/>
        <v>-2.3632683762804564E-2</v>
      </c>
      <c r="O65" s="321">
        <f ca="1">L65*(1+N65)</f>
        <v>0.95504569753202095</v>
      </c>
      <c r="P65" s="13">
        <f ca="1">IF(MAX(P$44:$P64)=1,0,IF(RAND()&lt;$Q$35,1,0))</f>
        <v>0</v>
      </c>
      <c r="Q65" s="321">
        <f ca="1">IF(MAX($P$44:P65)=0,O65,O65*(1+$Q$36*S65))</f>
        <v>0.91491706493596925</v>
      </c>
      <c r="R65" s="130">
        <f t="shared" ca="1" si="3"/>
        <v>0</v>
      </c>
      <c r="S65" s="131">
        <f ca="1">IF(MAX(P$44:$P65)=1,(1-$F$41)^(B65-MAX($R$44:$R$68)),0)</f>
        <v>0.16806999999999994</v>
      </c>
      <c r="T65" s="32">
        <f t="shared" ca="1" si="9"/>
        <v>7.1909237037715457E-2</v>
      </c>
      <c r="U65" s="32">
        <f t="shared" ca="1" si="15"/>
        <v>0.16159057883826167</v>
      </c>
      <c r="V65" s="335">
        <f t="shared" ca="1" si="10"/>
        <v>0.92299894896888912</v>
      </c>
      <c r="W65" s="331"/>
      <c r="X65" s="332"/>
      <c r="Y65" s="332"/>
      <c r="Z65" s="202" t="s">
        <v>47</v>
      </c>
      <c r="AA65" s="200">
        <f ca="1">RAND()*10+10</f>
        <v>15.904334767963372</v>
      </c>
    </row>
    <row r="66" spans="1:27" ht="14.4">
      <c r="A66" s="9"/>
      <c r="B66" s="12">
        <f t="shared" si="11"/>
        <v>22</v>
      </c>
      <c r="C66" s="319">
        <f t="shared" ca="1" si="16"/>
        <v>4.7922122090306052E-2</v>
      </c>
      <c r="D66" s="319">
        <f t="shared" ca="1" si="4"/>
        <v>4.6067212398392683E-2</v>
      </c>
      <c r="E66" s="32">
        <f t="shared" ca="1" si="5"/>
        <v>0.14984586074396411</v>
      </c>
      <c r="F66" s="32">
        <f t="shared" ca="1" si="12"/>
        <v>0.15161599459402961</v>
      </c>
      <c r="G66" s="319">
        <f t="shared" ca="1" si="17"/>
        <v>5.6215631642013715E-2</v>
      </c>
      <c r="H66" s="32">
        <f t="shared" ca="1" si="0"/>
        <v>1.1703326311673334</v>
      </c>
      <c r="I66" s="320">
        <f t="shared" ca="1" si="1"/>
        <v>6.5790988092331512E-2</v>
      </c>
      <c r="J66" s="32">
        <f t="shared" ca="1" si="2"/>
        <v>-4.8381349738838979E-4</v>
      </c>
      <c r="K66" s="32">
        <f t="shared" ca="1" si="13"/>
        <v>5.048381349738839E-2</v>
      </c>
      <c r="L66" s="321">
        <f t="shared" ca="1" si="6"/>
        <v>1.3032095543997482</v>
      </c>
      <c r="M66" s="321">
        <f t="shared" ca="1" si="7"/>
        <v>1.372873011932835</v>
      </c>
      <c r="N66" s="32">
        <f t="shared" ca="1" si="14"/>
        <v>7.5816886444708145E-2</v>
      </c>
      <c r="O66" s="321">
        <f ca="1">L66*(1+N66)</f>
        <v>1.4020148451993326</v>
      </c>
      <c r="P66" s="13">
        <f ca="1">IF(MAX(P$44:$P65)=1,0,IF(RAND()&lt;$Q$35,1,0))</f>
        <v>0</v>
      </c>
      <c r="Q66" s="321">
        <f ca="1">IF(MAX($P$44:P66)=0,O66,O66*(1+$Q$36*S66))</f>
        <v>1.3607784340686184</v>
      </c>
      <c r="R66" s="130">
        <f t="shared" ca="1" si="3"/>
        <v>0</v>
      </c>
      <c r="S66" s="131">
        <f ca="1">IF(MAX(P$44:$P66)=1,(1-$F$41)^(B66-MAX($R$44:$R$68)),0)</f>
        <v>0.11764899999999995</v>
      </c>
      <c r="T66" s="32">
        <f t="shared" ca="1" si="9"/>
        <v>6.0949798871212574E-2</v>
      </c>
      <c r="U66" s="32">
        <f t="shared" ca="1" si="15"/>
        <v>0.4873243556385658</v>
      </c>
      <c r="V66" s="335">
        <f t="shared" ca="1" si="10"/>
        <v>0.92134424796785364</v>
      </c>
      <c r="W66" s="331"/>
      <c r="X66" s="332"/>
      <c r="Y66" s="332"/>
      <c r="Z66" s="202" t="s">
        <v>40</v>
      </c>
      <c r="AA66" s="200">
        <f ca="1">AA65+(RAND()*2-1)</f>
        <v>15.635038175592593</v>
      </c>
    </row>
    <row r="67" spans="1:27" ht="14.4">
      <c r="A67" s="9"/>
      <c r="B67" s="12">
        <f t="shared" si="11"/>
        <v>23</v>
      </c>
      <c r="C67" s="319">
        <f t="shared" ca="1" si="16"/>
        <v>4.7922122090306052E-2</v>
      </c>
      <c r="D67" s="319">
        <f t="shared" ca="1" si="4"/>
        <v>4.5984625671121014E-2</v>
      </c>
      <c r="E67" s="32">
        <f t="shared" ca="1" si="5"/>
        <v>0.15130324775146298</v>
      </c>
      <c r="F67" s="32">
        <f t="shared" ca="1" si="12"/>
        <v>0.18162644667026889</v>
      </c>
      <c r="G67" s="319">
        <f t="shared" ca="1" si="17"/>
        <v>6.3280571044505865E-2</v>
      </c>
      <c r="H67" s="32">
        <f t="shared" ca="1" si="0"/>
        <v>1.3106577658162082</v>
      </c>
      <c r="I67" s="320">
        <f t="shared" ca="1" si="1"/>
        <v>8.293917186476589E-2</v>
      </c>
      <c r="J67" s="32">
        <f t="shared" ca="1" si="2"/>
        <v>3.0024619248183808E-3</v>
      </c>
      <c r="K67" s="32">
        <f t="shared" ca="1" si="13"/>
        <v>4.6997538075181623E-2</v>
      </c>
      <c r="L67" s="321">
        <f t="shared" ca="1" si="6"/>
        <v>1.7647556715011048</v>
      </c>
      <c r="M67" s="321">
        <f t="shared" ca="1" si="7"/>
        <v>1.7307074112551304</v>
      </c>
      <c r="N67" s="32">
        <f t="shared" ca="1" si="14"/>
        <v>-1.958167516475863E-2</v>
      </c>
      <c r="O67" s="321">
        <f ca="1">L67*(1+N67)</f>
        <v>1.7301987991966048</v>
      </c>
      <c r="P67" s="13">
        <f ca="1">IF(MAX(P$44:$P66)=1,0,IF(RAND()&lt;$Q$35,1,0))</f>
        <v>0</v>
      </c>
      <c r="Q67" s="321">
        <f ca="1">IF(MAX($P$44:P67)=0,O67,O67*(1+$Q$36*S67))</f>
        <v>1.6945764714544356</v>
      </c>
      <c r="R67" s="130">
        <f t="shared" ca="1" si="3"/>
        <v>0</v>
      </c>
      <c r="S67" s="131">
        <f ca="1">IF(MAX(P$44:$P67)=1,(1-$F$41)^(B67-MAX($R$44:$R$68)),0)</f>
        <v>8.235429999999995E-2</v>
      </c>
      <c r="T67" s="32">
        <f t="shared" ca="1" si="9"/>
        <v>4.9074201326084067E-2</v>
      </c>
      <c r="U67" s="32">
        <f t="shared" ca="1" si="15"/>
        <v>0.24529932943439414</v>
      </c>
      <c r="V67" s="335">
        <f t="shared" ca="1" si="10"/>
        <v>0.9196925134224202</v>
      </c>
      <c r="W67" s="331"/>
      <c r="X67" s="332"/>
      <c r="Y67" s="332"/>
      <c r="Z67" s="202" t="s">
        <v>32</v>
      </c>
      <c r="AA67" s="199">
        <v>0.05</v>
      </c>
    </row>
    <row r="68" spans="1:27" ht="14.4">
      <c r="A68" s="9"/>
      <c r="B68" s="12">
        <f t="shared" si="11"/>
        <v>24</v>
      </c>
      <c r="C68" s="319">
        <f t="shared" ca="1" si="16"/>
        <v>4.7922122090306052E-2</v>
      </c>
      <c r="D68" s="319">
        <f t="shared" ca="1" si="4"/>
        <v>4.5902187000724633E-2</v>
      </c>
      <c r="E68" s="32">
        <f t="shared" ca="1" si="5"/>
        <v>-4.6981296056405122E-2</v>
      </c>
      <c r="F68" s="32">
        <f t="shared" ca="1" si="12"/>
        <v>-1.0656006722351341E-2</v>
      </c>
      <c r="G68" s="319">
        <f t="shared" ca="1" si="17"/>
        <v>5.730402336611029E-2</v>
      </c>
      <c r="H68" s="32">
        <f t="shared" ca="1" si="0"/>
        <v>1.4512067746325314</v>
      </c>
      <c r="I68" s="320">
        <f t="shared" ca="1" si="1"/>
        <v>8.3159986922600126E-2</v>
      </c>
      <c r="J68" s="32">
        <f t="shared" ca="1" si="2"/>
        <v>7.3041094208766205E-3</v>
      </c>
      <c r="K68" s="32">
        <f t="shared" ca="1" si="13"/>
        <v>4.2695890579123381E-2</v>
      </c>
      <c r="L68" s="321">
        <f t="shared" ca="1" si="6"/>
        <v>1.9477281254618473</v>
      </c>
      <c r="M68" s="321">
        <f t="shared" ca="1" si="7"/>
        <v>1.7353152008980459</v>
      </c>
      <c r="N68" s="32">
        <f t="shared" ca="1" si="14"/>
        <v>-1.1561917751911899E-2</v>
      </c>
      <c r="O68" s="321">
        <f ca="1">L68*(1+N68)</f>
        <v>1.9252086530721717</v>
      </c>
      <c r="P68" s="13">
        <f ca="1">IF(MAX(P$44:$P67)=1,0,IF(RAND()&lt;$Q$35,1,0))</f>
        <v>0</v>
      </c>
      <c r="Q68" s="321">
        <f ca="1">IF(MAX($P$44:P68)=0,O68,O68*(1+$Q$36*S68))</f>
        <v>1.8974625411510739</v>
      </c>
      <c r="R68" s="130">
        <f t="shared" ca="1" si="3"/>
        <v>0</v>
      </c>
      <c r="S68" s="131">
        <f ca="1">IF(MAX(P$44:$P68)=1,(1-$F$41)^(B68-MAX($R$44:$R$68)),0)</f>
        <v>5.7648009999999965E-2</v>
      </c>
      <c r="T68" s="32">
        <f t="shared" ca="1" si="9"/>
        <v>3.8612355891616851E-2</v>
      </c>
      <c r="U68" s="32">
        <f t="shared" ca="1" si="15"/>
        <v>0.1197267123167971</v>
      </c>
      <c r="V68" s="335">
        <f t="shared" ca="1" si="10"/>
        <v>0.91804374001449263</v>
      </c>
      <c r="W68" s="331"/>
      <c r="X68" s="332"/>
      <c r="Y68" s="332"/>
      <c r="Z68" s="202" t="s">
        <v>33</v>
      </c>
      <c r="AA68" s="199">
        <v>0.05</v>
      </c>
    </row>
    <row r="69" spans="1:27" ht="14.4">
      <c r="B69" s="12">
        <f t="shared" si="11"/>
        <v>25</v>
      </c>
      <c r="C69" s="319">
        <f t="shared" ca="1" si="16"/>
        <v>4.7922122090306052E-2</v>
      </c>
      <c r="D69" s="319">
        <f t="shared" ref="D69" ca="1" si="18">C69*(1+$D$42)^(B69-$B$44)</f>
        <v>4.581989612177545E-2</v>
      </c>
      <c r="E69" s="32">
        <f t="shared" ca="1" si="5"/>
        <v>-8.1003941474524346E-2</v>
      </c>
      <c r="F69" s="32">
        <f t="shared" ref="F69" ca="1" si="19">E69+$F$37*F68</f>
        <v>-8.3135142818994617E-2</v>
      </c>
      <c r="G69" s="319">
        <f t="shared" ca="1" si="17"/>
        <v>4.9016762835027448E-2</v>
      </c>
      <c r="H69" s="32">
        <f t="shared" ca="1" si="0"/>
        <v>1.4947029279865318</v>
      </c>
      <c r="I69" s="320">
        <f t="shared" ca="1" si="1"/>
        <v>7.3265498929936945E-2</v>
      </c>
      <c r="J69" s="32">
        <f t="shared" ca="1" si="2"/>
        <v>1.2762396976196716E-2</v>
      </c>
      <c r="K69" s="32">
        <f t="shared" ca="1" si="13"/>
        <v>3.7237603023803287E-2</v>
      </c>
      <c r="L69" s="321"/>
      <c r="M69" s="321">
        <f t="shared" ca="1" si="7"/>
        <v>1.5288450455485461</v>
      </c>
      <c r="N69" s="32">
        <f t="shared" ca="1" si="14"/>
        <v>3.8493374157730909E-3</v>
      </c>
      <c r="O69" s="321"/>
      <c r="P69" s="13">
        <f ca="1">IF(MAX(P$44:$P68)=1,0,IF(RAND()&lt;$Q$35,1,0))</f>
        <v>0</v>
      </c>
      <c r="Q69" s="321"/>
      <c r="R69" s="130">
        <f t="shared" ca="1" si="3"/>
        <v>0</v>
      </c>
      <c r="S69" s="131">
        <f ca="1">IF(MAX(P$44:$P69)=1,(1-$F$41)^(B69-MAX($R$44:$R$68)),0)</f>
        <v>4.0353606999999972E-2</v>
      </c>
      <c r="T69" s="32"/>
      <c r="U69" s="32"/>
      <c r="V69" s="313"/>
      <c r="W69" s="331"/>
      <c r="X69" s="332"/>
      <c r="Y69" s="332"/>
      <c r="Z69" s="202" t="s">
        <v>19</v>
      </c>
      <c r="AA69" s="199">
        <v>-0.25</v>
      </c>
    </row>
    <row r="70" spans="1:27" ht="14.4">
      <c r="W70" s="331"/>
      <c r="X70" s="332"/>
      <c r="Y70" s="332"/>
      <c r="Z70" s="202" t="s">
        <v>92</v>
      </c>
      <c r="AA70" s="199">
        <f>$U$26</f>
        <v>0.05</v>
      </c>
    </row>
    <row r="71" spans="1:27" ht="14.4">
      <c r="W71" s="331"/>
      <c r="X71" s="332"/>
      <c r="Y71" s="332"/>
      <c r="Z71" s="202" t="s">
        <v>85</v>
      </c>
      <c r="AA71" s="199">
        <v>0.02</v>
      </c>
    </row>
    <row r="72" spans="1:27" ht="14.4">
      <c r="W72" s="331"/>
      <c r="X72" s="332"/>
      <c r="Y72" s="332"/>
      <c r="Z72" s="202" t="s">
        <v>80</v>
      </c>
      <c r="AA72" s="199">
        <v>0.03</v>
      </c>
    </row>
    <row r="73" spans="1:27" ht="14.4">
      <c r="W73" s="331"/>
      <c r="X73" s="332"/>
      <c r="Y73" s="332"/>
      <c r="Z73" s="202" t="s">
        <v>71</v>
      </c>
      <c r="AA73" s="199">
        <v>0.02</v>
      </c>
    </row>
    <row r="74" spans="1:27" ht="14.4">
      <c r="W74" s="331"/>
      <c r="X74" s="332"/>
      <c r="Y74" s="332"/>
      <c r="Z74" s="202" t="s">
        <v>72</v>
      </c>
      <c r="AA74" s="199">
        <v>7.0000000000000007E-2</v>
      </c>
    </row>
    <row r="75" spans="1:27" ht="15" thickBot="1">
      <c r="W75" s="333"/>
      <c r="X75" s="334"/>
      <c r="Y75" s="334"/>
      <c r="Z75" s="203" t="s">
        <v>95</v>
      </c>
      <c r="AA75" s="201">
        <f>$U$27</f>
        <v>999.99999999999955</v>
      </c>
    </row>
  </sheetData>
  <pageMargins left="0.75" right="0.75" top="1" bottom="1" header="0.5" footer="0.5"/>
  <pageSetup orientation="portrait"/>
  <headerFooter alignWithMargin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P31"/>
  <sheetViews>
    <sheetView showGridLines="0" zoomScale="80" zoomScaleNormal="80" zoomScalePageLayoutView="80" workbookViewId="0"/>
  </sheetViews>
  <sheetFormatPr defaultColWidth="8.88671875" defaultRowHeight="14.4"/>
  <cols>
    <col min="1" max="1" width="2.44140625" style="140" customWidth="1"/>
    <col min="2" max="2" width="30.88671875" style="140" customWidth="1"/>
    <col min="3" max="3" width="9.88671875" style="138" customWidth="1"/>
    <col min="4" max="4" width="8.44140625" style="138" customWidth="1"/>
    <col min="5" max="5" width="13" style="138" customWidth="1"/>
    <col min="6" max="14" width="11.33203125" style="138" customWidth="1"/>
    <col min="15" max="15" width="12" style="138" customWidth="1"/>
    <col min="16" max="16" width="10" style="140" customWidth="1"/>
    <col min="17" max="16384" width="8.88671875" style="140"/>
  </cols>
  <sheetData>
    <row r="1" spans="1:16">
      <c r="A1" s="136" t="s">
        <v>126</v>
      </c>
      <c r="B1" s="137"/>
      <c r="E1" s="139"/>
      <c r="F1" s="139"/>
    </row>
    <row r="2" spans="1:16">
      <c r="A2" s="141" t="s">
        <v>87</v>
      </c>
      <c r="B2" s="142"/>
      <c r="C2" s="143"/>
      <c r="D2" s="139"/>
      <c r="E2" s="144"/>
      <c r="F2" s="144"/>
      <c r="G2" s="144"/>
      <c r="H2" s="144"/>
      <c r="I2" s="144"/>
      <c r="J2" s="144"/>
      <c r="K2" s="144"/>
      <c r="L2" s="144"/>
      <c r="M2" s="144"/>
      <c r="N2" s="144"/>
      <c r="O2" s="144"/>
    </row>
    <row r="3" spans="1:16" s="154" customFormat="1">
      <c r="A3" s="323" t="s">
        <v>133</v>
      </c>
      <c r="B3" s="153"/>
      <c r="C3" s="139"/>
      <c r="D3" s="139"/>
      <c r="E3" s="144"/>
      <c r="F3" s="144"/>
      <c r="G3" s="144"/>
      <c r="H3" s="144"/>
      <c r="I3" s="144"/>
      <c r="J3" s="144"/>
      <c r="K3" s="144"/>
      <c r="L3" s="144"/>
      <c r="M3" s="144"/>
      <c r="N3" s="144"/>
      <c r="O3" s="144"/>
    </row>
    <row r="4" spans="1:16" s="154" customFormat="1">
      <c r="A4" s="148"/>
      <c r="B4" s="153"/>
      <c r="C4" s="139"/>
      <c r="D4" s="139"/>
      <c r="E4" s="144"/>
      <c r="F4" s="144"/>
      <c r="G4" s="144"/>
      <c r="H4" s="144"/>
      <c r="I4" s="144"/>
      <c r="J4" s="144"/>
      <c r="K4" s="144"/>
      <c r="L4" s="144"/>
      <c r="M4" s="144"/>
      <c r="N4" s="144"/>
      <c r="O4" s="144"/>
    </row>
    <row r="5" spans="1:16" s="154" customFormat="1">
      <c r="A5" s="148"/>
      <c r="B5" s="153"/>
      <c r="C5" s="139"/>
      <c r="D5" s="139"/>
      <c r="E5" s="144"/>
      <c r="F5" s="144"/>
      <c r="G5" s="144"/>
      <c r="H5" s="144"/>
      <c r="I5" s="144"/>
      <c r="J5" s="144"/>
      <c r="K5" s="144"/>
      <c r="L5" s="144"/>
      <c r="M5" s="144"/>
      <c r="N5" s="144"/>
      <c r="O5" s="144"/>
    </row>
    <row r="6" spans="1:16" s="154" customFormat="1" ht="15" thickBot="1">
      <c r="A6" s="148"/>
      <c r="B6" s="153"/>
      <c r="C6" s="139"/>
      <c r="D6" s="139"/>
      <c r="E6" s="144"/>
      <c r="F6" s="144"/>
      <c r="G6" s="144"/>
      <c r="H6" s="144"/>
      <c r="I6" s="144"/>
      <c r="J6" s="144"/>
      <c r="K6" s="144"/>
      <c r="L6" s="144"/>
      <c r="M6" s="144"/>
      <c r="N6" s="144"/>
      <c r="O6" s="144"/>
    </row>
    <row r="7" spans="1:16">
      <c r="B7" s="167" t="s">
        <v>91</v>
      </c>
      <c r="C7" s="168"/>
      <c r="D7" s="169" t="s">
        <v>88</v>
      </c>
      <c r="E7" s="170">
        <v>0</v>
      </c>
      <c r="F7" s="170">
        <v>1</v>
      </c>
      <c r="G7" s="170">
        <v>2</v>
      </c>
      <c r="H7" s="170">
        <v>3</v>
      </c>
      <c r="I7" s="170">
        <v>4</v>
      </c>
      <c r="J7" s="170">
        <v>5</v>
      </c>
      <c r="K7" s="170">
        <v>6</v>
      </c>
      <c r="L7" s="170">
        <v>7</v>
      </c>
      <c r="M7" s="170">
        <v>8</v>
      </c>
      <c r="N7" s="170">
        <v>9</v>
      </c>
      <c r="O7" s="171">
        <v>10</v>
      </c>
      <c r="P7" s="233">
        <v>11</v>
      </c>
    </row>
    <row r="8" spans="1:16">
      <c r="B8" s="155"/>
      <c r="C8" s="156"/>
      <c r="D8" s="156"/>
      <c r="E8" s="298"/>
      <c r="F8" s="156"/>
      <c r="G8" s="156"/>
      <c r="H8" s="156"/>
      <c r="I8" s="156"/>
      <c r="J8" s="156"/>
      <c r="K8" s="156"/>
      <c r="L8" s="156"/>
      <c r="M8" s="156"/>
      <c r="N8" s="156"/>
      <c r="O8" s="157"/>
      <c r="P8" s="234"/>
    </row>
    <row r="9" spans="1:16">
      <c r="B9" s="158" t="s">
        <v>86</v>
      </c>
      <c r="C9" s="159"/>
      <c r="D9" s="159"/>
      <c r="E9" s="299"/>
      <c r="F9" s="159"/>
      <c r="G9" s="159"/>
      <c r="H9" s="159"/>
      <c r="I9" s="159"/>
      <c r="J9" s="159"/>
      <c r="K9" s="159"/>
      <c r="L9" s="159"/>
      <c r="M9" s="159"/>
      <c r="N9" s="159"/>
      <c r="O9" s="160"/>
      <c r="P9" s="235"/>
    </row>
    <row r="10" spans="1:16">
      <c r="B10" s="227" t="s">
        <v>121</v>
      </c>
      <c r="C10" s="159"/>
      <c r="D10" s="159"/>
      <c r="E10" s="299"/>
      <c r="F10" s="209">
        <f>C30</f>
        <v>100</v>
      </c>
      <c r="G10" s="209">
        <f t="shared" ref="G10:P10" si="0">F10*(1+$C$24)</f>
        <v>102</v>
      </c>
      <c r="H10" s="209">
        <f t="shared" si="0"/>
        <v>104.04</v>
      </c>
      <c r="I10" s="209">
        <f t="shared" si="0"/>
        <v>106.1208</v>
      </c>
      <c r="J10" s="209">
        <f t="shared" si="0"/>
        <v>108.243216</v>
      </c>
      <c r="K10" s="209">
        <f t="shared" si="0"/>
        <v>110.40808032000001</v>
      </c>
      <c r="L10" s="209">
        <f t="shared" si="0"/>
        <v>112.61624192640001</v>
      </c>
      <c r="M10" s="209">
        <f t="shared" si="0"/>
        <v>114.868566764928</v>
      </c>
      <c r="N10" s="209">
        <f t="shared" si="0"/>
        <v>117.16593810022657</v>
      </c>
      <c r="O10" s="210">
        <f t="shared" si="0"/>
        <v>119.5092568622311</v>
      </c>
      <c r="P10" s="236">
        <f t="shared" si="0"/>
        <v>121.89944199947573</v>
      </c>
    </row>
    <row r="11" spans="1:16">
      <c r="B11" s="228" t="s">
        <v>106</v>
      </c>
      <c r="C11" s="161"/>
      <c r="D11" s="161"/>
      <c r="E11" s="300"/>
      <c r="F11" s="211">
        <f t="shared" ref="F11:P11" si="1">$C$25*F10</f>
        <v>5</v>
      </c>
      <c r="G11" s="211">
        <f t="shared" si="1"/>
        <v>5.1000000000000005</v>
      </c>
      <c r="H11" s="211">
        <f t="shared" si="1"/>
        <v>5.2020000000000008</v>
      </c>
      <c r="I11" s="211">
        <f t="shared" si="1"/>
        <v>5.3060400000000003</v>
      </c>
      <c r="J11" s="211">
        <f t="shared" si="1"/>
        <v>5.4121608000000005</v>
      </c>
      <c r="K11" s="211">
        <f t="shared" si="1"/>
        <v>5.5204040160000005</v>
      </c>
      <c r="L11" s="211">
        <f t="shared" si="1"/>
        <v>5.6308120963200006</v>
      </c>
      <c r="M11" s="211">
        <f t="shared" si="1"/>
        <v>5.7434283382464004</v>
      </c>
      <c r="N11" s="211">
        <f t="shared" si="1"/>
        <v>5.8582969050113292</v>
      </c>
      <c r="O11" s="212">
        <f t="shared" si="1"/>
        <v>5.9754628431115551</v>
      </c>
      <c r="P11" s="237">
        <f t="shared" si="1"/>
        <v>6.0949720999737869</v>
      </c>
    </row>
    <row r="12" spans="1:16">
      <c r="B12" s="307" t="s">
        <v>127</v>
      </c>
      <c r="C12" s="159"/>
      <c r="D12" s="159"/>
      <c r="E12" s="299"/>
      <c r="F12" s="209">
        <f>F10-F11</f>
        <v>95</v>
      </c>
      <c r="G12" s="209">
        <f t="shared" ref="G12:P12" si="2">G10-G11</f>
        <v>96.9</v>
      </c>
      <c r="H12" s="209">
        <f t="shared" si="2"/>
        <v>98.838000000000008</v>
      </c>
      <c r="I12" s="209">
        <f t="shared" si="2"/>
        <v>100.81476000000001</v>
      </c>
      <c r="J12" s="209">
        <f t="shared" si="2"/>
        <v>102.83105520000001</v>
      </c>
      <c r="K12" s="209">
        <f t="shared" si="2"/>
        <v>104.88767630400001</v>
      </c>
      <c r="L12" s="209">
        <f t="shared" si="2"/>
        <v>106.98542983008001</v>
      </c>
      <c r="M12" s="209">
        <f t="shared" si="2"/>
        <v>109.1251384266816</v>
      </c>
      <c r="N12" s="209">
        <f t="shared" si="2"/>
        <v>111.30764119521524</v>
      </c>
      <c r="O12" s="210">
        <f t="shared" si="2"/>
        <v>113.53379401911954</v>
      </c>
      <c r="P12" s="236">
        <f t="shared" si="2"/>
        <v>115.80446989950194</v>
      </c>
    </row>
    <row r="13" spans="1:16">
      <c r="B13" s="228" t="s">
        <v>49</v>
      </c>
      <c r="C13" s="161"/>
      <c r="D13" s="161"/>
      <c r="E13" s="300"/>
      <c r="F13" s="211">
        <f t="shared" ref="F13:P13" si="3">$C$26*F10</f>
        <v>35</v>
      </c>
      <c r="G13" s="211">
        <f t="shared" si="3"/>
        <v>35.699999999999996</v>
      </c>
      <c r="H13" s="211">
        <f t="shared" si="3"/>
        <v>36.414000000000001</v>
      </c>
      <c r="I13" s="211">
        <f t="shared" si="3"/>
        <v>37.14228</v>
      </c>
      <c r="J13" s="211">
        <f t="shared" si="3"/>
        <v>37.885125600000002</v>
      </c>
      <c r="K13" s="211">
        <f t="shared" si="3"/>
        <v>38.642828112000004</v>
      </c>
      <c r="L13" s="211">
        <f t="shared" si="3"/>
        <v>39.415684674239998</v>
      </c>
      <c r="M13" s="211">
        <f t="shared" si="3"/>
        <v>40.2039983677248</v>
      </c>
      <c r="N13" s="211">
        <f t="shared" si="3"/>
        <v>41.008078335079297</v>
      </c>
      <c r="O13" s="212">
        <f t="shared" si="3"/>
        <v>41.828239901780883</v>
      </c>
      <c r="P13" s="237">
        <f t="shared" si="3"/>
        <v>42.6648046998165</v>
      </c>
    </row>
    <row r="14" spans="1:16">
      <c r="B14" s="227" t="s">
        <v>122</v>
      </c>
      <c r="C14" s="163"/>
      <c r="D14" s="163"/>
      <c r="E14" s="301"/>
      <c r="F14" s="217">
        <f t="shared" ref="F14:P14" si="4">F12-F13</f>
        <v>60</v>
      </c>
      <c r="G14" s="217">
        <f t="shared" si="4"/>
        <v>61.20000000000001</v>
      </c>
      <c r="H14" s="217">
        <f t="shared" si="4"/>
        <v>62.424000000000007</v>
      </c>
      <c r="I14" s="217">
        <f t="shared" si="4"/>
        <v>63.672480000000007</v>
      </c>
      <c r="J14" s="217">
        <f t="shared" si="4"/>
        <v>64.945929599999999</v>
      </c>
      <c r="K14" s="217">
        <f t="shared" si="4"/>
        <v>66.244848192000006</v>
      </c>
      <c r="L14" s="217">
        <f t="shared" si="4"/>
        <v>67.56974515584001</v>
      </c>
      <c r="M14" s="217">
        <f t="shared" si="4"/>
        <v>68.921140058956809</v>
      </c>
      <c r="N14" s="217">
        <f>N12-N13</f>
        <v>70.29956286013595</v>
      </c>
      <c r="O14" s="230">
        <f t="shared" si="4"/>
        <v>71.705554117338664</v>
      </c>
      <c r="P14" s="238">
        <f t="shared" si="4"/>
        <v>73.139665199685439</v>
      </c>
    </row>
    <row r="15" spans="1:16" ht="15" thickBot="1">
      <c r="B15" s="229" t="s">
        <v>108</v>
      </c>
      <c r="C15" s="222"/>
      <c r="D15" s="222"/>
      <c r="E15" s="302"/>
      <c r="F15" s="223">
        <f t="shared" ref="F15:P15" si="5">$C$27*F10</f>
        <v>10</v>
      </c>
      <c r="G15" s="223">
        <f t="shared" si="5"/>
        <v>10.200000000000001</v>
      </c>
      <c r="H15" s="223">
        <f t="shared" si="5"/>
        <v>10.404000000000002</v>
      </c>
      <c r="I15" s="223">
        <f t="shared" si="5"/>
        <v>10.612080000000001</v>
      </c>
      <c r="J15" s="223">
        <f t="shared" si="5"/>
        <v>10.824321600000001</v>
      </c>
      <c r="K15" s="223">
        <f t="shared" si="5"/>
        <v>11.040808032000001</v>
      </c>
      <c r="L15" s="223">
        <f t="shared" si="5"/>
        <v>11.261624192640001</v>
      </c>
      <c r="M15" s="223">
        <f t="shared" si="5"/>
        <v>11.486856676492801</v>
      </c>
      <c r="N15" s="223">
        <f t="shared" si="5"/>
        <v>11.716593810022658</v>
      </c>
      <c r="O15" s="231">
        <f t="shared" si="5"/>
        <v>11.95092568622311</v>
      </c>
      <c r="P15" s="239">
        <f t="shared" si="5"/>
        <v>12.189944199947574</v>
      </c>
    </row>
    <row r="16" spans="1:16" ht="15.6" thickTop="1" thickBot="1">
      <c r="B16" s="307" t="s">
        <v>128</v>
      </c>
      <c r="C16" s="163"/>
      <c r="D16" s="163"/>
      <c r="E16" s="303"/>
      <c r="F16" s="213">
        <f>F14-F15</f>
        <v>50</v>
      </c>
      <c r="G16" s="213">
        <f t="shared" ref="G16:P16" si="6">G14-G15</f>
        <v>51.000000000000007</v>
      </c>
      <c r="H16" s="213">
        <f t="shared" si="6"/>
        <v>52.02</v>
      </c>
      <c r="I16" s="213">
        <f t="shared" si="6"/>
        <v>53.060400000000008</v>
      </c>
      <c r="J16" s="213">
        <f t="shared" si="6"/>
        <v>54.121607999999995</v>
      </c>
      <c r="K16" s="213">
        <f t="shared" si="6"/>
        <v>55.204040160000005</v>
      </c>
      <c r="L16" s="213">
        <f t="shared" si="6"/>
        <v>56.308120963200011</v>
      </c>
      <c r="M16" s="213">
        <f t="shared" si="6"/>
        <v>57.43428338246401</v>
      </c>
      <c r="N16" s="213">
        <f t="shared" si="6"/>
        <v>58.582969050113292</v>
      </c>
      <c r="O16" s="214">
        <f t="shared" si="6"/>
        <v>59.754628431115556</v>
      </c>
      <c r="P16" s="240">
        <f t="shared" si="6"/>
        <v>60.949720999737863</v>
      </c>
    </row>
    <row r="17" spans="1:16" s="145" customFormat="1">
      <c r="B17" s="158" t="s">
        <v>123</v>
      </c>
      <c r="C17" s="221"/>
      <c r="D17" s="221"/>
      <c r="E17" s="303"/>
      <c r="F17" s="213"/>
      <c r="G17" s="213"/>
      <c r="H17" s="213"/>
      <c r="I17" s="213"/>
      <c r="J17" s="213"/>
      <c r="K17" s="213"/>
      <c r="L17" s="213"/>
      <c r="M17" s="213"/>
      <c r="N17" s="213"/>
      <c r="O17" s="214">
        <f>P16/$C$28</f>
        <v>1218.9944199947572</v>
      </c>
      <c r="P17" s="218"/>
    </row>
    <row r="18" spans="1:16" s="145" customFormat="1" ht="15" thickBot="1">
      <c r="B18" s="224" t="s">
        <v>124</v>
      </c>
      <c r="C18" s="225"/>
      <c r="D18" s="225"/>
      <c r="E18" s="304"/>
      <c r="F18" s="226">
        <f>F16+F17</f>
        <v>50</v>
      </c>
      <c r="G18" s="226">
        <f t="shared" ref="G18:O18" si="7">G16+G17</f>
        <v>51.000000000000007</v>
      </c>
      <c r="H18" s="226">
        <f t="shared" si="7"/>
        <v>52.02</v>
      </c>
      <c r="I18" s="226">
        <f t="shared" si="7"/>
        <v>53.060400000000008</v>
      </c>
      <c r="J18" s="226">
        <f t="shared" si="7"/>
        <v>54.121607999999995</v>
      </c>
      <c r="K18" s="226">
        <f t="shared" si="7"/>
        <v>55.204040160000005</v>
      </c>
      <c r="L18" s="226">
        <f t="shared" si="7"/>
        <v>56.308120963200011</v>
      </c>
      <c r="M18" s="226">
        <f t="shared" si="7"/>
        <v>57.43428338246401</v>
      </c>
      <c r="N18" s="226">
        <f t="shared" si="7"/>
        <v>58.582969050113292</v>
      </c>
      <c r="O18" s="232">
        <f t="shared" si="7"/>
        <v>1278.7490484258728</v>
      </c>
      <c r="P18" s="219"/>
    </row>
    <row r="19" spans="1:16" s="145" customFormat="1" ht="15" thickTop="1">
      <c r="B19" s="162" t="s">
        <v>55</v>
      </c>
      <c r="C19" s="163"/>
      <c r="D19" s="163"/>
      <c r="E19" s="305">
        <f>NPV(C23,F18:O18)</f>
        <v>999.99999999999955</v>
      </c>
      <c r="F19" s="213"/>
      <c r="G19" s="213"/>
      <c r="H19" s="213"/>
      <c r="I19" s="213"/>
      <c r="J19" s="213"/>
      <c r="K19" s="213"/>
      <c r="L19" s="213"/>
      <c r="M19" s="213"/>
      <c r="N19" s="213"/>
      <c r="O19" s="214"/>
      <c r="P19" s="220"/>
    </row>
    <row r="20" spans="1:16" s="145" customFormat="1" ht="15" thickBot="1">
      <c r="B20" s="164" t="s">
        <v>56</v>
      </c>
      <c r="C20" s="165"/>
      <c r="D20" s="166">
        <f>IF(ISERROR(IRR(E20:O20)),-0.5,IRR(E20:O20))</f>
        <v>7.0000000000267404E-2</v>
      </c>
      <c r="E20" s="306">
        <f>-E19</f>
        <v>-999.99999999999955</v>
      </c>
      <c r="F20" s="215">
        <f>F18</f>
        <v>50</v>
      </c>
      <c r="G20" s="215">
        <f t="shared" ref="G20:O20" si="8">G18</f>
        <v>51.000000000000007</v>
      </c>
      <c r="H20" s="215">
        <f t="shared" si="8"/>
        <v>52.02</v>
      </c>
      <c r="I20" s="215">
        <f t="shared" si="8"/>
        <v>53.060400000000008</v>
      </c>
      <c r="J20" s="215">
        <f t="shared" si="8"/>
        <v>54.121607999999995</v>
      </c>
      <c r="K20" s="215">
        <f t="shared" si="8"/>
        <v>55.204040160000005</v>
      </c>
      <c r="L20" s="215">
        <f t="shared" si="8"/>
        <v>56.308120963200011</v>
      </c>
      <c r="M20" s="215">
        <f t="shared" si="8"/>
        <v>57.43428338246401</v>
      </c>
      <c r="N20" s="215">
        <f t="shared" si="8"/>
        <v>58.582969050113292</v>
      </c>
      <c r="O20" s="216">
        <f t="shared" si="8"/>
        <v>1278.7490484258728</v>
      </c>
      <c r="P20" s="220"/>
    </row>
    <row r="21" spans="1:16" s="146" customFormat="1">
      <c r="C21" s="147"/>
      <c r="D21" s="147"/>
      <c r="E21" s="147"/>
      <c r="F21" s="147"/>
      <c r="G21" s="147"/>
      <c r="H21" s="147"/>
      <c r="I21" s="147"/>
      <c r="J21" s="147"/>
      <c r="K21" s="147"/>
      <c r="L21" s="147"/>
      <c r="M21" s="147"/>
      <c r="N21" s="147"/>
      <c r="O21" s="147"/>
    </row>
    <row r="22" spans="1:16">
      <c r="A22" s="135" t="s">
        <v>112</v>
      </c>
    </row>
    <row r="23" spans="1:16">
      <c r="A23" s="135"/>
      <c r="B23" s="204" t="s">
        <v>113</v>
      </c>
      <c r="C23" s="308">
        <f>DiscRateInput</f>
        <v>7.0000000000000007E-2</v>
      </c>
      <c r="D23" s="324" t="s">
        <v>132</v>
      </c>
    </row>
    <row r="24" spans="1:16">
      <c r="A24" s="135"/>
      <c r="B24" s="205" t="s">
        <v>114</v>
      </c>
      <c r="C24" s="309">
        <f>ProFormaCFgroRateInput</f>
        <v>0.02</v>
      </c>
      <c r="D24" s="324" t="s">
        <v>132</v>
      </c>
    </row>
    <row r="25" spans="1:16">
      <c r="A25" s="135"/>
      <c r="B25" s="205" t="s">
        <v>115</v>
      </c>
      <c r="C25" s="310">
        <v>0.05</v>
      </c>
    </row>
    <row r="26" spans="1:16">
      <c r="A26" s="135"/>
      <c r="B26" s="205" t="s">
        <v>116</v>
      </c>
      <c r="C26" s="310">
        <v>0.35</v>
      </c>
    </row>
    <row r="27" spans="1:16">
      <c r="A27" s="135"/>
      <c r="B27" s="205" t="s">
        <v>117</v>
      </c>
      <c r="C27" s="310">
        <v>0.1</v>
      </c>
    </row>
    <row r="28" spans="1:16">
      <c r="A28" s="135"/>
      <c r="B28" s="205" t="s">
        <v>118</v>
      </c>
      <c r="C28" s="206">
        <f>C23-C24</f>
        <v>0.05</v>
      </c>
    </row>
    <row r="29" spans="1:16">
      <c r="A29" s="135"/>
      <c r="B29" s="205" t="s">
        <v>119</v>
      </c>
      <c r="C29" s="207">
        <f>E19</f>
        <v>999.99999999999955</v>
      </c>
    </row>
    <row r="30" spans="1:16">
      <c r="A30" s="135"/>
      <c r="B30" s="98" t="s">
        <v>120</v>
      </c>
      <c r="C30" s="208">
        <v>100</v>
      </c>
    </row>
    <row r="31" spans="1:16">
      <c r="A31" s="135"/>
    </row>
  </sheetData>
  <pageMargins left="0.75" right="0.75" top="1" bottom="1" header="0.5" footer="0.5"/>
  <pageSetup orientation="portrait"/>
  <headerFooter alignWithMargins="0"/>
  <ignoredErrors>
    <ignoredError sqref="F13 G13:P13 F15:P15" formula="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FF99"/>
  </sheetPr>
  <dimension ref="A1:T345"/>
  <sheetViews>
    <sheetView showGridLines="0" zoomScale="80" zoomScaleNormal="80" zoomScalePageLayoutView="80" workbookViewId="0"/>
  </sheetViews>
  <sheetFormatPr defaultColWidth="8.88671875" defaultRowHeight="14.4"/>
  <cols>
    <col min="1" max="1" width="2.44140625" style="6" customWidth="1"/>
    <col min="2" max="2" width="35.44140625" style="6" customWidth="1"/>
    <col min="3" max="3" width="11.44140625" style="6" customWidth="1"/>
    <col min="4" max="4" width="10.109375" style="6" customWidth="1"/>
    <col min="5" max="5" width="11.6640625" style="6" customWidth="1"/>
    <col min="6" max="14" width="10.109375" style="6" customWidth="1"/>
    <col min="15" max="15" width="13" style="6" customWidth="1"/>
    <col min="16" max="16" width="10.33203125" style="6" customWidth="1"/>
    <col min="17" max="17" width="10.44140625" style="6" customWidth="1"/>
    <col min="18" max="18" width="6.44140625" style="6" customWidth="1"/>
    <col min="19" max="16384" width="8.88671875" style="6"/>
  </cols>
  <sheetData>
    <row r="1" spans="1:16" ht="23.4">
      <c r="A1" s="10" t="s">
        <v>51</v>
      </c>
      <c r="B1" s="3"/>
    </row>
    <row r="2" spans="1:16" ht="15" customHeight="1">
      <c r="A2" s="11" t="s">
        <v>102</v>
      </c>
      <c r="B2" s="3"/>
    </row>
    <row r="3" spans="1:16">
      <c r="B3" s="17" t="s">
        <v>134</v>
      </c>
      <c r="C3" s="17"/>
      <c r="D3" s="17"/>
      <c r="E3" s="18">
        <v>0</v>
      </c>
      <c r="F3" s="18">
        <f>E3+1</f>
        <v>1</v>
      </c>
      <c r="G3" s="18">
        <f t="shared" ref="G3:P3" si="0">F3+1</f>
        <v>2</v>
      </c>
      <c r="H3" s="18">
        <f t="shared" si="0"/>
        <v>3</v>
      </c>
      <c r="I3" s="18">
        <f t="shared" si="0"/>
        <v>4</v>
      </c>
      <c r="J3" s="18">
        <f t="shared" si="0"/>
        <v>5</v>
      </c>
      <c r="K3" s="18">
        <f t="shared" si="0"/>
        <v>6</v>
      </c>
      <c r="L3" s="18">
        <f t="shared" si="0"/>
        <v>7</v>
      </c>
      <c r="M3" s="18">
        <f t="shared" si="0"/>
        <v>8</v>
      </c>
      <c r="N3" s="18">
        <f t="shared" si="0"/>
        <v>9</v>
      </c>
      <c r="O3" s="18">
        <f t="shared" si="0"/>
        <v>10</v>
      </c>
      <c r="P3" s="18">
        <f t="shared" si="0"/>
        <v>11</v>
      </c>
    </row>
    <row r="4" spans="1:16">
      <c r="B4" s="16" t="s">
        <v>89</v>
      </c>
      <c r="C4" s="16"/>
      <c r="D4" s="16"/>
      <c r="E4" s="318">
        <f t="array" aca="1" ref="E4:P4" ca="1">TRANSPOSE(MktDynamicsInputs!$M$44:$M$55)</f>
        <v>1.1572482444551129</v>
      </c>
      <c r="F4" s="318">
        <f ca="1"/>
        <v>0.78392818794619046</v>
      </c>
      <c r="G4" s="318">
        <f ca="1"/>
        <v>0.46378293282994992</v>
      </c>
      <c r="H4" s="318">
        <f ca="1"/>
        <v>0.43239239366183296</v>
      </c>
      <c r="I4" s="318">
        <f ca="1"/>
        <v>0.64239346663575581</v>
      </c>
      <c r="J4" s="318">
        <f ca="1"/>
        <v>0.70842844747094613</v>
      </c>
      <c r="K4" s="318">
        <f ca="1"/>
        <v>0.84264553033850575</v>
      </c>
      <c r="L4" s="318">
        <f ca="1"/>
        <v>0.99936576338889527</v>
      </c>
      <c r="M4" s="318">
        <f ca="1"/>
        <v>1.0298008215949832</v>
      </c>
      <c r="N4" s="318">
        <f ca="1"/>
        <v>1.2814675104585878</v>
      </c>
      <c r="O4" s="318">
        <f ca="1"/>
        <v>1.6368266867925032</v>
      </c>
      <c r="P4" s="318">
        <f ca="1"/>
        <v>1.6202695806275751</v>
      </c>
    </row>
    <row r="5" spans="1:16">
      <c r="B5" s="16" t="s">
        <v>90</v>
      </c>
      <c r="C5" s="16"/>
      <c r="D5" s="16"/>
      <c r="E5" s="322">
        <f t="array" aca="1" ref="E5:P5" ca="1">TRANSPOSE(MktDynamicsInputs!$T$44:$T$55)</f>
        <v>2.3620131454513235E-2</v>
      </c>
      <c r="F5" s="322">
        <f ca="1"/>
        <v>2.6591464604413192E-2</v>
      </c>
      <c r="G5" s="322">
        <f ca="1"/>
        <v>5.4460251299821551E-2</v>
      </c>
      <c r="H5" s="322">
        <f ca="1"/>
        <v>0.10172071311603967</v>
      </c>
      <c r="I5" s="322">
        <f ca="1"/>
        <v>7.1582683756676299E-2</v>
      </c>
      <c r="J5" s="322">
        <f ca="1"/>
        <v>7.9481712148731787E-2</v>
      </c>
      <c r="K5" s="322">
        <f ca="1"/>
        <v>7.0980268434243293E-2</v>
      </c>
      <c r="L5" s="322">
        <f ca="1"/>
        <v>5.3966490701912437E-2</v>
      </c>
      <c r="M5" s="322">
        <f ca="1"/>
        <v>6.6048286424599714E-2</v>
      </c>
      <c r="N5" s="322">
        <f ca="1"/>
        <v>5.6340014195116354E-2</v>
      </c>
      <c r="O5" s="322">
        <f ca="1"/>
        <v>4.231239427445907E-2</v>
      </c>
      <c r="P5" s="322">
        <f ca="1"/>
        <v>4.2768244646268237E-2</v>
      </c>
    </row>
    <row r="6" spans="1:16" ht="15" thickBot="1"/>
    <row r="7" spans="1:16" s="3" customFormat="1">
      <c r="B7" s="182" t="s">
        <v>125</v>
      </c>
      <c r="C7" s="315" t="s">
        <v>130</v>
      </c>
      <c r="D7" s="183" t="s">
        <v>20</v>
      </c>
      <c r="E7" s="184">
        <f t="shared" ref="E7:P7" si="1">E3</f>
        <v>0</v>
      </c>
      <c r="F7" s="184">
        <f t="shared" si="1"/>
        <v>1</v>
      </c>
      <c r="G7" s="184">
        <f t="shared" si="1"/>
        <v>2</v>
      </c>
      <c r="H7" s="184">
        <f t="shared" si="1"/>
        <v>3</v>
      </c>
      <c r="I7" s="184">
        <f t="shared" si="1"/>
        <v>4</v>
      </c>
      <c r="J7" s="184">
        <f t="shared" si="1"/>
        <v>5</v>
      </c>
      <c r="K7" s="184">
        <f t="shared" si="1"/>
        <v>6</v>
      </c>
      <c r="L7" s="184">
        <f t="shared" si="1"/>
        <v>7</v>
      </c>
      <c r="M7" s="184">
        <f t="shared" si="1"/>
        <v>8</v>
      </c>
      <c r="N7" s="184">
        <f t="shared" si="1"/>
        <v>9</v>
      </c>
      <c r="O7" s="185">
        <f t="shared" si="1"/>
        <v>10</v>
      </c>
      <c r="P7" s="248">
        <f t="shared" si="1"/>
        <v>11</v>
      </c>
    </row>
    <row r="8" spans="1:16" s="8" customFormat="1">
      <c r="B8" s="172"/>
      <c r="C8" s="173"/>
      <c r="D8" s="173"/>
      <c r="E8" s="173"/>
      <c r="F8" s="173"/>
      <c r="G8" s="173"/>
      <c r="H8" s="173"/>
      <c r="I8" s="173"/>
      <c r="J8" s="173"/>
      <c r="K8" s="173"/>
      <c r="L8" s="173"/>
      <c r="M8" s="173"/>
      <c r="N8" s="173"/>
      <c r="O8" s="174"/>
      <c r="P8" s="181"/>
    </row>
    <row r="9" spans="1:16" s="8" customFormat="1">
      <c r="B9" s="242" t="s">
        <v>121</v>
      </c>
      <c r="C9" s="175"/>
      <c r="D9" s="266"/>
      <c r="E9" s="267"/>
      <c r="F9" s="268">
        <f ca="1">RealisticTradlDCFproforma!F10*F4</f>
        <v>78.392818794619046</v>
      </c>
      <c r="G9" s="268">
        <f ca="1">RealisticTradlDCFproforma!G10*G4</f>
        <v>47.305859148654889</v>
      </c>
      <c r="H9" s="268">
        <f ca="1">RealisticTradlDCFproforma!H10*H4</f>
        <v>44.986104636577103</v>
      </c>
      <c r="I9" s="268">
        <f ca="1">RealisticTradlDCFproforma!I10*I4</f>
        <v>68.171308594159711</v>
      </c>
      <c r="J9" s="268">
        <f ca="1">RealisticTradlDCFproforma!J10*J4</f>
        <v>76.682573460142279</v>
      </c>
      <c r="K9" s="268">
        <f ca="1">RealisticTradlDCFproforma!K10*K4</f>
        <v>93.034875394902755</v>
      </c>
      <c r="L9" s="268">
        <f ca="1">RealisticTradlDCFproforma!L10*L4</f>
        <v>112.54481658276525</v>
      </c>
      <c r="M9" s="268">
        <f ca="1">RealisticTradlDCFproforma!M10*M4</f>
        <v>118.29174442996104</v>
      </c>
      <c r="N9" s="268">
        <f ca="1">RealisticTradlDCFproforma!N10*N4</f>
        <v>150.14434300784234</v>
      </c>
      <c r="O9" s="269">
        <f ca="1">RealisticTradlDCFproforma!O10*O4</f>
        <v>195.61594095083996</v>
      </c>
      <c r="P9" s="270">
        <f ca="1">RealisticTradlDCFproforma!P10*P4</f>
        <v>197.50995776722596</v>
      </c>
    </row>
    <row r="10" spans="1:16" s="8" customFormat="1">
      <c r="B10" s="243" t="s">
        <v>106</v>
      </c>
      <c r="C10" s="316">
        <f>RealisticTradlDCFproforma!C25</f>
        <v>0.05</v>
      </c>
      <c r="D10" s="271"/>
      <c r="E10" s="272"/>
      <c r="F10" s="273">
        <f ca="1">$C$10*F9</f>
        <v>3.9196409397309524</v>
      </c>
      <c r="G10" s="273">
        <f t="shared" ref="G10:N10" ca="1" si="2">$C$10*G9</f>
        <v>2.3652929574327444</v>
      </c>
      <c r="H10" s="273">
        <f t="shared" ca="1" si="2"/>
        <v>2.2493052318288553</v>
      </c>
      <c r="I10" s="273">
        <f t="shared" ca="1" si="2"/>
        <v>3.4085654297079859</v>
      </c>
      <c r="J10" s="273">
        <f t="shared" ca="1" si="2"/>
        <v>3.8341286730071142</v>
      </c>
      <c r="K10" s="273">
        <f t="shared" ca="1" si="2"/>
        <v>4.6517437697451376</v>
      </c>
      <c r="L10" s="273">
        <f t="shared" ca="1" si="2"/>
        <v>5.6272408291382625</v>
      </c>
      <c r="M10" s="273">
        <f t="shared" ca="1" si="2"/>
        <v>5.9145872214980528</v>
      </c>
      <c r="N10" s="273">
        <f t="shared" ca="1" si="2"/>
        <v>7.5072171503921172</v>
      </c>
      <c r="O10" s="274">
        <f ca="1">$C$10*O9</f>
        <v>9.7807970475419985</v>
      </c>
      <c r="P10" s="275">
        <f ca="1">$C$10*P9</f>
        <v>9.8754978883612985</v>
      </c>
    </row>
    <row r="11" spans="1:16" s="8" customFormat="1">
      <c r="B11" s="314" t="s">
        <v>127</v>
      </c>
      <c r="C11" s="175"/>
      <c r="D11" s="266"/>
      <c r="E11" s="267"/>
      <c r="F11" s="276">
        <f ca="1">F9-F10</f>
        <v>74.473177854888092</v>
      </c>
      <c r="G11" s="276">
        <f t="shared" ref="G11:P11" ca="1" si="3">G9-G10</f>
        <v>44.940566191222146</v>
      </c>
      <c r="H11" s="276">
        <f t="shared" ca="1" si="3"/>
        <v>42.736799404748247</v>
      </c>
      <c r="I11" s="276">
        <f t="shared" ca="1" si="3"/>
        <v>64.76274316445172</v>
      </c>
      <c r="J11" s="276">
        <f t="shared" ca="1" si="3"/>
        <v>72.848444787135165</v>
      </c>
      <c r="K11" s="276">
        <f t="shared" ca="1" si="3"/>
        <v>88.383131625157617</v>
      </c>
      <c r="L11" s="276">
        <f t="shared" ca="1" si="3"/>
        <v>106.91757575362699</v>
      </c>
      <c r="M11" s="276">
        <f t="shared" ca="1" si="3"/>
        <v>112.37715720846299</v>
      </c>
      <c r="N11" s="276">
        <f t="shared" ca="1" si="3"/>
        <v>142.63712585745023</v>
      </c>
      <c r="O11" s="277">
        <f t="shared" ca="1" si="3"/>
        <v>185.83514390329796</v>
      </c>
      <c r="P11" s="278">
        <f t="shared" ca="1" si="3"/>
        <v>187.63445987886465</v>
      </c>
    </row>
    <row r="12" spans="1:16" s="8" customFormat="1">
      <c r="B12" s="243" t="s">
        <v>49</v>
      </c>
      <c r="C12" s="316">
        <f>RealisticTradlDCFproforma!$C$26</f>
        <v>0.35</v>
      </c>
      <c r="D12" s="271"/>
      <c r="E12" s="272"/>
      <c r="F12" s="273">
        <f ca="1">$C$12*F9</f>
        <v>27.437486578116665</v>
      </c>
      <c r="G12" s="273">
        <f t="shared" ref="G12:N12" ca="1" si="4">$C$12*G9</f>
        <v>16.557050702029212</v>
      </c>
      <c r="H12" s="273">
        <f t="shared" ca="1" si="4"/>
        <v>15.745136622801985</v>
      </c>
      <c r="I12" s="273">
        <f t="shared" ca="1" si="4"/>
        <v>23.859958007955896</v>
      </c>
      <c r="J12" s="273">
        <f t="shared" ca="1" si="4"/>
        <v>26.838900711049796</v>
      </c>
      <c r="K12" s="273">
        <f t="shared" ca="1" si="4"/>
        <v>32.562206388215962</v>
      </c>
      <c r="L12" s="273">
        <f t="shared" ca="1" si="4"/>
        <v>39.390685803967834</v>
      </c>
      <c r="M12" s="273">
        <f t="shared" ca="1" si="4"/>
        <v>41.402110550486363</v>
      </c>
      <c r="N12" s="273">
        <f t="shared" ca="1" si="4"/>
        <v>52.550520052744815</v>
      </c>
      <c r="O12" s="274">
        <f ca="1">$C$12*O9</f>
        <v>68.465579332793979</v>
      </c>
      <c r="P12" s="275">
        <f ca="1">$C$12*P9</f>
        <v>69.128485218529079</v>
      </c>
    </row>
    <row r="13" spans="1:16" s="43" customFormat="1">
      <c r="B13" s="314" t="s">
        <v>129</v>
      </c>
      <c r="C13" s="175"/>
      <c r="D13" s="266"/>
      <c r="E13" s="267"/>
      <c r="F13" s="279">
        <f t="shared" ref="F13:P13" ca="1" si="5">F11-F12</f>
        <v>47.035691276771431</v>
      </c>
      <c r="G13" s="279">
        <f t="shared" ca="1" si="5"/>
        <v>28.383515489192934</v>
      </c>
      <c r="H13" s="279">
        <f t="shared" ca="1" si="5"/>
        <v>26.99166278194626</v>
      </c>
      <c r="I13" s="279">
        <f t="shared" ca="1" si="5"/>
        <v>40.902785156495824</v>
      </c>
      <c r="J13" s="279">
        <f t="shared" ca="1" si="5"/>
        <v>46.009544076085369</v>
      </c>
      <c r="K13" s="279">
        <f t="shared" ca="1" si="5"/>
        <v>55.820925236941655</v>
      </c>
      <c r="L13" s="279">
        <f t="shared" ca="1" si="5"/>
        <v>67.526889949659164</v>
      </c>
      <c r="M13" s="279">
        <f t="shared" ca="1" si="5"/>
        <v>70.975046657976634</v>
      </c>
      <c r="N13" s="279">
        <f t="shared" ca="1" si="5"/>
        <v>90.086605804705414</v>
      </c>
      <c r="O13" s="280">
        <f t="shared" ca="1" si="5"/>
        <v>117.36956457050398</v>
      </c>
      <c r="P13" s="281">
        <f t="shared" ca="1" si="5"/>
        <v>118.50597466033557</v>
      </c>
    </row>
    <row r="14" spans="1:16" s="8" customFormat="1" ht="15" thickBot="1">
      <c r="B14" s="244" t="s">
        <v>108</v>
      </c>
      <c r="C14" s="317">
        <f>RealisticTradlDCFproforma!$C$27</f>
        <v>0.1</v>
      </c>
      <c r="D14" s="282"/>
      <c r="E14" s="283"/>
      <c r="F14" s="283">
        <f ca="1">$C$14*F9</f>
        <v>7.8392818794619048</v>
      </c>
      <c r="G14" s="283">
        <f t="shared" ref="G14:N14" ca="1" si="6">$C$14*G9</f>
        <v>4.7305859148654887</v>
      </c>
      <c r="H14" s="283">
        <f t="shared" ca="1" si="6"/>
        <v>4.4986104636577107</v>
      </c>
      <c r="I14" s="283">
        <f t="shared" ca="1" si="6"/>
        <v>6.8171308594159719</v>
      </c>
      <c r="J14" s="283">
        <f t="shared" ca="1" si="6"/>
        <v>7.6682573460142285</v>
      </c>
      <c r="K14" s="283">
        <f t="shared" ca="1" si="6"/>
        <v>9.3034875394902752</v>
      </c>
      <c r="L14" s="283">
        <f t="shared" ca="1" si="6"/>
        <v>11.254481658276525</v>
      </c>
      <c r="M14" s="283">
        <f t="shared" ca="1" si="6"/>
        <v>11.829174442996106</v>
      </c>
      <c r="N14" s="283">
        <f t="shared" ca="1" si="6"/>
        <v>15.014434300784234</v>
      </c>
      <c r="O14" s="284">
        <f ca="1">$C$14*O9</f>
        <v>19.561594095083997</v>
      </c>
      <c r="P14" s="285">
        <f ca="1">$C$14*P9</f>
        <v>19.750995776722597</v>
      </c>
    </row>
    <row r="15" spans="1:16" s="8" customFormat="1" ht="15.6" thickTop="1" thickBot="1">
      <c r="B15" s="314" t="s">
        <v>128</v>
      </c>
      <c r="C15" s="175"/>
      <c r="D15" s="266"/>
      <c r="E15" s="286"/>
      <c r="F15" s="287">
        <f t="shared" ref="F15:P15" ca="1" si="7">F13-F14</f>
        <v>39.196409397309523</v>
      </c>
      <c r="G15" s="287">
        <f t="shared" ca="1" si="7"/>
        <v>23.652929574327445</v>
      </c>
      <c r="H15" s="287">
        <f t="shared" ca="1" si="7"/>
        <v>22.493052318288548</v>
      </c>
      <c r="I15" s="287">
        <f t="shared" ca="1" si="7"/>
        <v>34.085654297079856</v>
      </c>
      <c r="J15" s="287">
        <f t="shared" ca="1" si="7"/>
        <v>38.34128673007114</v>
      </c>
      <c r="K15" s="287">
        <f t="shared" ca="1" si="7"/>
        <v>46.517437697451378</v>
      </c>
      <c r="L15" s="287">
        <f t="shared" ca="1" si="7"/>
        <v>56.272408291382639</v>
      </c>
      <c r="M15" s="287">
        <f t="shared" ca="1" si="7"/>
        <v>59.145872214980528</v>
      </c>
      <c r="N15" s="287">
        <f t="shared" ca="1" si="7"/>
        <v>75.072171503921183</v>
      </c>
      <c r="O15" s="288">
        <f t="shared" ca="1" si="7"/>
        <v>97.807970475419978</v>
      </c>
      <c r="P15" s="289">
        <f t="shared" ca="1" si="7"/>
        <v>98.754978883612978</v>
      </c>
    </row>
    <row r="16" spans="1:16" s="8" customFormat="1">
      <c r="B16" s="245" t="s">
        <v>123</v>
      </c>
      <c r="C16" s="176"/>
      <c r="D16" s="266"/>
      <c r="E16" s="286"/>
      <c r="F16" s="287"/>
      <c r="G16" s="287"/>
      <c r="H16" s="287"/>
      <c r="I16" s="287"/>
      <c r="J16" s="287"/>
      <c r="K16" s="287"/>
      <c r="L16" s="287"/>
      <c r="M16" s="287"/>
      <c r="N16" s="287"/>
      <c r="O16" s="288">
        <f ca="1">(1-Selling_Expense)*P15/O5</f>
        <v>2287.2702187018454</v>
      </c>
      <c r="P16" s="290"/>
    </row>
    <row r="17" spans="1:20" s="8" customFormat="1" ht="15" thickBot="1">
      <c r="B17" s="246" t="s">
        <v>124</v>
      </c>
      <c r="C17" s="247"/>
      <c r="D17" s="282"/>
      <c r="E17" s="283"/>
      <c r="F17" s="291">
        <f ca="1">F15+F16</f>
        <v>39.196409397309523</v>
      </c>
      <c r="G17" s="291">
        <f t="shared" ref="G17:O17" ca="1" si="8">G15+G16</f>
        <v>23.652929574327445</v>
      </c>
      <c r="H17" s="291">
        <f t="shared" ca="1" si="8"/>
        <v>22.493052318288548</v>
      </c>
      <c r="I17" s="291">
        <f t="shared" ca="1" si="8"/>
        <v>34.085654297079856</v>
      </c>
      <c r="J17" s="291">
        <f t="shared" ca="1" si="8"/>
        <v>38.34128673007114</v>
      </c>
      <c r="K17" s="291">
        <f t="shared" ca="1" si="8"/>
        <v>46.517437697451378</v>
      </c>
      <c r="L17" s="291">
        <f t="shared" ca="1" si="8"/>
        <v>56.272408291382639</v>
      </c>
      <c r="M17" s="291">
        <f t="shared" ca="1" si="8"/>
        <v>59.145872214980528</v>
      </c>
      <c r="N17" s="291">
        <f t="shared" ca="1" si="8"/>
        <v>75.072171503921183</v>
      </c>
      <c r="O17" s="292">
        <f t="shared" ca="1" si="8"/>
        <v>2385.0781891772654</v>
      </c>
      <c r="P17" s="290"/>
    </row>
    <row r="18" spans="1:20" s="8" customFormat="1" ht="15" thickTop="1">
      <c r="B18" s="177" t="s">
        <v>55</v>
      </c>
      <c r="C18" s="176"/>
      <c r="D18" s="266"/>
      <c r="E18" s="241">
        <f ca="1">NPV(DiscRateInput,F17:O17)</f>
        <v>1482.7438570107749</v>
      </c>
      <c r="F18" s="293"/>
      <c r="G18" s="293"/>
      <c r="H18" s="293"/>
      <c r="I18" s="293"/>
      <c r="J18" s="293"/>
      <c r="K18" s="293"/>
      <c r="L18" s="293"/>
      <c r="M18" s="293"/>
      <c r="N18" s="293"/>
      <c r="O18" s="294"/>
      <c r="P18" s="290"/>
    </row>
    <row r="19" spans="1:20" s="8" customFormat="1" ht="15" thickBot="1">
      <c r="B19" s="178" t="s">
        <v>97</v>
      </c>
      <c r="C19" s="179"/>
      <c r="D19" s="180">
        <f ca="1">IF(ISERROR(IRR(E19:O19)),-0.5,IRR(E19:O19))</f>
        <v>0.11761973471543463</v>
      </c>
      <c r="E19" s="295">
        <f>-MktDynamicsInputs!V23</f>
        <v>-999.99999999999955</v>
      </c>
      <c r="F19" s="296">
        <f ca="1">F17</f>
        <v>39.196409397309523</v>
      </c>
      <c r="G19" s="296">
        <f t="shared" ref="G19:O19" ca="1" si="9">G17</f>
        <v>23.652929574327445</v>
      </c>
      <c r="H19" s="296">
        <f t="shared" ca="1" si="9"/>
        <v>22.493052318288548</v>
      </c>
      <c r="I19" s="296">
        <f t="shared" ca="1" si="9"/>
        <v>34.085654297079856</v>
      </c>
      <c r="J19" s="296">
        <f t="shared" ca="1" si="9"/>
        <v>38.34128673007114</v>
      </c>
      <c r="K19" s="296">
        <f t="shared" ca="1" si="9"/>
        <v>46.517437697451378</v>
      </c>
      <c r="L19" s="296">
        <f t="shared" ca="1" si="9"/>
        <v>56.272408291382639</v>
      </c>
      <c r="M19" s="296">
        <f t="shared" ca="1" si="9"/>
        <v>59.145872214980528</v>
      </c>
      <c r="N19" s="296">
        <f t="shared" ca="1" si="9"/>
        <v>75.072171503921183</v>
      </c>
      <c r="O19" s="297">
        <f t="shared" ca="1" si="9"/>
        <v>2385.0781891772654</v>
      </c>
      <c r="P19" s="290"/>
    </row>
    <row r="20" spans="1:20" s="8" customFormat="1">
      <c r="B20" s="110" t="s">
        <v>52</v>
      </c>
      <c r="C20" s="111">
        <f>10</f>
        <v>10</v>
      </c>
      <c r="D20" s="42"/>
      <c r="E20" s="103"/>
      <c r="F20" s="103"/>
      <c r="G20" s="104"/>
      <c r="H20" s="104"/>
      <c r="I20" s="104"/>
      <c r="J20" s="104"/>
      <c r="K20" s="104"/>
      <c r="L20" s="104"/>
      <c r="M20" s="104"/>
      <c r="N20" s="104"/>
      <c r="O20" s="104"/>
      <c r="P20" s="105"/>
    </row>
    <row r="21" spans="1:20" s="8" customFormat="1">
      <c r="B21" s="186" t="s">
        <v>53</v>
      </c>
      <c r="C21" s="150">
        <f ca="1">AVERAGE(F15:O15)</f>
        <v>49.25851925002322</v>
      </c>
      <c r="D21" s="42"/>
      <c r="E21" s="187">
        <f ca="1">(E18-E34)/E34</f>
        <v>0.4827438570107756</v>
      </c>
      <c r="F21" s="188" t="s">
        <v>103</v>
      </c>
      <c r="G21" s="189"/>
      <c r="H21" s="189"/>
      <c r="I21" s="189"/>
      <c r="J21" s="189"/>
      <c r="K21" s="189"/>
      <c r="L21" s="190"/>
      <c r="M21" s="104"/>
      <c r="N21" s="104"/>
      <c r="O21" s="104"/>
      <c r="P21" s="105"/>
    </row>
    <row r="22" spans="1:20" s="8" customFormat="1">
      <c r="A22" s="148"/>
      <c r="B22" s="102"/>
      <c r="C22" s="44"/>
      <c r="D22" s="42"/>
      <c r="E22" s="191">
        <f ca="1">D19-D35</f>
        <v>4.7619734715167228E-2</v>
      </c>
      <c r="F22" s="192" t="s">
        <v>104</v>
      </c>
      <c r="G22" s="193"/>
      <c r="H22" s="194"/>
      <c r="I22" s="194"/>
      <c r="J22" s="194"/>
      <c r="K22" s="194"/>
      <c r="L22" s="195"/>
      <c r="M22" s="104"/>
      <c r="N22" s="104"/>
      <c r="O22" s="104"/>
      <c r="P22" s="105"/>
    </row>
    <row r="23" spans="1:20" s="8" customFormat="1" ht="15" thickBot="1">
      <c r="A23" s="148" t="s">
        <v>87</v>
      </c>
      <c r="B23" s="44"/>
      <c r="C23" s="44"/>
      <c r="D23" s="42"/>
      <c r="E23" s="42"/>
      <c r="F23" s="42"/>
      <c r="G23" s="42"/>
      <c r="H23" s="42"/>
      <c r="I23" s="42"/>
      <c r="J23" s="42"/>
      <c r="K23" s="42"/>
      <c r="L23" s="42"/>
      <c r="M23" s="42"/>
      <c r="N23" s="42"/>
      <c r="O23" s="42"/>
      <c r="R23" s="96"/>
      <c r="S23" s="97"/>
    </row>
    <row r="24" spans="1:20" s="43" customFormat="1">
      <c r="B24" s="101" t="s">
        <v>50</v>
      </c>
      <c r="C24" s="93"/>
      <c r="D24" s="106" t="s">
        <v>20</v>
      </c>
      <c r="E24" s="94">
        <v>0</v>
      </c>
      <c r="F24" s="94">
        <v>1</v>
      </c>
      <c r="G24" s="94">
        <v>2</v>
      </c>
      <c r="H24" s="94">
        <v>3</v>
      </c>
      <c r="I24" s="94">
        <v>4</v>
      </c>
      <c r="J24" s="94">
        <v>5</v>
      </c>
      <c r="K24" s="94">
        <v>6</v>
      </c>
      <c r="L24" s="94">
        <v>7</v>
      </c>
      <c r="M24" s="94">
        <v>8</v>
      </c>
      <c r="N24" s="94">
        <v>9</v>
      </c>
      <c r="O24" s="95">
        <v>10</v>
      </c>
      <c r="P24" s="149">
        <v>11</v>
      </c>
      <c r="R24" s="98"/>
      <c r="S24" s="97"/>
    </row>
    <row r="25" spans="1:20" s="43" customFormat="1">
      <c r="B25" s="249" t="s">
        <v>105</v>
      </c>
      <c r="C25" s="39"/>
      <c r="D25" s="254"/>
      <c r="E25" s="255"/>
      <c r="F25" s="252">
        <f>RealisticTradlDCFproforma!F10</f>
        <v>100</v>
      </c>
      <c r="G25" s="252">
        <f>RealisticTradlDCFproforma!G10</f>
        <v>102</v>
      </c>
      <c r="H25" s="252">
        <f>RealisticTradlDCFproforma!H10</f>
        <v>104.04</v>
      </c>
      <c r="I25" s="252">
        <f>RealisticTradlDCFproforma!I10</f>
        <v>106.1208</v>
      </c>
      <c r="J25" s="252">
        <f>RealisticTradlDCFproforma!J10</f>
        <v>108.243216</v>
      </c>
      <c r="K25" s="252">
        <f>RealisticTradlDCFproforma!K10</f>
        <v>110.40808032000001</v>
      </c>
      <c r="L25" s="252">
        <f>RealisticTradlDCFproforma!L10</f>
        <v>112.61624192640001</v>
      </c>
      <c r="M25" s="252">
        <f>RealisticTradlDCFproforma!M10</f>
        <v>114.868566764928</v>
      </c>
      <c r="N25" s="252">
        <f>RealisticTradlDCFproforma!N10</f>
        <v>117.16593810022657</v>
      </c>
      <c r="O25" s="253">
        <f>RealisticTradlDCFproforma!O10</f>
        <v>119.5092568622311</v>
      </c>
      <c r="P25" s="263">
        <f>RealisticTradlDCFproforma!P10</f>
        <v>121.89944199947573</v>
      </c>
      <c r="R25" s="98"/>
      <c r="S25" s="97"/>
    </row>
    <row r="26" spans="1:20" s="43" customFormat="1">
      <c r="B26" s="250" t="s">
        <v>106</v>
      </c>
      <c r="C26" s="257"/>
      <c r="D26" s="258"/>
      <c r="E26" s="259"/>
      <c r="F26" s="256">
        <f>RealisticTradlDCFproforma!F11</f>
        <v>5</v>
      </c>
      <c r="G26" s="256">
        <f>RealisticTradlDCFproforma!G11</f>
        <v>5.1000000000000005</v>
      </c>
      <c r="H26" s="256">
        <f>RealisticTradlDCFproforma!H11</f>
        <v>5.2020000000000008</v>
      </c>
      <c r="I26" s="256">
        <f>RealisticTradlDCFproforma!I11</f>
        <v>5.3060400000000003</v>
      </c>
      <c r="J26" s="256">
        <f>RealisticTradlDCFproforma!J11</f>
        <v>5.4121608000000005</v>
      </c>
      <c r="K26" s="256">
        <f>RealisticTradlDCFproforma!K11</f>
        <v>5.5204040160000005</v>
      </c>
      <c r="L26" s="256">
        <f>RealisticTradlDCFproforma!L11</f>
        <v>5.6308120963200006</v>
      </c>
      <c r="M26" s="256">
        <f>RealisticTradlDCFproforma!M11</f>
        <v>5.7434283382464004</v>
      </c>
      <c r="N26" s="256">
        <f>RealisticTradlDCFproforma!N11</f>
        <v>5.8582969050113292</v>
      </c>
      <c r="O26" s="260">
        <f>RealisticTradlDCFproforma!O11</f>
        <v>5.9754628431115551</v>
      </c>
      <c r="P26" s="264">
        <f>RealisticTradlDCFproforma!P11</f>
        <v>6.0949720999737869</v>
      </c>
      <c r="R26" s="98"/>
      <c r="S26" s="97"/>
    </row>
    <row r="27" spans="1:20" s="8" customFormat="1">
      <c r="B27" s="249" t="s">
        <v>48</v>
      </c>
      <c r="C27" s="41"/>
      <c r="D27" s="42"/>
      <c r="E27" s="42"/>
      <c r="F27" s="252">
        <f>RealisticTradlDCFproforma!F12</f>
        <v>95</v>
      </c>
      <c r="G27" s="252">
        <f>RealisticTradlDCFproforma!G12</f>
        <v>96.9</v>
      </c>
      <c r="H27" s="252">
        <f>RealisticTradlDCFproforma!H12</f>
        <v>98.838000000000008</v>
      </c>
      <c r="I27" s="252">
        <f>RealisticTradlDCFproforma!I12</f>
        <v>100.81476000000001</v>
      </c>
      <c r="J27" s="252">
        <f>RealisticTradlDCFproforma!J12</f>
        <v>102.83105520000001</v>
      </c>
      <c r="K27" s="252">
        <f>RealisticTradlDCFproforma!K12</f>
        <v>104.88767630400001</v>
      </c>
      <c r="L27" s="252">
        <f>RealisticTradlDCFproforma!L12</f>
        <v>106.98542983008001</v>
      </c>
      <c r="M27" s="252">
        <f>RealisticTradlDCFproforma!M12</f>
        <v>109.1251384266816</v>
      </c>
      <c r="N27" s="252">
        <f>RealisticTradlDCFproforma!N12</f>
        <v>111.30764119521524</v>
      </c>
      <c r="O27" s="253">
        <f>RealisticTradlDCFproforma!O12</f>
        <v>113.53379401911954</v>
      </c>
      <c r="P27" s="263">
        <f>RealisticTradlDCFproforma!P12</f>
        <v>115.80446989950194</v>
      </c>
      <c r="R27" s="98"/>
      <c r="S27" s="97"/>
    </row>
    <row r="28" spans="1:20" s="8" customFormat="1">
      <c r="B28" s="250" t="s">
        <v>49</v>
      </c>
      <c r="C28" s="99"/>
      <c r="D28" s="100"/>
      <c r="E28" s="100"/>
      <c r="F28" s="256">
        <f>RealisticTradlDCFproforma!F13</f>
        <v>35</v>
      </c>
      <c r="G28" s="256">
        <f>RealisticTradlDCFproforma!G13</f>
        <v>35.699999999999996</v>
      </c>
      <c r="H28" s="256">
        <f>RealisticTradlDCFproforma!H13</f>
        <v>36.414000000000001</v>
      </c>
      <c r="I28" s="256">
        <f>RealisticTradlDCFproforma!I13</f>
        <v>37.14228</v>
      </c>
      <c r="J28" s="256">
        <f>RealisticTradlDCFproforma!J13</f>
        <v>37.885125600000002</v>
      </c>
      <c r="K28" s="256">
        <f>RealisticTradlDCFproforma!K13</f>
        <v>38.642828112000004</v>
      </c>
      <c r="L28" s="256">
        <f>RealisticTradlDCFproforma!L13</f>
        <v>39.415684674239998</v>
      </c>
      <c r="M28" s="256">
        <f>RealisticTradlDCFproforma!M13</f>
        <v>40.2039983677248</v>
      </c>
      <c r="N28" s="256">
        <f>RealisticTradlDCFproforma!N13</f>
        <v>41.008078335079297</v>
      </c>
      <c r="O28" s="260">
        <f>RealisticTradlDCFproforma!O13</f>
        <v>41.828239901780883</v>
      </c>
      <c r="P28" s="264">
        <f>RealisticTradlDCFproforma!P13</f>
        <v>42.6648046998165</v>
      </c>
      <c r="R28" s="98"/>
      <c r="S28" s="97"/>
    </row>
    <row r="29" spans="1:20" s="4" customFormat="1">
      <c r="B29" s="249" t="s">
        <v>107</v>
      </c>
      <c r="C29" s="41"/>
      <c r="D29" s="42"/>
      <c r="E29" s="42"/>
      <c r="F29" s="252">
        <f>RealisticTradlDCFproforma!F14</f>
        <v>60</v>
      </c>
      <c r="G29" s="252">
        <f>RealisticTradlDCFproforma!G14</f>
        <v>61.20000000000001</v>
      </c>
      <c r="H29" s="252">
        <f>RealisticTradlDCFproforma!H14</f>
        <v>62.424000000000007</v>
      </c>
      <c r="I29" s="252">
        <f>RealisticTradlDCFproforma!I14</f>
        <v>63.672480000000007</v>
      </c>
      <c r="J29" s="252">
        <f>RealisticTradlDCFproforma!J14</f>
        <v>64.945929599999999</v>
      </c>
      <c r="K29" s="252">
        <f>RealisticTradlDCFproforma!K14</f>
        <v>66.244848192000006</v>
      </c>
      <c r="L29" s="252">
        <f>RealisticTradlDCFproforma!L14</f>
        <v>67.56974515584001</v>
      </c>
      <c r="M29" s="252">
        <f>RealisticTradlDCFproforma!M14</f>
        <v>68.921140058956809</v>
      </c>
      <c r="N29" s="252">
        <f>RealisticTradlDCFproforma!N14</f>
        <v>70.29956286013595</v>
      </c>
      <c r="O29" s="253">
        <f>RealisticTradlDCFproforma!O14</f>
        <v>71.705554117338664</v>
      </c>
      <c r="P29" s="263">
        <f>RealisticTradlDCFproforma!P14</f>
        <v>73.139665199685439</v>
      </c>
      <c r="R29" s="98"/>
      <c r="S29" s="97"/>
    </row>
    <row r="30" spans="1:20" s="8" customFormat="1">
      <c r="B30" s="250" t="s">
        <v>108</v>
      </c>
      <c r="C30" s="99"/>
      <c r="D30" s="100"/>
      <c r="E30" s="100"/>
      <c r="F30" s="256">
        <f>RealisticTradlDCFproforma!F15</f>
        <v>10</v>
      </c>
      <c r="G30" s="256">
        <f>RealisticTradlDCFproforma!G15</f>
        <v>10.200000000000001</v>
      </c>
      <c r="H30" s="256">
        <f>RealisticTradlDCFproforma!H15</f>
        <v>10.404000000000002</v>
      </c>
      <c r="I30" s="256">
        <f>RealisticTradlDCFproforma!I15</f>
        <v>10.612080000000001</v>
      </c>
      <c r="J30" s="256">
        <f>RealisticTradlDCFproforma!J15</f>
        <v>10.824321600000001</v>
      </c>
      <c r="K30" s="256">
        <f>RealisticTradlDCFproforma!K15</f>
        <v>11.040808032000001</v>
      </c>
      <c r="L30" s="256">
        <f>RealisticTradlDCFproforma!L15</f>
        <v>11.261624192640001</v>
      </c>
      <c r="M30" s="256">
        <f>RealisticTradlDCFproforma!M15</f>
        <v>11.486856676492801</v>
      </c>
      <c r="N30" s="256">
        <f>RealisticTradlDCFproforma!N15</f>
        <v>11.716593810022658</v>
      </c>
      <c r="O30" s="260">
        <f>RealisticTradlDCFproforma!O15</f>
        <v>11.95092568622311</v>
      </c>
      <c r="P30" s="264">
        <f>RealisticTradlDCFproforma!P15</f>
        <v>12.189944199947574</v>
      </c>
      <c r="Q30" s="7"/>
      <c r="R30" s="98"/>
      <c r="S30" s="134"/>
      <c r="T30" s="132"/>
    </row>
    <row r="31" spans="1:20" s="8" customFormat="1" ht="15" thickBot="1">
      <c r="B31" s="249" t="s">
        <v>109</v>
      </c>
      <c r="C31" s="41"/>
      <c r="D31" s="42"/>
      <c r="E31" s="42"/>
      <c r="F31" s="252">
        <f>RealisticTradlDCFproforma!F16</f>
        <v>50</v>
      </c>
      <c r="G31" s="252">
        <f>RealisticTradlDCFproforma!G16</f>
        <v>51.000000000000007</v>
      </c>
      <c r="H31" s="252">
        <f>RealisticTradlDCFproforma!H16</f>
        <v>52.02</v>
      </c>
      <c r="I31" s="252">
        <f>RealisticTradlDCFproforma!I16</f>
        <v>53.060400000000008</v>
      </c>
      <c r="J31" s="252">
        <f>RealisticTradlDCFproforma!J16</f>
        <v>54.121607999999995</v>
      </c>
      <c r="K31" s="252">
        <f>RealisticTradlDCFproforma!K16</f>
        <v>55.204040160000005</v>
      </c>
      <c r="L31" s="252">
        <f>RealisticTradlDCFproforma!L16</f>
        <v>56.308120963200011</v>
      </c>
      <c r="M31" s="252">
        <f>RealisticTradlDCFproforma!M16</f>
        <v>57.43428338246401</v>
      </c>
      <c r="N31" s="252">
        <f>RealisticTradlDCFproforma!N16</f>
        <v>58.582969050113292</v>
      </c>
      <c r="O31" s="253">
        <f>RealisticTradlDCFproforma!O16</f>
        <v>59.754628431115556</v>
      </c>
      <c r="P31" s="265">
        <f>RealisticTradlDCFproforma!P16</f>
        <v>60.949720999737863</v>
      </c>
      <c r="Q31" s="7"/>
      <c r="R31" s="7"/>
    </row>
    <row r="32" spans="1:20" s="8" customFormat="1">
      <c r="B32" s="249" t="s">
        <v>110</v>
      </c>
      <c r="C32" s="44"/>
      <c r="D32" s="42"/>
      <c r="E32" s="42"/>
      <c r="F32" s="252"/>
      <c r="G32" s="252"/>
      <c r="H32" s="252"/>
      <c r="I32" s="252"/>
      <c r="J32" s="252"/>
      <c r="K32" s="252"/>
      <c r="L32" s="252"/>
      <c r="M32" s="252"/>
      <c r="N32" s="252"/>
      <c r="O32" s="253">
        <f>RealisticTradlDCFproforma!O17</f>
        <v>1218.9944199947572</v>
      </c>
      <c r="P32" s="252"/>
      <c r="Q32" s="7"/>
      <c r="R32" s="7"/>
    </row>
    <row r="33" spans="2:18" s="8" customFormat="1" ht="15" thickBot="1">
      <c r="B33" s="251" t="s">
        <v>111</v>
      </c>
      <c r="C33" s="44"/>
      <c r="D33" s="42"/>
      <c r="E33" s="42"/>
      <c r="F33" s="252">
        <f>RealisticTradlDCFproforma!F18</f>
        <v>50</v>
      </c>
      <c r="G33" s="252">
        <f>RealisticTradlDCFproforma!G18</f>
        <v>51.000000000000007</v>
      </c>
      <c r="H33" s="252">
        <f>RealisticTradlDCFproforma!H18</f>
        <v>52.02</v>
      </c>
      <c r="I33" s="252">
        <f>RealisticTradlDCFproforma!I18</f>
        <v>53.060400000000008</v>
      </c>
      <c r="J33" s="252">
        <f>RealisticTradlDCFproforma!J18</f>
        <v>54.121607999999995</v>
      </c>
      <c r="K33" s="252">
        <f>RealisticTradlDCFproforma!K18</f>
        <v>55.204040160000005</v>
      </c>
      <c r="L33" s="252">
        <f>RealisticTradlDCFproforma!L18</f>
        <v>56.308120963200011</v>
      </c>
      <c r="M33" s="252">
        <f>RealisticTradlDCFproforma!M18</f>
        <v>57.43428338246401</v>
      </c>
      <c r="N33" s="252">
        <f>RealisticTradlDCFproforma!N18</f>
        <v>58.582969050113292</v>
      </c>
      <c r="O33" s="253">
        <f>RealisticTradlDCFproforma!O18</f>
        <v>1278.7490484258728</v>
      </c>
      <c r="P33" s="252"/>
      <c r="Q33" s="7"/>
      <c r="R33" s="7"/>
    </row>
    <row r="34" spans="2:18" s="8" customFormat="1" ht="15" thickTop="1">
      <c r="B34" s="108" t="s">
        <v>55</v>
      </c>
      <c r="C34" s="44"/>
      <c r="D34" s="42"/>
      <c r="E34" s="252">
        <f>RealisticTradlDCFproforma!E19</f>
        <v>999.99999999999955</v>
      </c>
      <c r="F34" s="252"/>
      <c r="G34" s="252"/>
      <c r="H34" s="252"/>
      <c r="I34" s="252"/>
      <c r="J34" s="252"/>
      <c r="K34" s="252"/>
      <c r="L34" s="252"/>
      <c r="M34" s="252"/>
      <c r="N34" s="252"/>
      <c r="O34" s="253"/>
      <c r="P34" s="252"/>
    </row>
    <row r="35" spans="2:18" s="8" customFormat="1" ht="15" thickBot="1">
      <c r="B35" s="152" t="s">
        <v>96</v>
      </c>
      <c r="C35" s="92"/>
      <c r="D35" s="107">
        <f>RealisticTradlDCFproforma!D20</f>
        <v>7.0000000000267404E-2</v>
      </c>
      <c r="E35" s="261">
        <f>RealisticTradlDCFproforma!E20</f>
        <v>-999.99999999999955</v>
      </c>
      <c r="F35" s="261">
        <f>RealisticTradlDCFproforma!F20</f>
        <v>50</v>
      </c>
      <c r="G35" s="261">
        <f>RealisticTradlDCFproforma!G20</f>
        <v>51.000000000000007</v>
      </c>
      <c r="H35" s="261">
        <f>RealisticTradlDCFproforma!H20</f>
        <v>52.02</v>
      </c>
      <c r="I35" s="261">
        <f>RealisticTradlDCFproforma!I20</f>
        <v>53.060400000000008</v>
      </c>
      <c r="J35" s="261">
        <f>RealisticTradlDCFproforma!J20</f>
        <v>54.121607999999995</v>
      </c>
      <c r="K35" s="261">
        <f>RealisticTradlDCFproforma!K20</f>
        <v>55.204040160000005</v>
      </c>
      <c r="L35" s="261">
        <f>RealisticTradlDCFproforma!L20</f>
        <v>56.308120963200011</v>
      </c>
      <c r="M35" s="261">
        <f>RealisticTradlDCFproforma!M20</f>
        <v>57.43428338246401</v>
      </c>
      <c r="N35" s="261">
        <f>RealisticTradlDCFproforma!N20</f>
        <v>58.582969050113292</v>
      </c>
      <c r="O35" s="262">
        <f>RealisticTradlDCFproforma!O20</f>
        <v>1278.7490484258728</v>
      </c>
      <c r="P35" s="252"/>
    </row>
    <row r="36" spans="2:18" s="8" customFormat="1">
      <c r="B36" s="110" t="s">
        <v>54</v>
      </c>
      <c r="C36" s="111">
        <f>10</f>
        <v>10</v>
      </c>
      <c r="D36" s="42"/>
      <c r="E36" s="42"/>
      <c r="F36" s="42"/>
      <c r="G36" s="42"/>
      <c r="H36" s="42"/>
      <c r="I36" s="42"/>
      <c r="J36" s="42"/>
      <c r="K36" s="42"/>
      <c r="L36" s="42"/>
      <c r="M36" s="42"/>
      <c r="N36" s="42"/>
      <c r="O36" s="42"/>
    </row>
    <row r="37" spans="2:18" s="8" customFormat="1">
      <c r="B37" s="109" t="s">
        <v>53</v>
      </c>
      <c r="C37" s="150">
        <f>AVERAGE(F31:O31)</f>
        <v>54.748604998689288</v>
      </c>
      <c r="D37" s="42"/>
      <c r="E37" s="42"/>
      <c r="F37" s="42"/>
      <c r="G37" s="42"/>
      <c r="H37" s="42"/>
      <c r="I37" s="42"/>
      <c r="J37" s="42"/>
      <c r="K37" s="42"/>
      <c r="L37" s="42"/>
      <c r="M37" s="42"/>
      <c r="N37" s="42"/>
      <c r="O37" s="42"/>
    </row>
    <row r="38" spans="2:18" s="8" customFormat="1">
      <c r="B38" s="44"/>
      <c r="C38" s="41"/>
      <c r="D38" s="42"/>
      <c r="E38" s="42"/>
      <c r="F38" s="42"/>
      <c r="G38" s="42"/>
      <c r="H38" s="42"/>
      <c r="I38" s="42"/>
      <c r="J38" s="42"/>
      <c r="K38" s="42"/>
      <c r="L38" s="42"/>
      <c r="M38" s="42"/>
      <c r="N38" s="42"/>
      <c r="O38" s="42"/>
    </row>
    <row r="39" spans="2:18" s="8" customFormat="1">
      <c r="B39" s="41"/>
      <c r="C39" s="41"/>
      <c r="D39" s="42"/>
      <c r="E39" s="42"/>
      <c r="F39" s="42"/>
      <c r="G39" s="42"/>
      <c r="H39" s="42"/>
      <c r="I39" s="42"/>
      <c r="J39" s="42"/>
      <c r="K39" s="42"/>
      <c r="L39" s="42"/>
      <c r="M39" s="42"/>
      <c r="N39" s="42"/>
      <c r="O39" s="42"/>
    </row>
    <row r="40" spans="2:18" s="8" customFormat="1">
      <c r="B40" s="41"/>
      <c r="C40" s="41"/>
      <c r="D40" s="42"/>
      <c r="E40" s="42"/>
      <c r="F40" s="42"/>
      <c r="G40" s="42"/>
      <c r="H40" s="42"/>
      <c r="I40" s="42"/>
      <c r="J40" s="42"/>
      <c r="K40" s="42"/>
      <c r="L40" s="42"/>
      <c r="M40" s="42"/>
      <c r="N40" s="42"/>
      <c r="O40" s="42"/>
    </row>
    <row r="41" spans="2:18" s="8" customFormat="1">
      <c r="B41" s="40"/>
      <c r="C41" s="41"/>
      <c r="D41" s="42"/>
      <c r="E41" s="42"/>
      <c r="F41" s="42"/>
      <c r="G41" s="42"/>
      <c r="H41" s="42"/>
      <c r="I41" s="42"/>
      <c r="J41" s="42"/>
      <c r="K41" s="42"/>
      <c r="L41" s="42"/>
      <c r="M41" s="42"/>
      <c r="N41" s="42"/>
      <c r="O41" s="42"/>
    </row>
    <row r="42" spans="2:18" s="8" customFormat="1">
      <c r="B42" s="44"/>
      <c r="C42" s="41"/>
      <c r="D42" s="42"/>
      <c r="E42" s="42"/>
      <c r="F42" s="42"/>
      <c r="G42" s="42"/>
      <c r="H42" s="42"/>
      <c r="I42" s="42"/>
      <c r="J42" s="42"/>
      <c r="K42" s="42"/>
      <c r="L42" s="42"/>
      <c r="M42" s="42"/>
      <c r="N42" s="42"/>
      <c r="O42" s="42"/>
    </row>
    <row r="43" spans="2:18" s="8" customFormat="1">
      <c r="B43" s="44"/>
      <c r="C43" s="41"/>
      <c r="D43" s="42"/>
      <c r="E43" s="42"/>
      <c r="F43" s="42"/>
      <c r="G43" s="42"/>
      <c r="H43" s="42"/>
      <c r="I43" s="42"/>
      <c r="J43" s="42"/>
      <c r="K43" s="42"/>
      <c r="L43" s="42"/>
      <c r="M43" s="42"/>
      <c r="N43" s="42"/>
      <c r="O43" s="42"/>
    </row>
    <row r="44" spans="2:18" s="8" customFormat="1">
      <c r="B44" s="44"/>
      <c r="C44" s="41"/>
      <c r="D44" s="42"/>
      <c r="E44" s="42"/>
      <c r="F44" s="42"/>
      <c r="G44" s="42"/>
      <c r="H44" s="42"/>
      <c r="I44" s="42"/>
      <c r="J44" s="42"/>
      <c r="K44" s="42"/>
      <c r="L44" s="42"/>
      <c r="M44" s="42"/>
      <c r="N44" s="42"/>
      <c r="O44" s="42"/>
    </row>
    <row r="45" spans="2:18" s="8" customFormat="1">
      <c r="B45" s="44"/>
      <c r="C45" s="41"/>
      <c r="D45" s="42"/>
      <c r="E45" s="42"/>
      <c r="F45" s="42"/>
      <c r="G45" s="42"/>
      <c r="H45" s="42"/>
      <c r="I45" s="42"/>
      <c r="J45" s="42"/>
      <c r="K45" s="42"/>
      <c r="L45" s="42"/>
      <c r="M45" s="42"/>
      <c r="N45" s="42"/>
      <c r="O45" s="42"/>
    </row>
    <row r="46" spans="2:18" s="8" customFormat="1">
      <c r="B46" s="41"/>
      <c r="C46" s="41"/>
      <c r="D46" s="42"/>
      <c r="E46" s="42"/>
      <c r="F46" s="42"/>
      <c r="G46" s="42"/>
      <c r="H46" s="42"/>
      <c r="I46" s="42"/>
      <c r="J46" s="42"/>
      <c r="K46" s="42"/>
      <c r="L46" s="42"/>
      <c r="M46" s="42"/>
      <c r="N46" s="42"/>
      <c r="O46" s="42"/>
    </row>
    <row r="47" spans="2:18" s="8" customFormat="1">
      <c r="B47" s="41"/>
      <c r="C47" s="41"/>
      <c r="D47" s="42"/>
      <c r="E47" s="42"/>
      <c r="F47" s="42"/>
      <c r="G47" s="42"/>
      <c r="H47" s="42"/>
      <c r="I47" s="42"/>
      <c r="J47" s="42"/>
      <c r="K47" s="42"/>
      <c r="L47" s="42"/>
      <c r="M47" s="42"/>
      <c r="N47" s="42"/>
      <c r="O47" s="42"/>
    </row>
    <row r="48" spans="2:18" s="8" customFormat="1">
      <c r="B48" s="45"/>
      <c r="C48" s="40"/>
      <c r="D48" s="46"/>
      <c r="E48" s="46"/>
      <c r="F48" s="46"/>
      <c r="G48" s="46"/>
      <c r="H48" s="46"/>
      <c r="I48" s="46"/>
      <c r="J48" s="46"/>
      <c r="K48" s="46"/>
      <c r="L48" s="46"/>
      <c r="M48" s="46"/>
      <c r="N48" s="46"/>
      <c r="O48" s="46"/>
    </row>
    <row r="49" spans="2:15" s="8" customFormat="1">
      <c r="B49" s="45"/>
      <c r="C49" s="40"/>
      <c r="D49" s="46"/>
      <c r="E49" s="46"/>
      <c r="F49" s="46"/>
      <c r="G49" s="46"/>
      <c r="H49" s="46"/>
      <c r="I49" s="46"/>
      <c r="J49" s="46"/>
      <c r="K49" s="46"/>
      <c r="L49" s="46"/>
      <c r="M49" s="46"/>
      <c r="N49" s="46"/>
      <c r="O49" s="46"/>
    </row>
    <row r="50" spans="2:15" s="8" customFormat="1">
      <c r="B50" s="41"/>
      <c r="C50" s="41"/>
      <c r="D50" s="42"/>
      <c r="E50" s="42"/>
      <c r="F50" s="42"/>
      <c r="G50" s="42"/>
      <c r="H50" s="42"/>
      <c r="I50" s="42"/>
      <c r="J50" s="42"/>
      <c r="K50" s="42"/>
      <c r="L50" s="42"/>
      <c r="M50" s="42"/>
      <c r="N50" s="42"/>
      <c r="O50" s="42"/>
    </row>
    <row r="51" spans="2:15" s="8" customFormat="1">
      <c r="B51" s="47"/>
      <c r="C51" s="42"/>
      <c r="D51" s="48"/>
      <c r="E51" s="42"/>
      <c r="F51" s="42"/>
      <c r="G51" s="42"/>
      <c r="H51" s="42"/>
      <c r="I51" s="42"/>
      <c r="J51" s="42"/>
      <c r="K51" s="42"/>
      <c r="L51" s="42"/>
      <c r="M51" s="42"/>
      <c r="N51" s="42"/>
      <c r="O51" s="42"/>
    </row>
    <row r="52" spans="2:15" s="8" customFormat="1">
      <c r="B52" s="47"/>
      <c r="C52" s="42"/>
      <c r="D52" s="49"/>
      <c r="E52" s="42"/>
      <c r="F52" s="42"/>
      <c r="G52" s="42"/>
      <c r="H52" s="42"/>
      <c r="I52" s="42"/>
      <c r="J52" s="42"/>
      <c r="K52" s="42"/>
      <c r="L52" s="42"/>
      <c r="M52" s="42"/>
      <c r="N52" s="42"/>
      <c r="O52" s="42"/>
    </row>
    <row r="53" spans="2:15" s="8" customFormat="1">
      <c r="B53" s="47"/>
      <c r="C53" s="42"/>
      <c r="D53" s="49"/>
      <c r="E53" s="42"/>
      <c r="F53" s="42"/>
      <c r="G53" s="42"/>
      <c r="H53" s="42"/>
      <c r="I53" s="42"/>
      <c r="J53" s="42"/>
      <c r="K53" s="42"/>
      <c r="L53" s="42"/>
      <c r="M53" s="42"/>
      <c r="N53" s="42"/>
      <c r="O53" s="42"/>
    </row>
    <row r="54" spans="2:15" s="8" customFormat="1">
      <c r="B54" s="41"/>
      <c r="C54" s="41"/>
      <c r="D54" s="42"/>
      <c r="E54" s="42"/>
      <c r="F54" s="42"/>
      <c r="G54" s="42"/>
      <c r="H54" s="42"/>
      <c r="I54" s="42"/>
      <c r="J54" s="42"/>
      <c r="K54" s="42"/>
      <c r="L54" s="42"/>
      <c r="M54" s="42"/>
      <c r="N54" s="42"/>
      <c r="O54" s="42"/>
    </row>
    <row r="55" spans="2:15" s="8" customFormat="1">
      <c r="B55" s="40"/>
      <c r="C55" s="41"/>
      <c r="D55" s="42"/>
      <c r="E55" s="42"/>
      <c r="F55" s="42"/>
      <c r="G55" s="42"/>
      <c r="H55" s="42"/>
      <c r="I55" s="42"/>
      <c r="J55" s="42"/>
      <c r="K55" s="42"/>
      <c r="L55" s="42"/>
      <c r="M55" s="42"/>
      <c r="N55" s="42"/>
      <c r="O55" s="42"/>
    </row>
    <row r="56" spans="2:15" s="8" customFormat="1">
      <c r="B56" s="44"/>
      <c r="C56" s="41"/>
      <c r="D56" s="42"/>
      <c r="E56" s="42"/>
      <c r="F56" s="42"/>
      <c r="G56" s="42"/>
      <c r="H56" s="42"/>
      <c r="I56" s="42"/>
      <c r="J56" s="42"/>
      <c r="K56" s="42"/>
      <c r="L56" s="42"/>
      <c r="M56" s="42"/>
      <c r="N56" s="42"/>
      <c r="O56" s="42"/>
    </row>
    <row r="57" spans="2:15" s="8" customFormat="1">
      <c r="B57" s="44"/>
      <c r="C57" s="41"/>
      <c r="D57" s="42"/>
      <c r="E57" s="42"/>
      <c r="F57" s="42"/>
      <c r="G57" s="42"/>
      <c r="H57" s="42"/>
      <c r="I57" s="42"/>
      <c r="J57" s="42"/>
      <c r="K57" s="42"/>
      <c r="L57" s="42"/>
      <c r="M57" s="42"/>
      <c r="N57" s="42"/>
      <c r="O57" s="42"/>
    </row>
    <row r="58" spans="2:15" s="8" customFormat="1">
      <c r="B58" s="44"/>
      <c r="C58" s="41"/>
      <c r="D58" s="42"/>
      <c r="E58" s="42"/>
      <c r="F58" s="42"/>
      <c r="G58" s="42"/>
      <c r="H58" s="42"/>
      <c r="I58" s="42"/>
      <c r="J58" s="42"/>
      <c r="K58" s="42"/>
      <c r="L58" s="42"/>
      <c r="M58" s="42"/>
      <c r="N58" s="42"/>
      <c r="O58" s="42"/>
    </row>
    <row r="59" spans="2:15" s="8" customFormat="1">
      <c r="B59" s="44"/>
      <c r="C59" s="41"/>
      <c r="D59" s="42"/>
      <c r="E59" s="42"/>
      <c r="F59" s="42"/>
      <c r="G59" s="42"/>
      <c r="H59" s="42"/>
      <c r="I59" s="42"/>
      <c r="J59" s="42"/>
      <c r="K59" s="42"/>
      <c r="L59" s="42"/>
      <c r="M59" s="42"/>
      <c r="N59" s="42"/>
      <c r="O59" s="42"/>
    </row>
    <row r="60" spans="2:15" s="8" customFormat="1">
      <c r="B60" s="44"/>
      <c r="C60" s="41"/>
      <c r="D60" s="42"/>
      <c r="E60" s="42"/>
      <c r="F60" s="42"/>
      <c r="G60" s="42"/>
      <c r="H60" s="42"/>
      <c r="I60" s="42"/>
      <c r="J60" s="42"/>
      <c r="K60" s="42"/>
      <c r="L60" s="42"/>
      <c r="M60" s="42"/>
      <c r="N60" s="42"/>
      <c r="O60" s="42"/>
    </row>
    <row r="61" spans="2:15" s="8" customFormat="1">
      <c r="B61" s="45"/>
      <c r="C61" s="40"/>
      <c r="D61" s="46"/>
      <c r="E61" s="46"/>
      <c r="F61" s="46"/>
      <c r="G61" s="46"/>
      <c r="H61" s="46"/>
      <c r="I61" s="46"/>
      <c r="J61" s="46"/>
      <c r="K61" s="46"/>
      <c r="L61" s="46"/>
      <c r="M61" s="46"/>
      <c r="N61" s="46"/>
      <c r="O61" s="46"/>
    </row>
    <row r="62" spans="2:15" s="8" customFormat="1">
      <c r="B62" s="45"/>
      <c r="C62" s="40"/>
      <c r="D62" s="46"/>
      <c r="E62" s="46"/>
      <c r="F62" s="46"/>
      <c r="G62" s="46"/>
      <c r="H62" s="46"/>
      <c r="I62" s="46"/>
      <c r="J62" s="46"/>
      <c r="K62" s="46"/>
      <c r="L62" s="46"/>
      <c r="M62" s="46"/>
      <c r="N62" s="46"/>
      <c r="O62" s="46"/>
    </row>
    <row r="63" spans="2:15" s="8" customFormat="1">
      <c r="B63" s="41"/>
      <c r="C63" s="41"/>
      <c r="D63" s="42"/>
      <c r="E63" s="42"/>
      <c r="F63" s="42"/>
      <c r="G63" s="42"/>
      <c r="H63" s="42"/>
      <c r="I63" s="42"/>
      <c r="J63" s="42"/>
      <c r="K63" s="42"/>
      <c r="L63" s="42"/>
      <c r="M63" s="42"/>
      <c r="N63" s="42"/>
      <c r="O63" s="42"/>
    </row>
    <row r="64" spans="2:15" s="8" customFormat="1">
      <c r="B64" s="47"/>
      <c r="C64" s="42"/>
      <c r="D64" s="48"/>
      <c r="E64" s="42"/>
      <c r="F64" s="42"/>
      <c r="G64" s="42"/>
      <c r="H64" s="42"/>
      <c r="I64" s="42"/>
      <c r="J64" s="42"/>
      <c r="K64" s="42"/>
      <c r="L64" s="42"/>
      <c r="M64" s="42"/>
      <c r="N64" s="42"/>
      <c r="O64" s="42"/>
    </row>
    <row r="65" spans="2:15" s="8" customFormat="1">
      <c r="B65" s="47"/>
      <c r="C65" s="42"/>
      <c r="D65" s="49"/>
      <c r="E65" s="42"/>
      <c r="F65" s="42"/>
      <c r="G65" s="42"/>
      <c r="H65" s="42"/>
      <c r="I65" s="42"/>
      <c r="J65" s="42"/>
      <c r="K65" s="42"/>
      <c r="L65" s="42"/>
      <c r="M65" s="42"/>
      <c r="N65" s="42"/>
      <c r="O65" s="42"/>
    </row>
    <row r="66" spans="2:15" s="8" customFormat="1">
      <c r="B66" s="47"/>
      <c r="C66" s="42"/>
      <c r="D66" s="49"/>
      <c r="E66" s="42"/>
      <c r="F66" s="42"/>
      <c r="G66" s="42"/>
      <c r="H66" s="42"/>
      <c r="I66" s="42"/>
      <c r="J66" s="42"/>
      <c r="K66" s="42"/>
      <c r="L66" s="42"/>
      <c r="M66" s="42"/>
      <c r="N66" s="42"/>
      <c r="O66" s="42"/>
    </row>
    <row r="67" spans="2:15" s="8" customFormat="1">
      <c r="E67" s="50"/>
      <c r="F67" s="50"/>
      <c r="G67" s="50"/>
      <c r="H67" s="50"/>
      <c r="I67" s="50"/>
      <c r="J67" s="50"/>
      <c r="K67" s="50"/>
      <c r="L67" s="50"/>
      <c r="M67" s="50"/>
      <c r="N67" s="50"/>
      <c r="O67" s="50"/>
    </row>
    <row r="68" spans="2:15" s="8" customFormat="1">
      <c r="E68" s="50"/>
      <c r="F68" s="50"/>
      <c r="G68" s="50"/>
      <c r="H68" s="50"/>
      <c r="I68" s="50"/>
      <c r="J68" s="50"/>
      <c r="K68" s="50"/>
      <c r="L68" s="50"/>
      <c r="M68" s="50"/>
      <c r="N68" s="50"/>
      <c r="O68" s="50"/>
    </row>
    <row r="69" spans="2:15" s="8" customFormat="1">
      <c r="E69" s="50"/>
      <c r="F69" s="50"/>
      <c r="G69" s="50"/>
      <c r="H69" s="50"/>
      <c r="I69" s="50"/>
      <c r="J69" s="50"/>
      <c r="K69" s="50"/>
      <c r="L69" s="50"/>
      <c r="M69" s="50"/>
      <c r="N69" s="50"/>
      <c r="O69" s="50"/>
    </row>
    <row r="70" spans="2:15" s="8" customFormat="1">
      <c r="B70" s="4"/>
      <c r="D70" s="51"/>
      <c r="E70" s="21"/>
      <c r="F70" s="21"/>
      <c r="G70" s="21"/>
      <c r="H70" s="21"/>
      <c r="I70" s="21"/>
      <c r="J70" s="21"/>
      <c r="K70" s="21"/>
      <c r="L70" s="21"/>
      <c r="M70" s="21"/>
      <c r="N70" s="21"/>
      <c r="O70" s="21"/>
    </row>
    <row r="71" spans="2:15" s="8" customFormat="1">
      <c r="B71" s="36"/>
      <c r="D71" s="52"/>
      <c r="E71" s="52"/>
      <c r="F71" s="52"/>
      <c r="G71" s="52"/>
      <c r="H71" s="52"/>
      <c r="I71" s="52"/>
      <c r="J71" s="52"/>
      <c r="K71" s="52"/>
      <c r="L71" s="52"/>
      <c r="M71" s="52"/>
      <c r="N71" s="52"/>
      <c r="O71" s="52"/>
    </row>
    <row r="72" spans="2:15" s="8" customFormat="1">
      <c r="B72" s="36"/>
      <c r="D72" s="52"/>
      <c r="E72" s="52"/>
      <c r="F72" s="52"/>
      <c r="G72" s="52"/>
      <c r="H72" s="52"/>
      <c r="I72" s="52"/>
      <c r="J72" s="52"/>
      <c r="K72" s="52"/>
      <c r="L72" s="52"/>
      <c r="M72" s="52"/>
      <c r="N72" s="52"/>
      <c r="O72" s="52"/>
    </row>
    <row r="73" spans="2:15" s="8" customFormat="1">
      <c r="B73" s="36"/>
      <c r="D73" s="52"/>
      <c r="E73" s="52"/>
      <c r="F73" s="52"/>
      <c r="G73" s="52"/>
      <c r="H73" s="52"/>
      <c r="I73" s="52"/>
      <c r="J73" s="52"/>
      <c r="K73" s="52"/>
      <c r="L73" s="52"/>
      <c r="M73" s="52"/>
      <c r="N73" s="52"/>
      <c r="O73" s="52"/>
    </row>
    <row r="74" spans="2:15" s="8" customFormat="1">
      <c r="B74" s="36"/>
      <c r="D74" s="52"/>
      <c r="E74" s="52"/>
      <c r="F74" s="52"/>
      <c r="G74" s="52"/>
      <c r="H74" s="52"/>
      <c r="I74" s="52"/>
      <c r="J74" s="52"/>
      <c r="K74" s="52"/>
      <c r="L74" s="52"/>
      <c r="M74" s="52"/>
      <c r="N74" s="52"/>
      <c r="O74" s="52"/>
    </row>
    <row r="75" spans="2:15" s="8" customFormat="1">
      <c r="B75" s="36"/>
      <c r="D75" s="52"/>
      <c r="E75" s="52"/>
      <c r="F75" s="52"/>
      <c r="G75" s="52"/>
      <c r="H75" s="52"/>
      <c r="I75" s="52"/>
      <c r="J75" s="52"/>
      <c r="K75" s="52"/>
      <c r="L75" s="52"/>
      <c r="M75" s="52"/>
      <c r="N75" s="52"/>
      <c r="O75" s="52"/>
    </row>
    <row r="76" spans="2:15" s="8" customFormat="1">
      <c r="E76" s="36"/>
      <c r="F76" s="53"/>
      <c r="G76" s="53"/>
      <c r="H76" s="53"/>
      <c r="I76" s="53"/>
      <c r="J76" s="54"/>
      <c r="K76" s="54"/>
      <c r="L76" s="54"/>
      <c r="M76" s="54"/>
      <c r="O76" s="36"/>
    </row>
    <row r="77" spans="2:15" s="8" customFormat="1">
      <c r="B77" s="4"/>
      <c r="D77" s="51"/>
      <c r="E77" s="21"/>
      <c r="F77" s="21"/>
      <c r="G77" s="21"/>
      <c r="H77" s="21"/>
      <c r="I77" s="21"/>
      <c r="J77" s="21"/>
      <c r="K77" s="21"/>
      <c r="L77" s="21"/>
      <c r="M77" s="21"/>
      <c r="N77" s="21"/>
      <c r="O77" s="21"/>
    </row>
    <row r="78" spans="2:15" s="8" customFormat="1">
      <c r="D78" s="52"/>
      <c r="E78" s="52"/>
      <c r="F78" s="52"/>
      <c r="G78" s="52"/>
      <c r="H78" s="52"/>
      <c r="I78" s="52"/>
      <c r="J78" s="52"/>
      <c r="K78" s="52"/>
      <c r="L78" s="52"/>
      <c r="M78" s="52"/>
      <c r="N78" s="52"/>
      <c r="O78" s="52"/>
    </row>
    <row r="79" spans="2:15" s="8" customFormat="1">
      <c r="D79" s="52"/>
      <c r="E79" s="52"/>
      <c r="F79" s="52"/>
      <c r="G79" s="52"/>
      <c r="H79" s="52"/>
      <c r="I79" s="52"/>
      <c r="J79" s="52"/>
      <c r="K79" s="52"/>
      <c r="L79" s="52"/>
      <c r="M79" s="52"/>
      <c r="N79" s="52"/>
      <c r="O79" s="52"/>
    </row>
    <row r="80" spans="2:15" s="8" customFormat="1">
      <c r="D80" s="52"/>
      <c r="E80" s="55"/>
      <c r="F80" s="52"/>
      <c r="G80" s="52"/>
      <c r="H80" s="52"/>
      <c r="I80" s="52"/>
      <c r="J80" s="52"/>
      <c r="K80" s="52"/>
      <c r="L80" s="52"/>
      <c r="M80" s="52"/>
      <c r="N80" s="52"/>
      <c r="O80" s="52"/>
    </row>
    <row r="81" spans="2:15" s="8" customFormat="1">
      <c r="D81" s="52"/>
      <c r="E81" s="52"/>
      <c r="F81" s="52"/>
      <c r="G81" s="52"/>
      <c r="H81" s="52"/>
      <c r="I81" s="52"/>
      <c r="J81" s="52"/>
      <c r="K81" s="52"/>
      <c r="L81" s="52"/>
      <c r="M81" s="52"/>
      <c r="N81" s="52"/>
      <c r="O81" s="52"/>
    </row>
    <row r="82" spans="2:15" s="8" customFormat="1">
      <c r="D82" s="52"/>
      <c r="E82" s="52"/>
      <c r="F82" s="52"/>
      <c r="G82" s="52"/>
      <c r="H82" s="52"/>
      <c r="I82" s="52"/>
      <c r="J82" s="52"/>
      <c r="K82" s="52"/>
      <c r="L82" s="52"/>
      <c r="M82" s="52"/>
      <c r="N82" s="52"/>
      <c r="O82" s="52"/>
    </row>
    <row r="83" spans="2:15" s="8" customFormat="1">
      <c r="D83" s="52"/>
      <c r="E83" s="55"/>
      <c r="F83" s="52"/>
      <c r="G83" s="52"/>
      <c r="H83" s="52"/>
      <c r="I83" s="52"/>
      <c r="J83" s="52"/>
      <c r="K83" s="52"/>
      <c r="L83" s="52"/>
      <c r="M83" s="52"/>
      <c r="N83" s="52"/>
      <c r="O83" s="52"/>
    </row>
    <row r="84" spans="2:15" s="8" customFormat="1">
      <c r="E84" s="36"/>
      <c r="F84" s="36"/>
      <c r="G84" s="36"/>
      <c r="H84" s="36"/>
      <c r="I84" s="36"/>
      <c r="J84" s="36"/>
      <c r="K84" s="36"/>
      <c r="L84" s="36"/>
      <c r="M84" s="36"/>
      <c r="N84" s="36"/>
      <c r="O84" s="36"/>
    </row>
    <row r="85" spans="2:15" s="8" customFormat="1">
      <c r="B85" s="4"/>
      <c r="D85" s="51"/>
      <c r="E85" s="21"/>
      <c r="F85" s="21"/>
      <c r="G85" s="21"/>
      <c r="H85" s="21"/>
      <c r="I85" s="21"/>
      <c r="J85" s="21"/>
      <c r="K85" s="21"/>
      <c r="L85" s="21"/>
      <c r="M85" s="21"/>
      <c r="N85" s="21"/>
      <c r="O85" s="21"/>
    </row>
    <row r="86" spans="2:15" s="8" customFormat="1">
      <c r="B86" s="4"/>
      <c r="D86" s="56"/>
      <c r="E86" s="57"/>
      <c r="F86" s="56"/>
      <c r="G86" s="56"/>
      <c r="H86" s="56"/>
      <c r="I86" s="56"/>
      <c r="J86" s="56"/>
      <c r="K86" s="56"/>
      <c r="L86" s="56"/>
      <c r="M86" s="56"/>
      <c r="N86" s="56"/>
      <c r="O86" s="56"/>
    </row>
    <row r="87" spans="2:15" s="8" customFormat="1">
      <c r="B87" s="34"/>
      <c r="D87" s="56"/>
      <c r="E87" s="56"/>
      <c r="F87" s="56"/>
      <c r="G87" s="56"/>
      <c r="H87" s="56"/>
      <c r="I87" s="56"/>
      <c r="J87" s="56"/>
      <c r="K87" s="56"/>
      <c r="L87" s="56"/>
      <c r="M87" s="56"/>
      <c r="N87" s="56"/>
      <c r="O87" s="56"/>
    </row>
    <row r="88" spans="2:15" s="8" customFormat="1">
      <c r="B88" s="34"/>
      <c r="D88" s="56"/>
      <c r="E88" s="58"/>
      <c r="F88" s="58"/>
      <c r="G88" s="58"/>
      <c r="H88" s="58"/>
      <c r="I88" s="58"/>
      <c r="J88" s="58"/>
      <c r="K88" s="58"/>
      <c r="L88" s="58"/>
      <c r="M88" s="58"/>
      <c r="N88" s="58"/>
      <c r="O88" s="58"/>
    </row>
    <row r="89" spans="2:15" s="8" customFormat="1">
      <c r="B89" s="34"/>
      <c r="D89" s="56"/>
      <c r="E89" s="56"/>
      <c r="F89" s="20"/>
      <c r="G89" s="20"/>
      <c r="H89" s="20"/>
      <c r="I89" s="20"/>
      <c r="J89" s="20"/>
      <c r="K89" s="20"/>
      <c r="L89" s="20"/>
      <c r="M89" s="20"/>
      <c r="N89" s="20"/>
      <c r="O89" s="20"/>
    </row>
    <row r="90" spans="2:15" s="8" customFormat="1">
      <c r="B90" s="34"/>
      <c r="D90" s="56"/>
      <c r="E90" s="56"/>
      <c r="F90" s="20"/>
      <c r="G90" s="20"/>
      <c r="H90" s="20"/>
      <c r="I90" s="20"/>
      <c r="J90" s="20"/>
      <c r="K90" s="20"/>
      <c r="L90" s="20"/>
      <c r="M90" s="20"/>
      <c r="N90" s="20"/>
      <c r="O90" s="20"/>
    </row>
    <row r="91" spans="2:15" s="8" customFormat="1">
      <c r="B91" s="34"/>
      <c r="D91" s="56"/>
      <c r="E91" s="59"/>
      <c r="F91" s="59"/>
      <c r="G91" s="59"/>
      <c r="H91" s="59"/>
      <c r="I91" s="59"/>
      <c r="J91" s="59"/>
      <c r="K91" s="59"/>
      <c r="L91" s="59"/>
      <c r="M91" s="59"/>
      <c r="N91" s="59"/>
      <c r="O91" s="59"/>
    </row>
    <row r="92" spans="2:15" s="8" customFormat="1">
      <c r="B92" s="34"/>
      <c r="D92" s="56"/>
      <c r="E92" s="56"/>
      <c r="F92" s="20"/>
      <c r="G92" s="20"/>
      <c r="H92" s="20"/>
      <c r="I92" s="20"/>
      <c r="J92" s="20"/>
      <c r="K92" s="20"/>
      <c r="L92" s="20"/>
      <c r="M92" s="20"/>
      <c r="N92" s="20"/>
      <c r="O92" s="20"/>
    </row>
    <row r="93" spans="2:15" s="8" customFormat="1">
      <c r="B93" s="34"/>
      <c r="D93" s="56"/>
      <c r="E93" s="60"/>
      <c r="F93" s="60"/>
      <c r="G93" s="60"/>
      <c r="H93" s="60"/>
      <c r="I93" s="60"/>
      <c r="J93" s="60"/>
      <c r="K93" s="60"/>
      <c r="L93" s="60"/>
      <c r="M93" s="60"/>
      <c r="N93" s="60"/>
      <c r="O93" s="60"/>
    </row>
    <row r="94" spans="2:15" s="8" customFormat="1">
      <c r="D94" s="56"/>
      <c r="E94" s="56"/>
      <c r="F94" s="20"/>
      <c r="G94" s="56"/>
      <c r="H94" s="56"/>
      <c r="I94" s="56"/>
      <c r="J94" s="56"/>
      <c r="K94" s="56"/>
      <c r="L94" s="56"/>
      <c r="M94" s="56"/>
      <c r="N94" s="56"/>
      <c r="O94" s="56"/>
    </row>
    <row r="95" spans="2:15" s="8" customFormat="1">
      <c r="B95" s="34"/>
      <c r="D95" s="56"/>
      <c r="E95" s="56"/>
      <c r="F95" s="56"/>
      <c r="G95" s="56"/>
      <c r="H95" s="56"/>
      <c r="I95" s="56"/>
      <c r="J95" s="56"/>
      <c r="K95" s="56"/>
      <c r="L95" s="56"/>
      <c r="M95" s="56"/>
      <c r="N95" s="56"/>
      <c r="O95" s="56"/>
    </row>
    <row r="96" spans="2:15" s="8" customFormat="1">
      <c r="B96" s="34"/>
      <c r="D96" s="56"/>
      <c r="E96" s="56"/>
      <c r="F96" s="20"/>
      <c r="G96" s="20"/>
      <c r="H96" s="20"/>
      <c r="I96" s="20"/>
      <c r="J96" s="20"/>
      <c r="K96" s="20"/>
      <c r="L96" s="20"/>
      <c r="M96" s="20"/>
      <c r="N96" s="20"/>
      <c r="O96" s="20"/>
    </row>
    <row r="97" spans="2:15" s="8" customFormat="1">
      <c r="D97" s="56"/>
      <c r="E97" s="56"/>
      <c r="F97" s="56"/>
      <c r="G97" s="56"/>
      <c r="H97" s="56"/>
      <c r="I97" s="56"/>
      <c r="J97" s="56"/>
      <c r="K97" s="56"/>
      <c r="L97" s="56"/>
      <c r="M97" s="56"/>
      <c r="N97" s="56"/>
      <c r="O97" s="56"/>
    </row>
    <row r="98" spans="2:15" s="8" customFormat="1">
      <c r="D98" s="56"/>
      <c r="E98" s="56"/>
      <c r="F98" s="56"/>
      <c r="G98" s="56"/>
      <c r="H98" s="56"/>
      <c r="I98" s="56"/>
      <c r="J98" s="56"/>
      <c r="K98" s="56"/>
      <c r="L98" s="56"/>
      <c r="M98" s="56"/>
      <c r="N98" s="56"/>
      <c r="O98" s="56"/>
    </row>
    <row r="99" spans="2:15" s="8" customFormat="1">
      <c r="B99" s="4"/>
      <c r="D99" s="56"/>
      <c r="E99" s="56"/>
      <c r="F99" s="56"/>
      <c r="G99" s="56"/>
      <c r="H99" s="56"/>
      <c r="I99" s="56"/>
      <c r="J99" s="56"/>
      <c r="K99" s="56"/>
      <c r="L99" s="56"/>
      <c r="M99" s="56"/>
      <c r="N99" s="56"/>
      <c r="O99" s="56"/>
    </row>
    <row r="100" spans="2:15" s="8" customFormat="1">
      <c r="D100" s="56"/>
      <c r="E100" s="56"/>
      <c r="F100" s="56"/>
      <c r="G100" s="56"/>
      <c r="H100" s="56"/>
      <c r="I100" s="56"/>
      <c r="J100" s="56"/>
      <c r="K100" s="56"/>
      <c r="L100" s="56"/>
      <c r="M100" s="56"/>
      <c r="N100" s="56"/>
      <c r="O100" s="56"/>
    </row>
    <row r="101" spans="2:15" s="8" customFormat="1">
      <c r="B101" s="34"/>
      <c r="C101" s="22"/>
      <c r="D101" s="56"/>
      <c r="E101" s="56"/>
      <c r="F101" s="56"/>
      <c r="G101" s="56"/>
      <c r="H101" s="56"/>
      <c r="I101" s="56"/>
      <c r="J101" s="56"/>
      <c r="K101" s="56"/>
      <c r="L101" s="56"/>
      <c r="M101" s="56"/>
      <c r="N101" s="56"/>
      <c r="O101" s="56"/>
    </row>
    <row r="102" spans="2:15" s="8" customFormat="1">
      <c r="B102" s="34"/>
      <c r="C102" s="22"/>
      <c r="D102" s="56"/>
      <c r="E102" s="56"/>
      <c r="F102" s="56"/>
      <c r="G102" s="56"/>
      <c r="H102" s="56"/>
      <c r="I102" s="56"/>
      <c r="J102" s="56"/>
      <c r="K102" s="56"/>
      <c r="L102" s="56"/>
      <c r="M102" s="56"/>
      <c r="N102" s="56"/>
      <c r="O102" s="56"/>
    </row>
    <row r="103" spans="2:15" s="8" customFormat="1">
      <c r="B103" s="34"/>
      <c r="C103" s="22"/>
      <c r="D103" s="56"/>
      <c r="E103" s="56"/>
      <c r="F103" s="56"/>
      <c r="G103" s="56"/>
      <c r="H103" s="56"/>
      <c r="I103" s="56"/>
      <c r="J103" s="56"/>
      <c r="K103" s="56"/>
      <c r="L103" s="56"/>
      <c r="M103" s="56"/>
      <c r="N103" s="56"/>
      <c r="O103" s="56"/>
    </row>
    <row r="104" spans="2:15" s="8" customFormat="1">
      <c r="B104" s="34"/>
      <c r="D104" s="56"/>
      <c r="E104" s="56"/>
      <c r="F104" s="56"/>
      <c r="G104" s="56"/>
      <c r="H104" s="56"/>
      <c r="I104" s="56"/>
      <c r="J104" s="56"/>
      <c r="K104" s="56"/>
      <c r="L104" s="56"/>
      <c r="M104" s="56"/>
      <c r="N104" s="56"/>
      <c r="O104" s="56"/>
    </row>
    <row r="105" spans="2:15" s="8" customFormat="1">
      <c r="D105" s="56"/>
      <c r="E105" s="56"/>
      <c r="F105" s="56"/>
      <c r="G105" s="56"/>
      <c r="H105" s="56"/>
      <c r="I105" s="56"/>
      <c r="J105" s="56"/>
      <c r="K105" s="56"/>
      <c r="L105" s="56"/>
      <c r="M105" s="56"/>
      <c r="N105" s="56"/>
      <c r="O105" s="56"/>
    </row>
    <row r="106" spans="2:15" s="8" customFormat="1">
      <c r="D106" s="56"/>
      <c r="E106" s="56"/>
      <c r="F106" s="56"/>
      <c r="G106" s="56"/>
      <c r="H106" s="56"/>
      <c r="I106" s="56"/>
      <c r="J106" s="56"/>
      <c r="K106" s="56"/>
      <c r="L106" s="56"/>
      <c r="M106" s="56"/>
      <c r="N106" s="56"/>
      <c r="O106" s="56"/>
    </row>
    <row r="107" spans="2:15" s="8" customFormat="1">
      <c r="B107" s="34"/>
      <c r="D107" s="56"/>
      <c r="E107" s="56"/>
      <c r="F107" s="56"/>
      <c r="G107" s="56"/>
      <c r="H107" s="56"/>
      <c r="I107" s="56"/>
      <c r="J107" s="56"/>
      <c r="K107" s="56"/>
      <c r="L107" s="56"/>
      <c r="M107" s="56"/>
      <c r="N107" s="56"/>
      <c r="O107" s="56"/>
    </row>
    <row r="108" spans="2:15" s="8" customFormat="1">
      <c r="B108" s="34"/>
      <c r="D108" s="56"/>
      <c r="E108" s="56"/>
      <c r="F108" s="56"/>
      <c r="G108" s="56"/>
      <c r="H108" s="56"/>
      <c r="I108" s="56"/>
      <c r="J108" s="56"/>
      <c r="K108" s="56"/>
      <c r="L108" s="56"/>
      <c r="M108" s="56"/>
      <c r="N108" s="56"/>
      <c r="O108" s="56"/>
    </row>
    <row r="109" spans="2:15" s="8" customFormat="1">
      <c r="B109" s="34"/>
      <c r="D109" s="56"/>
      <c r="E109" s="56"/>
      <c r="F109" s="56"/>
      <c r="G109" s="56"/>
      <c r="H109" s="56"/>
      <c r="I109" s="56"/>
      <c r="J109" s="56"/>
      <c r="K109" s="56"/>
      <c r="L109" s="56"/>
      <c r="M109" s="56"/>
      <c r="N109" s="56"/>
      <c r="O109" s="56"/>
    </row>
    <row r="110" spans="2:15" s="8" customFormat="1">
      <c r="B110" s="34"/>
      <c r="D110" s="56"/>
      <c r="E110" s="56"/>
      <c r="F110" s="56"/>
      <c r="G110" s="56"/>
      <c r="H110" s="56"/>
      <c r="I110" s="56"/>
      <c r="J110" s="56"/>
      <c r="K110" s="56"/>
      <c r="L110" s="56"/>
      <c r="M110" s="56"/>
      <c r="N110" s="56"/>
      <c r="O110" s="56"/>
    </row>
    <row r="111" spans="2:15" s="8" customFormat="1">
      <c r="B111" s="5"/>
      <c r="D111" s="56"/>
      <c r="E111" s="56"/>
      <c r="F111" s="56"/>
      <c r="G111" s="56"/>
      <c r="H111" s="56"/>
      <c r="I111" s="56"/>
      <c r="J111" s="56"/>
      <c r="K111" s="56"/>
      <c r="L111" s="56"/>
      <c r="M111" s="56"/>
      <c r="N111" s="56"/>
      <c r="O111" s="56"/>
    </row>
    <row r="112" spans="2:15" s="8" customFormat="1">
      <c r="B112" s="5"/>
      <c r="D112" s="56"/>
      <c r="E112" s="56"/>
      <c r="F112" s="56"/>
      <c r="G112" s="56"/>
      <c r="H112" s="56"/>
      <c r="I112" s="56"/>
      <c r="J112" s="56"/>
      <c r="K112" s="56"/>
      <c r="L112" s="56"/>
      <c r="M112" s="56"/>
      <c r="N112" s="56"/>
      <c r="O112" s="56"/>
    </row>
    <row r="113" spans="2:15" s="8" customFormat="1">
      <c r="D113" s="56"/>
      <c r="E113" s="56"/>
      <c r="F113" s="56"/>
      <c r="G113" s="56"/>
      <c r="H113" s="56"/>
      <c r="I113" s="56"/>
      <c r="J113" s="56"/>
      <c r="K113" s="56"/>
      <c r="L113" s="56"/>
      <c r="M113" s="56"/>
      <c r="N113" s="56"/>
      <c r="O113" s="56"/>
    </row>
    <row r="114" spans="2:15" s="8" customFormat="1">
      <c r="B114" s="34"/>
      <c r="D114" s="56"/>
      <c r="E114" s="56"/>
      <c r="F114" s="56"/>
      <c r="G114" s="56"/>
      <c r="H114" s="56"/>
      <c r="I114" s="56"/>
      <c r="J114" s="56"/>
      <c r="K114" s="56"/>
      <c r="L114" s="56"/>
      <c r="M114" s="56"/>
      <c r="N114" s="56"/>
      <c r="O114" s="56"/>
    </row>
    <row r="115" spans="2:15" s="8" customFormat="1">
      <c r="B115" s="34"/>
      <c r="D115" s="56"/>
      <c r="E115" s="56"/>
      <c r="F115" s="56"/>
      <c r="G115" s="56"/>
      <c r="H115" s="56"/>
      <c r="I115" s="56"/>
      <c r="J115" s="56"/>
      <c r="K115" s="56"/>
      <c r="L115" s="56"/>
      <c r="M115" s="56"/>
      <c r="N115" s="56"/>
      <c r="O115" s="56"/>
    </row>
    <row r="116" spans="2:15" s="8" customFormat="1">
      <c r="B116" s="34"/>
      <c r="D116" s="56"/>
      <c r="E116" s="56"/>
      <c r="F116" s="56"/>
      <c r="G116" s="56"/>
      <c r="H116" s="56"/>
      <c r="I116" s="56"/>
      <c r="J116" s="56"/>
      <c r="K116" s="56"/>
      <c r="L116" s="56"/>
      <c r="M116" s="56"/>
      <c r="N116" s="56"/>
      <c r="O116" s="56"/>
    </row>
    <row r="117" spans="2:15" s="8" customFormat="1">
      <c r="B117" s="34"/>
      <c r="D117" s="56"/>
      <c r="E117" s="56"/>
      <c r="F117" s="56"/>
      <c r="G117" s="56"/>
      <c r="H117" s="56"/>
      <c r="I117" s="56"/>
      <c r="J117" s="56"/>
      <c r="K117" s="56"/>
      <c r="L117" s="56"/>
      <c r="M117" s="56"/>
      <c r="N117" s="56"/>
      <c r="O117" s="56"/>
    </row>
    <row r="118" spans="2:15" s="8" customFormat="1">
      <c r="B118" s="34"/>
      <c r="D118" s="56"/>
      <c r="E118" s="56"/>
      <c r="F118" s="56"/>
      <c r="G118" s="56"/>
      <c r="H118" s="56"/>
      <c r="I118" s="56"/>
      <c r="J118" s="56"/>
      <c r="K118" s="56"/>
      <c r="L118" s="56"/>
      <c r="M118" s="56"/>
      <c r="N118" s="56"/>
      <c r="O118" s="56"/>
    </row>
    <row r="119" spans="2:15" s="8" customFormat="1">
      <c r="B119" s="5"/>
      <c r="D119" s="56"/>
      <c r="E119" s="56"/>
      <c r="F119" s="56"/>
      <c r="G119" s="56"/>
      <c r="H119" s="56"/>
      <c r="I119" s="56"/>
      <c r="J119" s="56"/>
      <c r="K119" s="56"/>
      <c r="L119" s="56"/>
      <c r="M119" s="56"/>
      <c r="N119" s="56"/>
      <c r="O119" s="56"/>
    </row>
    <row r="120" spans="2:15" s="8" customFormat="1">
      <c r="B120" s="5"/>
      <c r="D120" s="56"/>
      <c r="E120" s="56"/>
      <c r="F120" s="56"/>
      <c r="G120" s="56"/>
      <c r="H120" s="56"/>
      <c r="I120" s="56"/>
      <c r="J120" s="56"/>
      <c r="K120" s="56"/>
      <c r="L120" s="56"/>
      <c r="M120" s="56"/>
      <c r="N120" s="56"/>
      <c r="O120" s="56"/>
    </row>
    <row r="121" spans="2:15" s="8" customFormat="1">
      <c r="B121" s="5"/>
      <c r="D121" s="56"/>
      <c r="E121" s="56"/>
      <c r="F121" s="56"/>
      <c r="G121" s="56"/>
      <c r="H121" s="56"/>
      <c r="I121" s="56"/>
      <c r="J121" s="56"/>
      <c r="K121" s="56"/>
      <c r="L121" s="56"/>
      <c r="M121" s="56"/>
      <c r="N121" s="56"/>
      <c r="O121" s="56"/>
    </row>
    <row r="122" spans="2:15" s="8" customFormat="1">
      <c r="D122" s="56"/>
      <c r="E122" s="56"/>
      <c r="F122" s="56"/>
      <c r="G122" s="56"/>
      <c r="H122" s="56"/>
      <c r="I122" s="56"/>
      <c r="J122" s="56"/>
      <c r="K122" s="56"/>
      <c r="L122" s="56"/>
      <c r="M122" s="56"/>
      <c r="N122" s="56"/>
      <c r="O122" s="56"/>
    </row>
    <row r="123" spans="2:15" s="8" customFormat="1">
      <c r="B123" s="4"/>
      <c r="D123" s="56"/>
      <c r="E123" s="56"/>
      <c r="F123" s="56"/>
      <c r="G123" s="56"/>
      <c r="H123" s="56"/>
      <c r="I123" s="56"/>
      <c r="J123" s="56"/>
      <c r="K123" s="56"/>
      <c r="L123" s="56"/>
      <c r="M123" s="56"/>
      <c r="N123" s="56"/>
      <c r="O123" s="56"/>
    </row>
    <row r="124" spans="2:15" s="8" customFormat="1">
      <c r="B124" s="34"/>
      <c r="C124" s="61"/>
      <c r="D124" s="56"/>
      <c r="E124" s="56"/>
      <c r="F124" s="56"/>
      <c r="G124" s="56"/>
      <c r="H124" s="56"/>
      <c r="I124" s="56"/>
      <c r="J124" s="56"/>
      <c r="K124" s="56"/>
      <c r="L124" s="56"/>
      <c r="M124" s="56"/>
      <c r="N124" s="56"/>
      <c r="O124" s="56"/>
    </row>
    <row r="125" spans="2:15" s="8" customFormat="1">
      <c r="B125" s="34"/>
      <c r="C125" s="61"/>
      <c r="D125" s="56"/>
      <c r="E125" s="56"/>
      <c r="F125" s="56"/>
      <c r="G125" s="56"/>
      <c r="H125" s="56"/>
      <c r="I125" s="56"/>
      <c r="J125" s="56"/>
      <c r="K125" s="56"/>
      <c r="L125" s="56"/>
      <c r="M125" s="56"/>
      <c r="N125" s="56"/>
      <c r="O125" s="56"/>
    </row>
    <row r="126" spans="2:15" s="8" customFormat="1">
      <c r="B126" s="34"/>
      <c r="C126" s="61"/>
      <c r="D126" s="56"/>
      <c r="E126" s="56"/>
      <c r="F126" s="56"/>
      <c r="G126" s="56"/>
      <c r="H126" s="56"/>
      <c r="I126" s="56"/>
      <c r="J126" s="56"/>
      <c r="K126" s="56"/>
      <c r="L126" s="56"/>
      <c r="M126" s="56"/>
      <c r="N126" s="56"/>
      <c r="O126" s="56"/>
    </row>
    <row r="127" spans="2:15" s="8" customFormat="1">
      <c r="B127" s="34"/>
      <c r="C127" s="61"/>
      <c r="D127" s="56"/>
      <c r="E127" s="56"/>
      <c r="F127" s="56"/>
      <c r="G127" s="56"/>
      <c r="H127" s="56"/>
      <c r="I127" s="56"/>
      <c r="J127" s="56"/>
      <c r="K127" s="56"/>
      <c r="L127" s="56"/>
      <c r="M127" s="56"/>
      <c r="N127" s="56"/>
      <c r="O127" s="56"/>
    </row>
    <row r="128" spans="2:15" s="8" customFormat="1">
      <c r="B128" s="5"/>
      <c r="D128" s="56"/>
      <c r="E128" s="56"/>
      <c r="F128" s="56"/>
      <c r="G128" s="56"/>
      <c r="H128" s="56"/>
      <c r="I128" s="56"/>
      <c r="J128" s="56"/>
      <c r="K128" s="56"/>
      <c r="L128" s="56"/>
      <c r="M128" s="56"/>
      <c r="N128" s="56"/>
      <c r="O128" s="56"/>
    </row>
    <row r="129" spans="2:15" s="8" customFormat="1">
      <c r="B129" s="5"/>
      <c r="C129" s="61"/>
      <c r="D129" s="56"/>
      <c r="E129" s="56"/>
      <c r="F129" s="56"/>
      <c r="G129" s="56"/>
      <c r="H129" s="56"/>
      <c r="I129" s="56"/>
      <c r="J129" s="56"/>
      <c r="K129" s="56"/>
      <c r="L129" s="56"/>
      <c r="M129" s="56"/>
      <c r="N129" s="56"/>
      <c r="O129" s="56"/>
    </row>
    <row r="130" spans="2:15" s="8" customFormat="1">
      <c r="B130" s="4"/>
      <c r="C130" s="4"/>
      <c r="D130" s="62"/>
      <c r="E130" s="62"/>
      <c r="F130" s="62"/>
      <c r="G130" s="62"/>
      <c r="H130" s="62"/>
      <c r="I130" s="62"/>
      <c r="J130" s="62"/>
      <c r="K130" s="62"/>
      <c r="L130" s="62"/>
      <c r="M130" s="62"/>
      <c r="N130" s="62"/>
      <c r="O130" s="62"/>
    </row>
    <row r="131" spans="2:15" s="8" customFormat="1">
      <c r="D131" s="56"/>
      <c r="E131" s="56"/>
      <c r="F131" s="56"/>
      <c r="G131" s="56"/>
      <c r="H131" s="56"/>
      <c r="I131" s="56"/>
      <c r="J131" s="56"/>
      <c r="K131" s="56"/>
      <c r="L131" s="56"/>
      <c r="M131" s="56"/>
      <c r="N131" s="56"/>
      <c r="O131" s="56"/>
    </row>
    <row r="132" spans="2:15" s="8" customFormat="1">
      <c r="E132" s="63"/>
      <c r="F132" s="63"/>
      <c r="G132" s="63"/>
      <c r="H132" s="63"/>
      <c r="I132" s="63"/>
      <c r="J132" s="63"/>
      <c r="K132" s="63"/>
      <c r="L132" s="63"/>
      <c r="M132" s="63"/>
      <c r="N132" s="63"/>
      <c r="O132" s="63"/>
    </row>
    <row r="133" spans="2:15" s="8" customFormat="1">
      <c r="B133" s="4"/>
      <c r="C133" s="4"/>
      <c r="E133" s="35"/>
      <c r="F133" s="63"/>
      <c r="G133" s="63"/>
      <c r="H133" s="63"/>
      <c r="I133" s="63"/>
      <c r="J133" s="63"/>
      <c r="K133" s="63"/>
      <c r="L133" s="63"/>
      <c r="M133" s="63"/>
      <c r="N133" s="63"/>
      <c r="O133" s="63"/>
    </row>
    <row r="134" spans="2:15" s="8" customFormat="1">
      <c r="D134" s="56"/>
      <c r="E134" s="56"/>
      <c r="F134" s="56"/>
      <c r="G134" s="56"/>
      <c r="H134" s="56"/>
      <c r="I134" s="56"/>
      <c r="J134" s="56"/>
      <c r="K134" s="56"/>
      <c r="L134" s="56"/>
      <c r="M134" s="56"/>
      <c r="N134" s="56"/>
      <c r="O134" s="56"/>
    </row>
    <row r="135" spans="2:15" s="8" customFormat="1">
      <c r="B135" s="4"/>
      <c r="D135" s="56"/>
      <c r="E135" s="56"/>
      <c r="F135" s="56"/>
      <c r="G135" s="56"/>
      <c r="H135" s="56"/>
      <c r="I135" s="56"/>
      <c r="J135" s="56"/>
      <c r="K135" s="56"/>
      <c r="L135" s="56"/>
      <c r="M135" s="56"/>
      <c r="N135" s="56"/>
      <c r="O135" s="56"/>
    </row>
    <row r="136" spans="2:15" s="8" customFormat="1">
      <c r="D136" s="56"/>
      <c r="E136" s="56"/>
      <c r="F136" s="56"/>
      <c r="G136" s="56"/>
      <c r="H136" s="56"/>
      <c r="I136" s="56"/>
      <c r="J136" s="56"/>
      <c r="K136" s="56"/>
      <c r="L136" s="56"/>
      <c r="M136" s="56"/>
      <c r="N136" s="56"/>
      <c r="O136" s="56"/>
    </row>
    <row r="137" spans="2:15" s="8" customFormat="1">
      <c r="D137" s="56"/>
      <c r="E137" s="56"/>
      <c r="F137" s="56"/>
      <c r="G137" s="56"/>
      <c r="H137" s="56"/>
      <c r="I137" s="56"/>
      <c r="J137" s="56"/>
      <c r="K137" s="56"/>
      <c r="L137" s="56"/>
      <c r="M137" s="56"/>
      <c r="N137" s="56"/>
      <c r="O137" s="56"/>
    </row>
    <row r="138" spans="2:15" s="8" customFormat="1">
      <c r="D138" s="56"/>
      <c r="E138" s="56"/>
      <c r="F138" s="56"/>
      <c r="G138" s="56"/>
      <c r="H138" s="56"/>
      <c r="I138" s="56"/>
      <c r="J138" s="56"/>
      <c r="K138" s="56"/>
      <c r="L138" s="56"/>
      <c r="M138" s="56"/>
      <c r="N138" s="56"/>
      <c r="O138" s="56"/>
    </row>
    <row r="139" spans="2:15" s="8" customFormat="1">
      <c r="D139" s="56"/>
      <c r="E139" s="56"/>
      <c r="F139" s="56"/>
      <c r="G139" s="56"/>
      <c r="H139" s="56"/>
      <c r="I139" s="56"/>
      <c r="J139" s="56"/>
      <c r="K139" s="56"/>
      <c r="L139" s="56"/>
      <c r="M139" s="56"/>
      <c r="N139" s="56"/>
      <c r="O139" s="56"/>
    </row>
    <row r="140" spans="2:15" s="8" customFormat="1">
      <c r="B140" s="5"/>
      <c r="C140" s="61"/>
      <c r="D140" s="61"/>
      <c r="E140" s="56"/>
      <c r="F140" s="56"/>
      <c r="G140" s="56"/>
      <c r="H140" s="56"/>
      <c r="I140" s="56"/>
      <c r="J140" s="56"/>
      <c r="K140" s="56"/>
      <c r="L140" s="56"/>
      <c r="M140" s="56"/>
      <c r="N140" s="56"/>
      <c r="O140" s="56"/>
    </row>
    <row r="141" spans="2:15" s="8" customFormat="1">
      <c r="B141" s="4"/>
      <c r="C141" s="4"/>
      <c r="D141" s="62"/>
      <c r="E141" s="62"/>
      <c r="F141" s="62"/>
      <c r="G141" s="62"/>
      <c r="H141" s="62"/>
      <c r="I141" s="62"/>
      <c r="J141" s="62"/>
      <c r="K141" s="62"/>
      <c r="L141" s="62"/>
      <c r="M141" s="62"/>
      <c r="N141" s="62"/>
      <c r="O141" s="62"/>
    </row>
    <row r="142" spans="2:15" s="8" customFormat="1">
      <c r="D142" s="56"/>
      <c r="E142" s="56"/>
      <c r="F142" s="56"/>
      <c r="G142" s="56"/>
      <c r="H142" s="56"/>
      <c r="I142" s="56"/>
      <c r="J142" s="56"/>
      <c r="K142" s="56"/>
      <c r="L142" s="56"/>
      <c r="M142" s="56"/>
      <c r="N142" s="56"/>
      <c r="O142" s="56"/>
    </row>
    <row r="143" spans="2:15" s="8" customFormat="1">
      <c r="D143" s="56"/>
      <c r="E143" s="56"/>
      <c r="F143" s="56"/>
      <c r="G143" s="56"/>
      <c r="H143" s="56"/>
      <c r="I143" s="56"/>
      <c r="J143" s="56"/>
      <c r="K143" s="56"/>
      <c r="L143" s="56"/>
      <c r="M143" s="56"/>
      <c r="N143" s="56"/>
      <c r="O143" s="56"/>
    </row>
    <row r="144" spans="2:15" s="8" customFormat="1">
      <c r="B144" s="4"/>
      <c r="E144" s="35"/>
      <c r="F144" s="36"/>
      <c r="G144" s="36"/>
      <c r="H144" s="36"/>
      <c r="I144" s="36"/>
      <c r="J144" s="36"/>
      <c r="K144" s="36"/>
      <c r="L144" s="36"/>
      <c r="M144" s="36"/>
      <c r="N144" s="36"/>
      <c r="O144" s="36"/>
    </row>
    <row r="145" spans="2:15" s="8" customFormat="1">
      <c r="E145" s="36"/>
      <c r="F145" s="36"/>
      <c r="G145" s="64"/>
      <c r="H145" s="36"/>
      <c r="I145" s="36"/>
      <c r="J145" s="36"/>
      <c r="K145" s="36"/>
      <c r="L145" s="36"/>
      <c r="M145" s="36"/>
      <c r="N145" s="36"/>
      <c r="O145" s="36"/>
    </row>
    <row r="146" spans="2:15" s="8" customFormat="1">
      <c r="B146" s="4"/>
    </row>
    <row r="147" spans="2:15" s="8" customFormat="1">
      <c r="C147" s="65"/>
      <c r="E147" s="56"/>
      <c r="F147" s="21"/>
      <c r="G147" s="21"/>
      <c r="H147" s="21"/>
      <c r="I147" s="21"/>
      <c r="J147" s="21"/>
      <c r="K147" s="21"/>
      <c r="L147" s="21"/>
      <c r="M147" s="21"/>
      <c r="N147" s="21"/>
      <c r="O147" s="21"/>
    </row>
    <row r="148" spans="2:15" s="8" customFormat="1">
      <c r="C148" s="66"/>
      <c r="E148" s="56"/>
      <c r="F148" s="21"/>
      <c r="G148" s="21"/>
      <c r="H148" s="21"/>
      <c r="I148" s="21"/>
      <c r="J148" s="21"/>
      <c r="K148" s="21"/>
      <c r="L148" s="21"/>
      <c r="M148" s="21"/>
      <c r="N148" s="21"/>
      <c r="O148" s="21"/>
    </row>
    <row r="149" spans="2:15" s="8" customFormat="1">
      <c r="E149" s="56"/>
      <c r="F149" s="21"/>
      <c r="G149" s="21"/>
      <c r="H149" s="21"/>
      <c r="I149" s="21"/>
      <c r="J149" s="21"/>
      <c r="K149" s="21"/>
      <c r="L149" s="21"/>
      <c r="M149" s="21"/>
      <c r="N149" s="21"/>
      <c r="O149" s="21"/>
    </row>
    <row r="150" spans="2:15" s="8" customFormat="1">
      <c r="B150" s="4"/>
      <c r="D150" s="51"/>
      <c r="E150" s="56"/>
      <c r="F150" s="21"/>
      <c r="G150" s="21"/>
      <c r="H150" s="21"/>
      <c r="I150" s="21"/>
      <c r="J150" s="21"/>
      <c r="K150" s="21"/>
      <c r="L150" s="21"/>
      <c r="M150" s="21"/>
      <c r="N150" s="21"/>
      <c r="O150" s="21"/>
    </row>
    <row r="151" spans="2:15" s="8" customFormat="1">
      <c r="C151" s="38"/>
      <c r="E151" s="56"/>
    </row>
    <row r="152" spans="2:15" s="8" customFormat="1">
      <c r="B152" s="37"/>
      <c r="C152" s="67"/>
      <c r="D152" s="37"/>
      <c r="E152" s="56"/>
    </row>
    <row r="153" spans="2:15" s="8" customFormat="1">
      <c r="C153" s="38"/>
      <c r="E153" s="56"/>
    </row>
    <row r="154" spans="2:15" s="8" customFormat="1"/>
    <row r="155" spans="2:15" s="8" customFormat="1">
      <c r="D155" s="51"/>
      <c r="E155" s="21"/>
      <c r="F155" s="21"/>
      <c r="G155" s="21"/>
      <c r="H155" s="21"/>
      <c r="I155" s="21"/>
      <c r="J155" s="21"/>
      <c r="K155" s="21"/>
      <c r="L155" s="21"/>
      <c r="M155" s="21"/>
      <c r="N155" s="21"/>
      <c r="O155" s="21"/>
    </row>
    <row r="156" spans="2:15" s="8" customFormat="1">
      <c r="D156" s="56"/>
      <c r="E156" s="56"/>
      <c r="F156" s="56"/>
      <c r="G156" s="56"/>
      <c r="H156" s="56"/>
      <c r="I156" s="56"/>
      <c r="J156" s="56"/>
      <c r="K156" s="56"/>
      <c r="L156" s="56"/>
      <c r="M156" s="56"/>
      <c r="N156" s="56"/>
      <c r="O156" s="56"/>
    </row>
    <row r="157" spans="2:15" s="8" customFormat="1">
      <c r="D157" s="56"/>
      <c r="E157" s="56"/>
      <c r="F157" s="56"/>
      <c r="G157" s="56"/>
      <c r="H157" s="56"/>
      <c r="I157" s="56"/>
      <c r="J157" s="56"/>
      <c r="K157" s="56"/>
      <c r="L157" s="56"/>
      <c r="M157" s="56"/>
      <c r="N157" s="56"/>
      <c r="O157" s="56"/>
    </row>
    <row r="158" spans="2:15" s="8" customFormat="1">
      <c r="B158" s="4"/>
      <c r="D158" s="56"/>
      <c r="E158" s="56"/>
      <c r="F158" s="56"/>
      <c r="G158" s="56"/>
      <c r="H158" s="56"/>
      <c r="I158" s="56"/>
      <c r="J158" s="56"/>
      <c r="K158" s="56"/>
      <c r="L158" s="56"/>
      <c r="M158" s="56"/>
      <c r="N158" s="56"/>
      <c r="O158" s="56"/>
    </row>
    <row r="159" spans="2:15" s="8" customFormat="1">
      <c r="C159" s="38"/>
      <c r="D159" s="56"/>
      <c r="E159" s="56"/>
      <c r="F159" s="56"/>
      <c r="G159" s="56"/>
      <c r="H159" s="56"/>
      <c r="I159" s="56"/>
      <c r="J159" s="56"/>
      <c r="K159" s="56"/>
      <c r="L159" s="56"/>
      <c r="M159" s="56"/>
      <c r="N159" s="56"/>
      <c r="O159" s="56"/>
    </row>
    <row r="160" spans="2:15" s="8" customFormat="1">
      <c r="B160" s="37"/>
      <c r="C160" s="38"/>
      <c r="D160" s="56"/>
      <c r="E160" s="56"/>
      <c r="F160" s="56"/>
      <c r="G160" s="56"/>
      <c r="H160" s="56"/>
      <c r="I160" s="56"/>
      <c r="J160" s="56"/>
      <c r="K160" s="56"/>
      <c r="L160" s="56"/>
      <c r="M160" s="56"/>
      <c r="N160" s="56"/>
      <c r="O160" s="56"/>
    </row>
    <row r="161" spans="2:15" s="8" customFormat="1">
      <c r="C161" s="38"/>
      <c r="D161" s="56"/>
      <c r="E161" s="56"/>
      <c r="F161" s="56"/>
      <c r="G161" s="56"/>
      <c r="H161" s="56"/>
      <c r="I161" s="56"/>
      <c r="J161" s="56"/>
      <c r="K161" s="56"/>
      <c r="L161" s="56"/>
      <c r="M161" s="56"/>
      <c r="N161" s="56"/>
      <c r="O161" s="56"/>
    </row>
    <row r="162" spans="2:15" s="8" customFormat="1">
      <c r="D162" s="56"/>
      <c r="E162" s="56"/>
      <c r="F162" s="56"/>
      <c r="G162" s="56"/>
      <c r="H162" s="56"/>
      <c r="I162" s="56"/>
      <c r="J162" s="56"/>
      <c r="K162" s="56"/>
      <c r="L162" s="56"/>
      <c r="M162" s="56"/>
      <c r="N162" s="56"/>
      <c r="O162" s="56"/>
    </row>
    <row r="163" spans="2:15" s="8" customFormat="1">
      <c r="B163" s="4"/>
      <c r="D163" s="56"/>
      <c r="E163" s="56"/>
      <c r="F163" s="56"/>
      <c r="G163" s="56"/>
      <c r="H163" s="56"/>
      <c r="I163" s="56"/>
      <c r="J163" s="56"/>
      <c r="K163" s="56"/>
      <c r="L163" s="56"/>
      <c r="M163" s="56"/>
      <c r="N163" s="56"/>
      <c r="O163" s="56"/>
    </row>
    <row r="164" spans="2:15" s="8" customFormat="1">
      <c r="C164" s="68"/>
      <c r="D164" s="56"/>
      <c r="E164" s="56"/>
      <c r="F164" s="56"/>
      <c r="G164" s="56"/>
      <c r="H164" s="56"/>
      <c r="I164" s="56"/>
      <c r="J164" s="56"/>
      <c r="K164" s="56"/>
      <c r="L164" s="56"/>
      <c r="M164" s="56"/>
      <c r="N164" s="56"/>
      <c r="O164" s="56"/>
    </row>
    <row r="165" spans="2:15" s="8" customFormat="1">
      <c r="B165" s="37"/>
      <c r="C165" s="69"/>
      <c r="D165" s="56"/>
      <c r="E165" s="56"/>
      <c r="F165" s="56"/>
      <c r="G165" s="56"/>
      <c r="H165" s="56"/>
      <c r="I165" s="56"/>
      <c r="J165" s="56"/>
      <c r="K165" s="56"/>
      <c r="L165" s="56"/>
      <c r="M165" s="56"/>
      <c r="N165" s="56"/>
      <c r="O165" s="56"/>
    </row>
    <row r="166" spans="2:15" s="8" customFormat="1">
      <c r="B166" s="4"/>
      <c r="D166" s="56"/>
      <c r="E166" s="56"/>
      <c r="F166" s="56"/>
      <c r="G166" s="56"/>
      <c r="H166" s="56"/>
      <c r="I166" s="56"/>
      <c r="J166" s="56"/>
      <c r="K166" s="56"/>
      <c r="L166" s="56"/>
      <c r="M166" s="56"/>
      <c r="N166" s="56"/>
      <c r="O166" s="56"/>
    </row>
    <row r="167" spans="2:15" s="8" customFormat="1">
      <c r="D167" s="56"/>
      <c r="E167" s="56"/>
      <c r="F167" s="56"/>
      <c r="G167" s="56"/>
      <c r="H167" s="56"/>
      <c r="I167" s="56"/>
      <c r="J167" s="56"/>
      <c r="K167" s="56"/>
      <c r="L167" s="56"/>
      <c r="M167" s="56"/>
      <c r="N167" s="56"/>
      <c r="O167" s="56"/>
    </row>
    <row r="168" spans="2:15" s="8" customFormat="1">
      <c r="B168" s="37"/>
      <c r="D168" s="56"/>
      <c r="E168" s="56"/>
      <c r="F168" s="56"/>
      <c r="G168" s="56"/>
      <c r="H168" s="56"/>
      <c r="I168" s="56"/>
      <c r="J168" s="56"/>
      <c r="K168" s="56"/>
      <c r="L168" s="56"/>
      <c r="M168" s="56"/>
      <c r="N168" s="56"/>
      <c r="O168" s="56"/>
    </row>
    <row r="169" spans="2:15" s="8" customFormat="1">
      <c r="B169" s="4"/>
      <c r="C169" s="4"/>
      <c r="D169" s="62"/>
      <c r="E169" s="62"/>
      <c r="F169" s="62"/>
      <c r="G169" s="62"/>
      <c r="H169" s="62"/>
      <c r="I169" s="62"/>
      <c r="J169" s="62"/>
      <c r="K169" s="62"/>
      <c r="L169" s="62"/>
      <c r="M169" s="62"/>
      <c r="N169" s="62"/>
      <c r="O169" s="62"/>
    </row>
    <row r="170" spans="2:15" s="8" customFormat="1">
      <c r="B170" s="66"/>
      <c r="C170" s="66"/>
      <c r="D170" s="59"/>
      <c r="E170" s="59"/>
      <c r="F170" s="59"/>
      <c r="G170" s="59"/>
      <c r="H170" s="59"/>
      <c r="I170" s="59"/>
      <c r="J170" s="59"/>
      <c r="K170" s="59"/>
      <c r="L170" s="59"/>
      <c r="M170" s="59"/>
      <c r="N170" s="59"/>
      <c r="O170" s="59"/>
    </row>
    <row r="171" spans="2:15" s="8" customFormat="1">
      <c r="E171" s="70"/>
      <c r="F171" s="70"/>
      <c r="G171" s="70"/>
      <c r="H171" s="70"/>
      <c r="I171" s="70"/>
      <c r="J171" s="70"/>
      <c r="K171" s="70"/>
      <c r="L171" s="70"/>
      <c r="M171" s="70"/>
      <c r="N171" s="70"/>
      <c r="O171" s="70"/>
    </row>
    <row r="172" spans="2:15" s="8" customFormat="1">
      <c r="B172" s="4"/>
      <c r="C172" s="71"/>
      <c r="D172" s="71"/>
      <c r="E172" s="72"/>
      <c r="G172" s="70"/>
      <c r="H172" s="70"/>
      <c r="I172" s="70"/>
      <c r="J172" s="70"/>
      <c r="K172" s="70"/>
      <c r="L172" s="70"/>
      <c r="M172" s="70"/>
      <c r="N172" s="70"/>
      <c r="O172" s="70"/>
    </row>
    <row r="173" spans="2:15" s="8" customFormat="1">
      <c r="C173" s="38"/>
      <c r="D173" s="70"/>
      <c r="E173" s="73"/>
      <c r="G173" s="70"/>
      <c r="H173" s="70"/>
      <c r="I173" s="70"/>
      <c r="J173" s="70"/>
    </row>
    <row r="174" spans="2:15" s="8" customFormat="1">
      <c r="B174" s="37"/>
      <c r="C174" s="67"/>
      <c r="D174" s="74"/>
      <c r="E174" s="75"/>
      <c r="G174" s="70"/>
      <c r="H174" s="70"/>
      <c r="I174" s="70"/>
      <c r="J174" s="70"/>
    </row>
    <row r="175" spans="2:15" s="8" customFormat="1">
      <c r="C175" s="38"/>
      <c r="D175" s="70"/>
      <c r="E175" s="73"/>
      <c r="G175" s="69"/>
      <c r="H175" s="70"/>
      <c r="I175" s="70"/>
      <c r="J175" s="70"/>
    </row>
    <row r="176" spans="2:15"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sheetData>
  <conditionalFormatting sqref="E170:F170">
    <cfRule type="cellIs" dxfId="7" priority="7" operator="notEqual">
      <formula>0</formula>
    </cfRule>
    <cfRule type="cellIs" dxfId="6" priority="8" operator="equal">
      <formula>0</formula>
    </cfRule>
  </conditionalFormatting>
  <conditionalFormatting sqref="F170:O170">
    <cfRule type="cellIs" dxfId="5" priority="5" operator="notEqual">
      <formula>0</formula>
    </cfRule>
    <cfRule type="cellIs" dxfId="4" priority="6" operator="equal">
      <formula>0</formula>
    </cfRule>
  </conditionalFormatting>
  <conditionalFormatting sqref="D170">
    <cfRule type="cellIs" dxfId="3" priority="3" operator="notEqual">
      <formula>0</formula>
    </cfRule>
    <cfRule type="cellIs" dxfId="2" priority="4" operator="equal">
      <formula>0</formula>
    </cfRule>
  </conditionalFormatting>
  <conditionalFormatting sqref="B170">
    <cfRule type="expression" dxfId="1" priority="1">
      <formula>$D$170&lt;&gt;0</formula>
    </cfRule>
    <cfRule type="expression" dxfId="0" priority="2">
      <formula>$D$170=0</formula>
    </cfRule>
  </conditionalFormatting>
  <pageMargins left="0.37" right="0.38" top="0.75" bottom="0.75" header="0.3" footer="0.3"/>
  <pageSetup scale="66" fitToHeight="4" orientation="landscape" horizontalDpi="1200" verticalDpi="1200"/>
  <headerFooter>
    <oddFooter>&amp;F&amp;RPage &amp;P</oddFooter>
  </headerFooter>
  <rowBreaks count="1" manualBreakCount="1">
    <brk id="83" min="1" max="17" man="1"/>
  </rowBreak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7"/>
  <sheetViews>
    <sheetView workbookViewId="0"/>
  </sheetViews>
  <sheetFormatPr defaultRowHeight="14.4"/>
  <sheetData>
    <row r="1" spans="1:6" s="6" customFormat="1">
      <c r="A1" s="6" t="s">
        <v>144</v>
      </c>
      <c r="B1" s="6">
        <v>0.5</v>
      </c>
      <c r="E1" s="204" t="s">
        <v>149</v>
      </c>
      <c r="F1" s="338">
        <v>0.1</v>
      </c>
    </row>
    <row r="2" spans="1:6" s="6" customFormat="1">
      <c r="A2" s="6" t="s">
        <v>138</v>
      </c>
      <c r="B2" s="6">
        <v>20</v>
      </c>
      <c r="C2" s="6">
        <f>Period</f>
        <v>20</v>
      </c>
    </row>
    <row r="3" spans="1:6" s="6" customFormat="1">
      <c r="A3" s="6" t="s">
        <v>137</v>
      </c>
      <c r="B3" s="6">
        <v>0.25</v>
      </c>
      <c r="C3" s="6">
        <f>F1*InnerPer</f>
        <v>2</v>
      </c>
    </row>
    <row r="4" spans="1:6">
      <c r="A4" s="6" t="s">
        <v>139</v>
      </c>
      <c r="B4">
        <f>1*Period</f>
        <v>20</v>
      </c>
      <c r="C4" s="6">
        <f>Phase</f>
        <v>20</v>
      </c>
    </row>
    <row r="5" spans="1:6" s="6" customFormat="1">
      <c r="A5" s="6" t="s">
        <v>141</v>
      </c>
      <c r="B5" s="6">
        <v>0</v>
      </c>
      <c r="C5" s="6">
        <v>0</v>
      </c>
    </row>
    <row r="6" spans="1:6">
      <c r="A6" s="204" t="s">
        <v>136</v>
      </c>
      <c r="B6" s="204" t="s">
        <v>140</v>
      </c>
      <c r="C6" s="204" t="s">
        <v>142</v>
      </c>
      <c r="D6" s="204" t="s">
        <v>143</v>
      </c>
    </row>
    <row r="7" spans="1:6">
      <c r="A7">
        <v>0</v>
      </c>
      <c r="B7">
        <f t="shared" ref="B7:B38" si="0">1+Amplitude*SIN((A7-BaseTime-Phase)*2*PI()/Period)</f>
        <v>1</v>
      </c>
      <c r="C7">
        <f t="shared" ref="C7:C38" si="1">InnerAmp*SIN((A7-InnerBaseT-InnerPhs)*2*PI()/InnerPer)</f>
        <v>4.90059381963448E-16</v>
      </c>
      <c r="D7">
        <f t="shared" ref="D7:D38" si="2">1+Amplitude*SIN((A7-BaseTime-Phase-InnerAmp*SIN((A7-InnerBaseT-InnerPhs)*2*PI()/InnerPer))*2*PI()/Period)</f>
        <v>1</v>
      </c>
    </row>
    <row r="8" spans="1:6">
      <c r="A8">
        <f>A7+$B$1</f>
        <v>0.5</v>
      </c>
      <c r="B8" s="6">
        <f t="shared" si="0"/>
        <v>1.0391086162600578</v>
      </c>
      <c r="C8" s="6">
        <f t="shared" si="1"/>
        <v>0.31286893008046224</v>
      </c>
      <c r="D8" s="6">
        <f t="shared" si="2"/>
        <v>1.014688775368406</v>
      </c>
    </row>
    <row r="9" spans="1:6">
      <c r="A9" s="6">
        <f t="shared" ref="A9:A72" si="3">A8+$B$1</f>
        <v>1</v>
      </c>
      <c r="B9" s="6">
        <f t="shared" si="0"/>
        <v>1.0772542485937369</v>
      </c>
      <c r="C9" s="6">
        <f t="shared" si="1"/>
        <v>0.61803398874989524</v>
      </c>
      <c r="D9" s="6">
        <f t="shared" si="2"/>
        <v>1.0299275954991425</v>
      </c>
    </row>
    <row r="10" spans="1:6">
      <c r="A10" s="6">
        <f t="shared" si="3"/>
        <v>1.5</v>
      </c>
      <c r="B10" s="6">
        <f t="shared" si="0"/>
        <v>1.1134976249348867</v>
      </c>
      <c r="C10" s="6">
        <f t="shared" si="1"/>
        <v>0.90798099947909394</v>
      </c>
      <c r="D10" s="6">
        <f t="shared" si="2"/>
        <v>1.0462294586258449</v>
      </c>
    </row>
    <row r="11" spans="1:6">
      <c r="A11" s="6">
        <f t="shared" si="3"/>
        <v>2</v>
      </c>
      <c r="B11" s="6">
        <f t="shared" si="0"/>
        <v>1.1469463130731183</v>
      </c>
      <c r="C11" s="6">
        <f t="shared" si="1"/>
        <v>1.1755705045849467</v>
      </c>
      <c r="D11" s="6">
        <f t="shared" si="2"/>
        <v>1.0640290314891505</v>
      </c>
    </row>
    <row r="12" spans="1:6">
      <c r="A12" s="6">
        <f t="shared" si="3"/>
        <v>2.5</v>
      </c>
      <c r="B12" s="6">
        <f t="shared" si="0"/>
        <v>1.176776695296637</v>
      </c>
      <c r="C12" s="6">
        <f t="shared" si="1"/>
        <v>1.4142135623730954</v>
      </c>
      <c r="D12" s="6">
        <f t="shared" si="2"/>
        <v>1.0836333053139411</v>
      </c>
    </row>
    <row r="13" spans="1:6">
      <c r="A13" s="6">
        <f t="shared" si="3"/>
        <v>3</v>
      </c>
      <c r="B13" s="6">
        <f t="shared" si="0"/>
        <v>1.2022542485937369</v>
      </c>
      <c r="C13" s="6">
        <f t="shared" si="1"/>
        <v>1.6180339887498951</v>
      </c>
      <c r="D13" s="6">
        <f t="shared" si="2"/>
        <v>1.1051615368797207</v>
      </c>
    </row>
    <row r="14" spans="1:6">
      <c r="A14" s="6">
        <f t="shared" si="3"/>
        <v>3.5</v>
      </c>
      <c r="B14" s="6">
        <f t="shared" si="0"/>
        <v>1.2227516310470921</v>
      </c>
      <c r="C14" s="6">
        <f t="shared" si="1"/>
        <v>1.7820130483767358</v>
      </c>
      <c r="D14" s="6">
        <f t="shared" si="2"/>
        <v>1.1284742789553481</v>
      </c>
    </row>
    <row r="15" spans="1:6">
      <c r="A15" s="6">
        <f t="shared" si="3"/>
        <v>4</v>
      </c>
      <c r="B15" s="6">
        <f t="shared" si="0"/>
        <v>1.2377641290737884</v>
      </c>
      <c r="C15" s="6">
        <f t="shared" si="1"/>
        <v>1.9021130325903073</v>
      </c>
      <c r="D15" s="6">
        <f t="shared" si="2"/>
        <v>1.1530955977550095</v>
      </c>
    </row>
    <row r="16" spans="1:6">
      <c r="A16" s="6">
        <f t="shared" si="3"/>
        <v>4.5</v>
      </c>
      <c r="B16" s="6">
        <f t="shared" si="0"/>
        <v>1.2469220851487846</v>
      </c>
      <c r="C16" s="6">
        <f t="shared" si="1"/>
        <v>1.9753766811902755</v>
      </c>
      <c r="D16" s="6">
        <f t="shared" si="2"/>
        <v>1.1781388740474148</v>
      </c>
    </row>
    <row r="17" spans="1:4">
      <c r="A17" s="6">
        <f t="shared" si="3"/>
        <v>5</v>
      </c>
      <c r="B17" s="6">
        <f t="shared" si="0"/>
        <v>1.25</v>
      </c>
      <c r="C17" s="6">
        <f t="shared" si="1"/>
        <v>2</v>
      </c>
      <c r="D17" s="6">
        <f t="shared" si="2"/>
        <v>1.2022542485937369</v>
      </c>
    </row>
    <row r="18" spans="1:4">
      <c r="A18" s="6">
        <f t="shared" si="3"/>
        <v>5.5</v>
      </c>
      <c r="B18" s="6">
        <f t="shared" si="0"/>
        <v>1.2469220851487843</v>
      </c>
      <c r="C18" s="6">
        <f t="shared" si="1"/>
        <v>1.9753766811902753</v>
      </c>
      <c r="D18" s="6">
        <f t="shared" si="2"/>
        <v>1.2236229347673873</v>
      </c>
    </row>
    <row r="19" spans="1:4">
      <c r="A19" s="6">
        <f t="shared" si="3"/>
        <v>6</v>
      </c>
      <c r="B19" s="6">
        <f t="shared" si="0"/>
        <v>1.2377641290737884</v>
      </c>
      <c r="C19" s="6">
        <f t="shared" si="1"/>
        <v>1.9021130325903071</v>
      </c>
      <c r="D19" s="6">
        <f t="shared" si="2"/>
        <v>1.2400270679457961</v>
      </c>
    </row>
    <row r="20" spans="1:4">
      <c r="A20" s="6">
        <f t="shared" si="3"/>
        <v>6.5</v>
      </c>
      <c r="B20" s="6">
        <f t="shared" si="0"/>
        <v>1.2227516310470921</v>
      </c>
      <c r="C20" s="6">
        <f t="shared" si="1"/>
        <v>1.7820130483767356</v>
      </c>
      <c r="D20" s="6">
        <f t="shared" si="2"/>
        <v>1.2490194628208888</v>
      </c>
    </row>
    <row r="21" spans="1:4">
      <c r="A21" s="6">
        <f t="shared" si="3"/>
        <v>7</v>
      </c>
      <c r="B21" s="6">
        <f t="shared" si="0"/>
        <v>1.2022542485937369</v>
      </c>
      <c r="C21" s="6">
        <f t="shared" si="1"/>
        <v>1.6180339887498947</v>
      </c>
      <c r="D21" s="6">
        <f t="shared" si="2"/>
        <v>1.2482022139861764</v>
      </c>
    </row>
    <row r="22" spans="1:4">
      <c r="A22" s="6">
        <f t="shared" si="3"/>
        <v>7.5</v>
      </c>
      <c r="B22" s="6">
        <f t="shared" si="0"/>
        <v>1.176776695296637</v>
      </c>
      <c r="C22" s="6">
        <f t="shared" si="1"/>
        <v>1.4142135623730949</v>
      </c>
      <c r="D22" s="6">
        <f t="shared" si="2"/>
        <v>1.235595989444356</v>
      </c>
    </row>
    <row r="23" spans="1:4">
      <c r="A23" s="6">
        <f t="shared" si="3"/>
        <v>8</v>
      </c>
      <c r="B23" s="6">
        <f t="shared" si="0"/>
        <v>1.1469463130731183</v>
      </c>
      <c r="C23" s="6">
        <f t="shared" si="1"/>
        <v>1.1755705045849461</v>
      </c>
      <c r="D23" s="6">
        <f t="shared" si="2"/>
        <v>1.2100476904557016</v>
      </c>
    </row>
    <row r="24" spans="1:4">
      <c r="A24" s="6">
        <f t="shared" si="3"/>
        <v>8.5</v>
      </c>
      <c r="B24" s="6">
        <f t="shared" si="0"/>
        <v>1.1134976249348867</v>
      </c>
      <c r="C24" s="6">
        <f t="shared" si="1"/>
        <v>0.90798099947909339</v>
      </c>
      <c r="D24" s="6">
        <f t="shared" si="2"/>
        <v>1.1715931747302606</v>
      </c>
    </row>
    <row r="25" spans="1:4">
      <c r="A25" s="6">
        <f t="shared" si="3"/>
        <v>9</v>
      </c>
      <c r="B25" s="6">
        <f t="shared" si="0"/>
        <v>1.0772542485937366</v>
      </c>
      <c r="C25" s="6">
        <f t="shared" si="1"/>
        <v>0.61803398874989379</v>
      </c>
      <c r="D25" s="6">
        <f t="shared" si="2"/>
        <v>1.1216776676078295</v>
      </c>
    </row>
    <row r="26" spans="1:4">
      <c r="A26" s="6">
        <f t="shared" si="3"/>
        <v>9.5</v>
      </c>
      <c r="B26" s="6">
        <f t="shared" si="0"/>
        <v>1.0391086162600578</v>
      </c>
      <c r="C26" s="6">
        <f t="shared" si="1"/>
        <v>0.31286893008046146</v>
      </c>
      <c r="D26" s="6">
        <f t="shared" si="2"/>
        <v>1.0631509306915048</v>
      </c>
    </row>
    <row r="27" spans="1:4">
      <c r="A27" s="6">
        <f t="shared" si="3"/>
        <v>10</v>
      </c>
      <c r="B27" s="6">
        <f t="shared" si="0"/>
        <v>1</v>
      </c>
      <c r="C27" s="6">
        <f t="shared" si="1"/>
        <v>-2.45029690981724E-16</v>
      </c>
      <c r="D27" s="6">
        <f t="shared" si="2"/>
        <v>1</v>
      </c>
    </row>
    <row r="28" spans="1:4">
      <c r="A28" s="6">
        <f t="shared" si="3"/>
        <v>10.5</v>
      </c>
      <c r="B28" s="6">
        <f t="shared" si="0"/>
        <v>0.96089138373994221</v>
      </c>
      <c r="C28" s="6">
        <f t="shared" si="1"/>
        <v>-0.31286893008046196</v>
      </c>
      <c r="D28" s="6">
        <f t="shared" si="2"/>
        <v>0.9368490693084951</v>
      </c>
    </row>
    <row r="29" spans="1:4">
      <c r="A29" s="6">
        <f t="shared" si="3"/>
        <v>11</v>
      </c>
      <c r="B29" s="6">
        <f t="shared" si="0"/>
        <v>0.92274575140626314</v>
      </c>
      <c r="C29" s="6">
        <f t="shared" si="1"/>
        <v>-0.61803398874989501</v>
      </c>
      <c r="D29" s="6">
        <f t="shared" si="2"/>
        <v>0.8783223323921705</v>
      </c>
    </row>
    <row r="30" spans="1:4">
      <c r="A30" s="6">
        <f t="shared" si="3"/>
        <v>11.5</v>
      </c>
      <c r="B30" s="6">
        <f t="shared" si="0"/>
        <v>0.88650237506511331</v>
      </c>
      <c r="C30" s="6">
        <f t="shared" si="1"/>
        <v>-0.90798099947909372</v>
      </c>
      <c r="D30" s="6">
        <f t="shared" si="2"/>
        <v>0.82840682526973941</v>
      </c>
    </row>
    <row r="31" spans="1:4">
      <c r="A31" s="6">
        <f t="shared" si="3"/>
        <v>12</v>
      </c>
      <c r="B31" s="6">
        <f t="shared" si="0"/>
        <v>0.85305368692688166</v>
      </c>
      <c r="C31" s="6">
        <f t="shared" si="1"/>
        <v>-1.1755705045849465</v>
      </c>
      <c r="D31" s="6">
        <f t="shared" si="2"/>
        <v>0.7899523095442984</v>
      </c>
    </row>
    <row r="32" spans="1:4">
      <c r="A32" s="6">
        <f t="shared" si="3"/>
        <v>12.5</v>
      </c>
      <c r="B32" s="6">
        <f t="shared" si="0"/>
        <v>0.82322330470336313</v>
      </c>
      <c r="C32" s="6">
        <f t="shared" si="1"/>
        <v>-1.4142135623730951</v>
      </c>
      <c r="D32" s="6">
        <f t="shared" si="2"/>
        <v>0.764404010555644</v>
      </c>
    </row>
    <row r="33" spans="1:4">
      <c r="A33" s="6">
        <f t="shared" si="3"/>
        <v>13</v>
      </c>
      <c r="B33" s="6">
        <f t="shared" si="0"/>
        <v>0.79774575140626314</v>
      </c>
      <c r="C33" s="6">
        <f t="shared" si="1"/>
        <v>-1.6180339887498949</v>
      </c>
      <c r="D33" s="6">
        <f t="shared" si="2"/>
        <v>0.75179778601382363</v>
      </c>
    </row>
    <row r="34" spans="1:4">
      <c r="A34" s="6">
        <f t="shared" si="3"/>
        <v>13.5</v>
      </c>
      <c r="B34" s="6">
        <f t="shared" si="0"/>
        <v>0.77724836895290805</v>
      </c>
      <c r="C34" s="6">
        <f t="shared" si="1"/>
        <v>-1.7820130483767358</v>
      </c>
      <c r="D34" s="6">
        <f t="shared" si="2"/>
        <v>0.75098053717911117</v>
      </c>
    </row>
    <row r="35" spans="1:4">
      <c r="A35" s="6">
        <f t="shared" si="3"/>
        <v>14</v>
      </c>
      <c r="B35" s="6">
        <f t="shared" si="0"/>
        <v>0.76223587092621159</v>
      </c>
      <c r="C35" s="6">
        <f t="shared" si="1"/>
        <v>-1.9021130325903073</v>
      </c>
      <c r="D35" s="6">
        <f t="shared" si="2"/>
        <v>0.75997293205420391</v>
      </c>
    </row>
    <row r="36" spans="1:4">
      <c r="A36" s="6">
        <f t="shared" si="3"/>
        <v>14.5</v>
      </c>
      <c r="B36" s="6">
        <f t="shared" si="0"/>
        <v>0.75307791485121556</v>
      </c>
      <c r="C36" s="6">
        <f t="shared" si="1"/>
        <v>-1.9753766811902755</v>
      </c>
      <c r="D36" s="6">
        <f t="shared" si="2"/>
        <v>0.77637706523261274</v>
      </c>
    </row>
    <row r="37" spans="1:4">
      <c r="A37" s="6">
        <f t="shared" si="3"/>
        <v>15</v>
      </c>
      <c r="B37" s="6">
        <f t="shared" si="0"/>
        <v>0.75</v>
      </c>
      <c r="C37" s="6">
        <f t="shared" si="1"/>
        <v>-2</v>
      </c>
      <c r="D37" s="6">
        <f t="shared" si="2"/>
        <v>0.79774575140626314</v>
      </c>
    </row>
    <row r="38" spans="1:4">
      <c r="A38" s="6">
        <f t="shared" si="3"/>
        <v>15.5</v>
      </c>
      <c r="B38" s="6">
        <f t="shared" si="0"/>
        <v>0.75307791485121556</v>
      </c>
      <c r="C38" s="6">
        <f t="shared" si="1"/>
        <v>-1.9753766811902755</v>
      </c>
      <c r="D38" s="6">
        <f t="shared" si="2"/>
        <v>0.8218611259525852</v>
      </c>
    </row>
    <row r="39" spans="1:4">
      <c r="A39" s="6">
        <f t="shared" si="3"/>
        <v>16</v>
      </c>
      <c r="B39" s="6">
        <f t="shared" ref="B39:B70" si="4">1+Amplitude*SIN((A39-BaseTime-Phase)*2*PI()/Period)</f>
        <v>0.76223587092621159</v>
      </c>
      <c r="C39" s="6">
        <f t="shared" ref="C39:C70" si="5">InnerAmp*SIN((A39-InnerBaseT-InnerPhs)*2*PI()/InnerPer)</f>
        <v>-1.9021130325903071</v>
      </c>
      <c r="D39" s="6">
        <f t="shared" ref="D39:D70" si="6">1+Amplitude*SIN((A39-BaseTime-Phase-InnerAmp*SIN((A39-InnerBaseT-InnerPhs)*2*PI()/InnerPer))*2*PI()/Period)</f>
        <v>0.84690440224499075</v>
      </c>
    </row>
    <row r="40" spans="1:4">
      <c r="A40" s="6">
        <f t="shared" si="3"/>
        <v>16.5</v>
      </c>
      <c r="B40" s="6">
        <f t="shared" si="4"/>
        <v>0.77724836895290805</v>
      </c>
      <c r="C40" s="6">
        <f t="shared" si="5"/>
        <v>-1.7820130483767356</v>
      </c>
      <c r="D40" s="6">
        <f t="shared" si="6"/>
        <v>0.87152572104465198</v>
      </c>
    </row>
    <row r="41" spans="1:4">
      <c r="A41" s="6">
        <f t="shared" si="3"/>
        <v>17</v>
      </c>
      <c r="B41" s="6">
        <f t="shared" si="4"/>
        <v>0.79774575140626314</v>
      </c>
      <c r="C41" s="6">
        <f t="shared" si="5"/>
        <v>-1.6180339887498949</v>
      </c>
      <c r="D41" s="6">
        <f t="shared" si="6"/>
        <v>0.89483846312027915</v>
      </c>
    </row>
    <row r="42" spans="1:4">
      <c r="A42" s="6">
        <f t="shared" si="3"/>
        <v>17.5</v>
      </c>
      <c r="B42" s="6">
        <f t="shared" si="4"/>
        <v>0.82322330470336313</v>
      </c>
      <c r="C42" s="6">
        <f t="shared" si="5"/>
        <v>-1.4142135623730949</v>
      </c>
      <c r="D42" s="6">
        <f t="shared" si="6"/>
        <v>0.9163666946860588</v>
      </c>
    </row>
    <row r="43" spans="1:4">
      <c r="A43" s="6">
        <f t="shared" si="3"/>
        <v>18</v>
      </c>
      <c r="B43" s="6">
        <f t="shared" si="4"/>
        <v>0.85305368692688166</v>
      </c>
      <c r="C43" s="6">
        <f t="shared" si="5"/>
        <v>-1.1755705045849463</v>
      </c>
      <c r="D43" s="6">
        <f t="shared" si="6"/>
        <v>0.93597096851084949</v>
      </c>
    </row>
    <row r="44" spans="1:4">
      <c r="A44" s="6">
        <f t="shared" si="3"/>
        <v>18.5</v>
      </c>
      <c r="B44" s="6">
        <f t="shared" si="4"/>
        <v>0.88650237506511331</v>
      </c>
      <c r="C44" s="6">
        <f t="shared" si="5"/>
        <v>-0.9079809994790935</v>
      </c>
      <c r="D44" s="6">
        <f t="shared" si="6"/>
        <v>0.95377054137415518</v>
      </c>
    </row>
    <row r="45" spans="1:4">
      <c r="A45" s="6">
        <f t="shared" si="3"/>
        <v>19</v>
      </c>
      <c r="B45" s="6">
        <f t="shared" si="4"/>
        <v>0.92274575140626314</v>
      </c>
      <c r="C45" s="6">
        <f t="shared" si="5"/>
        <v>-0.61803398874989479</v>
      </c>
      <c r="D45" s="6">
        <f t="shared" si="6"/>
        <v>0.97007240450085741</v>
      </c>
    </row>
    <row r="46" spans="1:4">
      <c r="A46" s="6">
        <f t="shared" si="3"/>
        <v>19.5</v>
      </c>
      <c r="B46" s="6">
        <f t="shared" si="4"/>
        <v>0.96089138373994232</v>
      </c>
      <c r="C46" s="6">
        <f t="shared" si="5"/>
        <v>-0.31286893008046174</v>
      </c>
      <c r="D46" s="6">
        <f t="shared" si="6"/>
        <v>0.98531122463159415</v>
      </c>
    </row>
    <row r="47" spans="1:4">
      <c r="A47" s="6">
        <f t="shared" si="3"/>
        <v>20</v>
      </c>
      <c r="B47" s="6">
        <f t="shared" si="4"/>
        <v>1</v>
      </c>
      <c r="C47" s="6">
        <f t="shared" si="5"/>
        <v>0</v>
      </c>
      <c r="D47" s="6">
        <f t="shared" si="6"/>
        <v>1</v>
      </c>
    </row>
    <row r="48" spans="1:4">
      <c r="A48" s="6">
        <f t="shared" si="3"/>
        <v>20.5</v>
      </c>
      <c r="B48" s="6">
        <f t="shared" si="4"/>
        <v>1.0391086162600578</v>
      </c>
      <c r="C48" s="6">
        <f t="shared" si="5"/>
        <v>0.31286893008046174</v>
      </c>
      <c r="D48" s="6">
        <f t="shared" si="6"/>
        <v>1.0146887753684057</v>
      </c>
    </row>
    <row r="49" spans="1:4">
      <c r="A49" s="6">
        <f t="shared" si="3"/>
        <v>21</v>
      </c>
      <c r="B49" s="6">
        <f t="shared" si="4"/>
        <v>1.0772542485937369</v>
      </c>
      <c r="C49" s="6">
        <f t="shared" si="5"/>
        <v>0.61803398874989479</v>
      </c>
      <c r="D49" s="6">
        <f t="shared" si="6"/>
        <v>1.0299275954991425</v>
      </c>
    </row>
    <row r="50" spans="1:4">
      <c r="A50" s="6">
        <f t="shared" si="3"/>
        <v>21.5</v>
      </c>
      <c r="B50" s="6">
        <f t="shared" si="4"/>
        <v>1.1134976249348867</v>
      </c>
      <c r="C50" s="6">
        <f t="shared" si="5"/>
        <v>0.9079809994790935</v>
      </c>
      <c r="D50" s="6">
        <f t="shared" si="6"/>
        <v>1.0462294586258449</v>
      </c>
    </row>
    <row r="51" spans="1:4">
      <c r="A51" s="6">
        <f t="shared" si="3"/>
        <v>22</v>
      </c>
      <c r="B51" s="6">
        <f t="shared" si="4"/>
        <v>1.1469463130731183</v>
      </c>
      <c r="C51" s="6">
        <f t="shared" si="5"/>
        <v>1.1755705045849463</v>
      </c>
      <c r="D51" s="6">
        <f t="shared" si="6"/>
        <v>1.0640290314891505</v>
      </c>
    </row>
    <row r="52" spans="1:4">
      <c r="A52" s="6">
        <f t="shared" si="3"/>
        <v>22.5</v>
      </c>
      <c r="B52" s="6">
        <f t="shared" si="4"/>
        <v>1.176776695296637</v>
      </c>
      <c r="C52" s="6">
        <f t="shared" si="5"/>
        <v>1.4142135623730949</v>
      </c>
      <c r="D52" s="6">
        <f t="shared" si="6"/>
        <v>1.0836333053139411</v>
      </c>
    </row>
    <row r="53" spans="1:4">
      <c r="A53" s="6">
        <f t="shared" si="3"/>
        <v>23</v>
      </c>
      <c r="B53" s="6">
        <f t="shared" si="4"/>
        <v>1.2022542485937369</v>
      </c>
      <c r="C53" s="6">
        <f t="shared" si="5"/>
        <v>1.6180339887498949</v>
      </c>
      <c r="D53" s="6">
        <f t="shared" si="6"/>
        <v>1.1051615368797207</v>
      </c>
    </row>
    <row r="54" spans="1:4">
      <c r="A54" s="6">
        <f t="shared" si="3"/>
        <v>23.5</v>
      </c>
      <c r="B54" s="6">
        <f t="shared" si="4"/>
        <v>1.2227516310470921</v>
      </c>
      <c r="C54" s="6">
        <f t="shared" si="5"/>
        <v>1.7820130483767356</v>
      </c>
      <c r="D54" s="6">
        <f t="shared" si="6"/>
        <v>1.1284742789553481</v>
      </c>
    </row>
    <row r="55" spans="1:4">
      <c r="A55" s="6">
        <f t="shared" si="3"/>
        <v>24</v>
      </c>
      <c r="B55" s="6">
        <f t="shared" si="4"/>
        <v>1.2377641290737884</v>
      </c>
      <c r="C55" s="6">
        <f t="shared" si="5"/>
        <v>1.9021130325903071</v>
      </c>
      <c r="D55" s="6">
        <f t="shared" si="6"/>
        <v>1.1530955977550092</v>
      </c>
    </row>
    <row r="56" spans="1:4">
      <c r="A56" s="6">
        <f t="shared" si="3"/>
        <v>24.5</v>
      </c>
      <c r="B56" s="6">
        <f t="shared" si="4"/>
        <v>1.2469220851487846</v>
      </c>
      <c r="C56" s="6">
        <f t="shared" si="5"/>
        <v>1.9753766811902755</v>
      </c>
      <c r="D56" s="6">
        <f t="shared" si="6"/>
        <v>1.1781388740474148</v>
      </c>
    </row>
    <row r="57" spans="1:4">
      <c r="A57" s="6">
        <f t="shared" si="3"/>
        <v>25</v>
      </c>
      <c r="B57" s="6">
        <f t="shared" si="4"/>
        <v>1.25</v>
      </c>
      <c r="C57" s="6">
        <f t="shared" si="5"/>
        <v>2</v>
      </c>
      <c r="D57" s="6">
        <f t="shared" si="6"/>
        <v>1.2022542485937369</v>
      </c>
    </row>
    <row r="58" spans="1:4">
      <c r="A58" s="6">
        <f t="shared" si="3"/>
        <v>25.5</v>
      </c>
      <c r="B58" s="6">
        <f t="shared" si="4"/>
        <v>1.2469220851487846</v>
      </c>
      <c r="C58" s="6">
        <f t="shared" si="5"/>
        <v>1.9753766811902755</v>
      </c>
      <c r="D58" s="6">
        <f t="shared" si="6"/>
        <v>1.2236229347673873</v>
      </c>
    </row>
    <row r="59" spans="1:4">
      <c r="A59" s="6">
        <f t="shared" si="3"/>
        <v>26</v>
      </c>
      <c r="B59" s="6">
        <f t="shared" si="4"/>
        <v>1.2377641290737884</v>
      </c>
      <c r="C59" s="6">
        <f t="shared" si="5"/>
        <v>1.9021130325903073</v>
      </c>
      <c r="D59" s="6">
        <f t="shared" si="6"/>
        <v>1.2400270679457961</v>
      </c>
    </row>
    <row r="60" spans="1:4">
      <c r="A60" s="6">
        <f t="shared" si="3"/>
        <v>26.5</v>
      </c>
      <c r="B60" s="6">
        <f t="shared" si="4"/>
        <v>1.2227516310470921</v>
      </c>
      <c r="C60" s="6">
        <f t="shared" si="5"/>
        <v>1.7820130483767358</v>
      </c>
      <c r="D60" s="6">
        <f t="shared" si="6"/>
        <v>1.2490194628208888</v>
      </c>
    </row>
    <row r="61" spans="1:4">
      <c r="A61" s="6">
        <f t="shared" si="3"/>
        <v>27</v>
      </c>
      <c r="B61" s="6">
        <f t="shared" si="4"/>
        <v>1.2022542485937369</v>
      </c>
      <c r="C61" s="6">
        <f t="shared" si="5"/>
        <v>1.6180339887498949</v>
      </c>
      <c r="D61" s="6">
        <f t="shared" si="6"/>
        <v>1.2482022139861764</v>
      </c>
    </row>
    <row r="62" spans="1:4">
      <c r="A62" s="6">
        <f t="shared" si="3"/>
        <v>27.5</v>
      </c>
      <c r="B62" s="6">
        <f t="shared" si="4"/>
        <v>1.176776695296637</v>
      </c>
      <c r="C62" s="6">
        <f t="shared" si="5"/>
        <v>1.4142135623730951</v>
      </c>
      <c r="D62" s="6">
        <f t="shared" si="6"/>
        <v>1.235595989444356</v>
      </c>
    </row>
    <row r="63" spans="1:4">
      <c r="A63" s="6">
        <f t="shared" si="3"/>
        <v>28</v>
      </c>
      <c r="B63" s="6">
        <f t="shared" si="4"/>
        <v>1.1469463130731183</v>
      </c>
      <c r="C63" s="6">
        <f t="shared" si="5"/>
        <v>1.1755705045849465</v>
      </c>
      <c r="D63" s="6">
        <f t="shared" si="6"/>
        <v>1.2100476904557016</v>
      </c>
    </row>
    <row r="64" spans="1:4">
      <c r="A64" s="6">
        <f t="shared" si="3"/>
        <v>28.5</v>
      </c>
      <c r="B64" s="6">
        <f t="shared" si="4"/>
        <v>1.1134976249348867</v>
      </c>
      <c r="C64" s="6">
        <f t="shared" si="5"/>
        <v>0.90798099947909372</v>
      </c>
      <c r="D64" s="6">
        <f t="shared" si="6"/>
        <v>1.1715931747302606</v>
      </c>
    </row>
    <row r="65" spans="1:4">
      <c r="A65" s="6">
        <f t="shared" si="3"/>
        <v>29</v>
      </c>
      <c r="B65" s="6">
        <f t="shared" si="4"/>
        <v>1.0772542485937369</v>
      </c>
      <c r="C65" s="6">
        <f t="shared" si="5"/>
        <v>0.61803398874989501</v>
      </c>
      <c r="D65" s="6">
        <f t="shared" si="6"/>
        <v>1.1216776676078295</v>
      </c>
    </row>
    <row r="66" spans="1:4">
      <c r="A66" s="6">
        <f t="shared" si="3"/>
        <v>29.5</v>
      </c>
      <c r="B66" s="6">
        <f t="shared" si="4"/>
        <v>1.0391086162600578</v>
      </c>
      <c r="C66" s="6">
        <f t="shared" si="5"/>
        <v>0.31286893008046196</v>
      </c>
      <c r="D66" s="6">
        <f t="shared" si="6"/>
        <v>1.063150930691505</v>
      </c>
    </row>
    <row r="67" spans="1:4">
      <c r="A67" s="6">
        <f t="shared" si="3"/>
        <v>30</v>
      </c>
      <c r="B67" s="6">
        <f t="shared" si="4"/>
        <v>1</v>
      </c>
      <c r="C67" s="6">
        <f t="shared" si="5"/>
        <v>2.45029690981724E-16</v>
      </c>
      <c r="D67" s="6">
        <f t="shared" si="6"/>
        <v>1</v>
      </c>
    </row>
    <row r="68" spans="1:4">
      <c r="A68" s="6">
        <f t="shared" si="3"/>
        <v>30.5</v>
      </c>
      <c r="B68" s="6">
        <f t="shared" si="4"/>
        <v>0.96089138373994232</v>
      </c>
      <c r="C68" s="6">
        <f t="shared" si="5"/>
        <v>-0.31286893008046146</v>
      </c>
      <c r="D68" s="6">
        <f t="shared" si="6"/>
        <v>0.9368490693084951</v>
      </c>
    </row>
    <row r="69" spans="1:4">
      <c r="A69" s="6">
        <f t="shared" si="3"/>
        <v>31</v>
      </c>
      <c r="B69" s="6">
        <f t="shared" si="4"/>
        <v>0.92274575140626325</v>
      </c>
      <c r="C69" s="6">
        <f t="shared" si="5"/>
        <v>-0.61803398874989379</v>
      </c>
      <c r="D69" s="6">
        <f t="shared" si="6"/>
        <v>0.87832233239217061</v>
      </c>
    </row>
    <row r="70" spans="1:4">
      <c r="A70" s="6">
        <f t="shared" si="3"/>
        <v>31.5</v>
      </c>
      <c r="B70" s="6">
        <f t="shared" si="4"/>
        <v>0.88650237506511331</v>
      </c>
      <c r="C70" s="6">
        <f t="shared" si="5"/>
        <v>-0.90798099947909339</v>
      </c>
      <c r="D70" s="6">
        <f t="shared" si="6"/>
        <v>0.82840682526973941</v>
      </c>
    </row>
    <row r="71" spans="1:4">
      <c r="A71" s="6">
        <f t="shared" si="3"/>
        <v>32</v>
      </c>
      <c r="B71" s="6">
        <f t="shared" ref="B71:B102" si="7">1+Amplitude*SIN((A71-BaseTime-Phase)*2*PI()/Period)</f>
        <v>0.85305368692688177</v>
      </c>
      <c r="C71" s="6">
        <f t="shared" ref="C71:C107" si="8">InnerAmp*SIN((A71-InnerBaseT-InnerPhs)*2*PI()/InnerPer)</f>
        <v>-1.1755705045849461</v>
      </c>
      <c r="D71" s="6">
        <f t="shared" ref="D71:D107" si="9">1+Amplitude*SIN((A71-BaseTime-Phase-InnerAmp*SIN((A71-InnerBaseT-InnerPhs)*2*PI()/InnerPer))*2*PI()/Period)</f>
        <v>0.7899523095442984</v>
      </c>
    </row>
    <row r="72" spans="1:4">
      <c r="A72" s="6">
        <f t="shared" si="3"/>
        <v>32.5</v>
      </c>
      <c r="B72" s="6">
        <f t="shared" si="7"/>
        <v>0.82322330470336313</v>
      </c>
      <c r="C72" s="6">
        <f t="shared" si="8"/>
        <v>-1.4142135623730949</v>
      </c>
      <c r="D72" s="6">
        <f t="shared" si="9"/>
        <v>0.764404010555644</v>
      </c>
    </row>
    <row r="73" spans="1:4">
      <c r="A73" s="6">
        <f t="shared" ref="A73:A107" si="10">A72+$B$1</f>
        <v>33</v>
      </c>
      <c r="B73" s="6">
        <f t="shared" si="7"/>
        <v>0.79774575140626314</v>
      </c>
      <c r="C73" s="6">
        <f t="shared" si="8"/>
        <v>-1.6180339887498947</v>
      </c>
      <c r="D73" s="6">
        <f t="shared" si="9"/>
        <v>0.75179778601382363</v>
      </c>
    </row>
    <row r="74" spans="1:4">
      <c r="A74" s="6">
        <f t="shared" si="10"/>
        <v>33.5</v>
      </c>
      <c r="B74" s="6">
        <f t="shared" si="7"/>
        <v>0.77724836895290805</v>
      </c>
      <c r="C74" s="6">
        <f t="shared" si="8"/>
        <v>-1.7820130483767356</v>
      </c>
      <c r="D74" s="6">
        <f t="shared" si="9"/>
        <v>0.75098053717911117</v>
      </c>
    </row>
    <row r="75" spans="1:4">
      <c r="A75" s="6">
        <f t="shared" si="10"/>
        <v>34</v>
      </c>
      <c r="B75" s="6">
        <f t="shared" si="7"/>
        <v>0.76223587092621159</v>
      </c>
      <c r="C75" s="6">
        <f t="shared" si="8"/>
        <v>-1.9021130325903071</v>
      </c>
      <c r="D75" s="6">
        <f t="shared" si="9"/>
        <v>0.75997293205420391</v>
      </c>
    </row>
    <row r="76" spans="1:4">
      <c r="A76" s="6">
        <f t="shared" si="10"/>
        <v>34.5</v>
      </c>
      <c r="B76" s="6">
        <f t="shared" si="7"/>
        <v>0.75307791485121556</v>
      </c>
      <c r="C76" s="6">
        <f t="shared" si="8"/>
        <v>-1.9753766811902753</v>
      </c>
      <c r="D76" s="6">
        <f t="shared" si="9"/>
        <v>0.77637706523261274</v>
      </c>
    </row>
    <row r="77" spans="1:4">
      <c r="A77" s="6">
        <f t="shared" si="10"/>
        <v>35</v>
      </c>
      <c r="B77" s="6">
        <f t="shared" si="7"/>
        <v>0.75</v>
      </c>
      <c r="C77" s="6">
        <f t="shared" si="8"/>
        <v>-2</v>
      </c>
      <c r="D77" s="6">
        <f t="shared" si="9"/>
        <v>0.79774575140626314</v>
      </c>
    </row>
    <row r="78" spans="1:4">
      <c r="A78" s="6">
        <f t="shared" si="10"/>
        <v>35.5</v>
      </c>
      <c r="B78" s="6">
        <f t="shared" si="7"/>
        <v>0.75307791485121556</v>
      </c>
      <c r="C78" s="6">
        <f t="shared" si="8"/>
        <v>-1.9753766811902755</v>
      </c>
      <c r="D78" s="6">
        <f t="shared" si="9"/>
        <v>0.82186112595258509</v>
      </c>
    </row>
    <row r="79" spans="1:4">
      <c r="A79" s="6">
        <f t="shared" si="10"/>
        <v>36</v>
      </c>
      <c r="B79" s="6">
        <f t="shared" si="7"/>
        <v>0.76223587092621159</v>
      </c>
      <c r="C79" s="6">
        <f t="shared" si="8"/>
        <v>-1.9021130325903073</v>
      </c>
      <c r="D79" s="6">
        <f t="shared" si="9"/>
        <v>0.84690440224499053</v>
      </c>
    </row>
    <row r="80" spans="1:4">
      <c r="A80" s="6">
        <f t="shared" si="10"/>
        <v>36.5</v>
      </c>
      <c r="B80" s="6">
        <f t="shared" si="7"/>
        <v>0.77724836895290805</v>
      </c>
      <c r="C80" s="6">
        <f t="shared" si="8"/>
        <v>-1.7820130483767358</v>
      </c>
      <c r="D80" s="6">
        <f t="shared" si="9"/>
        <v>0.87152572104465187</v>
      </c>
    </row>
    <row r="81" spans="1:4">
      <c r="A81" s="6">
        <f t="shared" si="10"/>
        <v>37</v>
      </c>
      <c r="B81" s="6">
        <f t="shared" si="7"/>
        <v>0.79774575140626314</v>
      </c>
      <c r="C81" s="6">
        <f t="shared" si="8"/>
        <v>-1.6180339887498951</v>
      </c>
      <c r="D81" s="6">
        <f t="shared" si="9"/>
        <v>0.89483846312027926</v>
      </c>
    </row>
    <row r="82" spans="1:4">
      <c r="A82" s="6">
        <f t="shared" si="10"/>
        <v>37.5</v>
      </c>
      <c r="B82" s="6">
        <f t="shared" si="7"/>
        <v>0.82322330470336302</v>
      </c>
      <c r="C82" s="6">
        <f t="shared" si="8"/>
        <v>-1.4142135623730954</v>
      </c>
      <c r="D82" s="6">
        <f t="shared" si="9"/>
        <v>0.9163666946860588</v>
      </c>
    </row>
    <row r="83" spans="1:4">
      <c r="A83" s="6">
        <f t="shared" si="10"/>
        <v>38</v>
      </c>
      <c r="B83" s="6">
        <f t="shared" si="7"/>
        <v>0.85305368692688166</v>
      </c>
      <c r="C83" s="6">
        <f t="shared" si="8"/>
        <v>-1.1755705045849467</v>
      </c>
      <c r="D83" s="6">
        <f t="shared" si="9"/>
        <v>0.93597096851084949</v>
      </c>
    </row>
    <row r="84" spans="1:4">
      <c r="A84" s="6">
        <f t="shared" si="10"/>
        <v>38.5</v>
      </c>
      <c r="B84" s="6">
        <f t="shared" si="7"/>
        <v>0.88650237506511331</v>
      </c>
      <c r="C84" s="6">
        <f t="shared" si="8"/>
        <v>-0.90798099947909394</v>
      </c>
      <c r="D84" s="6">
        <f t="shared" si="9"/>
        <v>0.95377054137415507</v>
      </c>
    </row>
    <row r="85" spans="1:4">
      <c r="A85" s="6">
        <f t="shared" si="10"/>
        <v>39</v>
      </c>
      <c r="B85" s="6">
        <f t="shared" si="7"/>
        <v>0.92274575140626314</v>
      </c>
      <c r="C85" s="6">
        <f t="shared" si="8"/>
        <v>-0.61803398874989524</v>
      </c>
      <c r="D85" s="6">
        <f t="shared" si="9"/>
        <v>0.97007240450085752</v>
      </c>
    </row>
    <row r="86" spans="1:4">
      <c r="A86" s="6">
        <f t="shared" si="10"/>
        <v>39.5</v>
      </c>
      <c r="B86" s="6">
        <f t="shared" si="7"/>
        <v>0.96089138373994221</v>
      </c>
      <c r="C86" s="6">
        <f t="shared" si="8"/>
        <v>-0.31286893008046224</v>
      </c>
      <c r="D86" s="6">
        <f t="shared" si="9"/>
        <v>0.98531122463159404</v>
      </c>
    </row>
    <row r="87" spans="1:4">
      <c r="A87" s="6">
        <f t="shared" si="10"/>
        <v>40</v>
      </c>
      <c r="B87" s="6">
        <f t="shared" si="7"/>
        <v>0.99999999999999989</v>
      </c>
      <c r="C87" s="6">
        <f t="shared" si="8"/>
        <v>-4.90059381963448E-16</v>
      </c>
      <c r="D87" s="6">
        <f t="shared" si="9"/>
        <v>0.99999999999999989</v>
      </c>
    </row>
    <row r="88" spans="1:4">
      <c r="A88" s="6">
        <f t="shared" si="10"/>
        <v>40.5</v>
      </c>
      <c r="B88" s="6">
        <f t="shared" si="7"/>
        <v>1.0391086162600573</v>
      </c>
      <c r="C88" s="6">
        <f t="shared" si="8"/>
        <v>0.31286893008045946</v>
      </c>
      <c r="D88" s="6">
        <f t="shared" si="9"/>
        <v>1.014688775368406</v>
      </c>
    </row>
    <row r="89" spans="1:4">
      <c r="A89" s="6">
        <f t="shared" si="10"/>
        <v>41</v>
      </c>
      <c r="B89" s="6">
        <f t="shared" si="7"/>
        <v>1.0772542485937369</v>
      </c>
      <c r="C89" s="6">
        <f t="shared" si="8"/>
        <v>0.61803398874989435</v>
      </c>
      <c r="D89" s="6">
        <f t="shared" si="9"/>
        <v>1.0299275954991425</v>
      </c>
    </row>
    <row r="90" spans="1:4">
      <c r="A90" s="6">
        <f t="shared" si="10"/>
        <v>41.5</v>
      </c>
      <c r="B90" s="6">
        <f t="shared" si="7"/>
        <v>1.1134976249348867</v>
      </c>
      <c r="C90" s="6">
        <f t="shared" si="8"/>
        <v>0.90798099947909316</v>
      </c>
      <c r="D90" s="6">
        <f t="shared" si="9"/>
        <v>1.0462294586258447</v>
      </c>
    </row>
    <row r="91" spans="1:4">
      <c r="A91" s="6">
        <f t="shared" si="10"/>
        <v>42</v>
      </c>
      <c r="B91" s="6">
        <f t="shared" si="7"/>
        <v>1.1469463130731181</v>
      </c>
      <c r="C91" s="6">
        <f t="shared" si="8"/>
        <v>1.1755705045849443</v>
      </c>
      <c r="D91" s="6">
        <f t="shared" si="9"/>
        <v>1.0640290314891505</v>
      </c>
    </row>
    <row r="92" spans="1:4">
      <c r="A92" s="6">
        <f t="shared" si="10"/>
        <v>42.5</v>
      </c>
      <c r="B92" s="6">
        <f t="shared" si="7"/>
        <v>1.1767766952966368</v>
      </c>
      <c r="C92" s="6">
        <f t="shared" si="8"/>
        <v>1.4142135623730947</v>
      </c>
      <c r="D92" s="6">
        <f t="shared" si="9"/>
        <v>1.0836333053139409</v>
      </c>
    </row>
    <row r="93" spans="1:4">
      <c r="A93" s="6">
        <f t="shared" si="10"/>
        <v>43</v>
      </c>
      <c r="B93" s="6">
        <f t="shared" si="7"/>
        <v>1.2022542485937369</v>
      </c>
      <c r="C93" s="6">
        <f t="shared" si="8"/>
        <v>1.6180339887498945</v>
      </c>
      <c r="D93" s="6">
        <f t="shared" si="9"/>
        <v>1.1051615368797207</v>
      </c>
    </row>
    <row r="94" spans="1:4">
      <c r="A94" s="6">
        <f t="shared" si="10"/>
        <v>43.5</v>
      </c>
      <c r="B94" s="6">
        <f t="shared" si="7"/>
        <v>1.2227516310470921</v>
      </c>
      <c r="C94" s="6">
        <f t="shared" si="8"/>
        <v>1.7820130483767362</v>
      </c>
      <c r="D94" s="6">
        <f t="shared" si="9"/>
        <v>1.1284742789553479</v>
      </c>
    </row>
    <row r="95" spans="1:4">
      <c r="A95" s="6">
        <f t="shared" si="10"/>
        <v>44</v>
      </c>
      <c r="B95" s="6">
        <f t="shared" si="7"/>
        <v>1.2377641290737884</v>
      </c>
      <c r="C95" s="6">
        <f t="shared" si="8"/>
        <v>1.9021130325903071</v>
      </c>
      <c r="D95" s="6">
        <f t="shared" si="9"/>
        <v>1.1530955977550095</v>
      </c>
    </row>
    <row r="96" spans="1:4">
      <c r="A96" s="6">
        <f t="shared" si="10"/>
        <v>44.5</v>
      </c>
      <c r="B96" s="6">
        <f t="shared" si="7"/>
        <v>1.2469220851487843</v>
      </c>
      <c r="C96" s="6">
        <f t="shared" si="8"/>
        <v>1.9753766811902751</v>
      </c>
      <c r="D96" s="6">
        <f t="shared" si="9"/>
        <v>1.1781388740474148</v>
      </c>
    </row>
    <row r="97" spans="1:4">
      <c r="A97" s="6">
        <f t="shared" si="10"/>
        <v>45</v>
      </c>
      <c r="B97" s="6">
        <f t="shared" si="7"/>
        <v>1.25</v>
      </c>
      <c r="C97" s="6">
        <f t="shared" si="8"/>
        <v>2</v>
      </c>
      <c r="D97" s="6">
        <f t="shared" si="9"/>
        <v>1.2022542485937369</v>
      </c>
    </row>
    <row r="98" spans="1:4">
      <c r="A98" s="6">
        <f t="shared" si="10"/>
        <v>45.5</v>
      </c>
      <c r="B98" s="6">
        <f t="shared" si="7"/>
        <v>1.2469220851487846</v>
      </c>
      <c r="C98" s="6">
        <f t="shared" si="8"/>
        <v>1.9753766811902758</v>
      </c>
      <c r="D98" s="6">
        <f t="shared" si="9"/>
        <v>1.2236229347673873</v>
      </c>
    </row>
    <row r="99" spans="1:4">
      <c r="A99" s="6">
        <f t="shared" si="10"/>
        <v>46</v>
      </c>
      <c r="B99" s="6">
        <f t="shared" si="7"/>
        <v>1.2377641290737884</v>
      </c>
      <c r="C99" s="6">
        <f t="shared" si="8"/>
        <v>1.9021130325903073</v>
      </c>
      <c r="D99" s="6">
        <f t="shared" si="9"/>
        <v>1.2400270679457961</v>
      </c>
    </row>
    <row r="100" spans="1:4">
      <c r="A100" s="6">
        <f t="shared" si="10"/>
        <v>46.5</v>
      </c>
      <c r="B100" s="6">
        <f t="shared" si="7"/>
        <v>1.2227516310470918</v>
      </c>
      <c r="C100" s="6">
        <f t="shared" si="8"/>
        <v>1.7820130483767351</v>
      </c>
      <c r="D100" s="6">
        <f t="shared" si="9"/>
        <v>1.2490194628208888</v>
      </c>
    </row>
    <row r="101" spans="1:4">
      <c r="A101" s="6">
        <f t="shared" si="10"/>
        <v>47</v>
      </c>
      <c r="B101" s="6">
        <f t="shared" si="7"/>
        <v>1.2022542485937369</v>
      </c>
      <c r="C101" s="6">
        <f t="shared" si="8"/>
        <v>1.6180339887498953</v>
      </c>
      <c r="D101" s="6">
        <f t="shared" si="9"/>
        <v>1.2482022139861764</v>
      </c>
    </row>
    <row r="102" spans="1:4">
      <c r="A102" s="6">
        <f t="shared" si="10"/>
        <v>47.5</v>
      </c>
      <c r="B102" s="6">
        <f t="shared" si="7"/>
        <v>1.1767766952966368</v>
      </c>
      <c r="C102" s="6">
        <f t="shared" si="8"/>
        <v>1.4142135623730943</v>
      </c>
      <c r="D102" s="6">
        <f t="shared" si="9"/>
        <v>1.235595989444356</v>
      </c>
    </row>
    <row r="103" spans="1:4">
      <c r="A103" s="6">
        <f t="shared" si="10"/>
        <v>48</v>
      </c>
      <c r="B103" s="6">
        <f t="shared" ref="B103:B107" si="11">1+Amplitude*SIN((A103-BaseTime-Phase)*2*PI()/Period)</f>
        <v>1.1469463130731183</v>
      </c>
      <c r="C103" s="6">
        <f t="shared" si="8"/>
        <v>1.1755705045849467</v>
      </c>
      <c r="D103" s="6">
        <f t="shared" si="9"/>
        <v>1.2100476904557016</v>
      </c>
    </row>
    <row r="104" spans="1:4">
      <c r="A104" s="6">
        <f t="shared" si="10"/>
        <v>48.5</v>
      </c>
      <c r="B104" s="6">
        <f t="shared" si="11"/>
        <v>1.1134976249348869</v>
      </c>
      <c r="C104" s="6">
        <f t="shared" si="8"/>
        <v>0.90798099947909583</v>
      </c>
      <c r="D104" s="6">
        <f t="shared" si="9"/>
        <v>1.1715931747302608</v>
      </c>
    </row>
    <row r="105" spans="1:4">
      <c r="A105" s="6">
        <f t="shared" si="10"/>
        <v>49</v>
      </c>
      <c r="B105" s="6">
        <f t="shared" si="11"/>
        <v>1.0772542485937369</v>
      </c>
      <c r="C105" s="6">
        <f t="shared" si="8"/>
        <v>0.61803398874989557</v>
      </c>
      <c r="D105" s="6">
        <f t="shared" si="9"/>
        <v>1.1216776676078297</v>
      </c>
    </row>
    <row r="106" spans="1:4">
      <c r="A106" s="6">
        <f t="shared" si="10"/>
        <v>49.5</v>
      </c>
      <c r="B106" s="6">
        <f t="shared" si="11"/>
        <v>1.039108616260058</v>
      </c>
      <c r="C106" s="6">
        <f t="shared" si="8"/>
        <v>0.31286893008046418</v>
      </c>
      <c r="D106" s="6">
        <f t="shared" si="9"/>
        <v>1.0631509306915052</v>
      </c>
    </row>
    <row r="107" spans="1:4">
      <c r="A107" s="6">
        <f t="shared" si="10"/>
        <v>50</v>
      </c>
      <c r="B107" s="6">
        <f t="shared" si="11"/>
        <v>1</v>
      </c>
      <c r="C107" s="6">
        <f t="shared" si="8"/>
        <v>7.3508907294517201E-16</v>
      </c>
      <c r="D107" s="6">
        <f t="shared" si="9"/>
        <v>1</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9"/>
  <sheetViews>
    <sheetView workbookViewId="0"/>
  </sheetViews>
  <sheetFormatPr defaultColWidth="8.88671875" defaultRowHeight="14.4"/>
  <sheetData>
    <row r="1" spans="1:80">
      <c r="A1">
        <v>9</v>
      </c>
      <c r="B1">
        <v>1</v>
      </c>
    </row>
    <row r="2" spans="1:80">
      <c r="A2" s="1" t="e">
        <f>#REF!</f>
        <v>#REF!</v>
      </c>
      <c r="B2" t="b">
        <v>0</v>
      </c>
      <c r="C2">
        <v>1</v>
      </c>
      <c r="D2">
        <v>1</v>
      </c>
      <c r="E2" t="s">
        <v>1</v>
      </c>
      <c r="F2">
        <v>1</v>
      </c>
      <c r="G2" s="1" t="e">
        <f>#REF!</f>
        <v>#REF!</v>
      </c>
      <c r="H2">
        <v>0</v>
      </c>
      <c r="I2">
        <v>1</v>
      </c>
      <c r="J2" t="b">
        <v>1</v>
      </c>
      <c r="K2" t="b">
        <v>0</v>
      </c>
      <c r="L2">
        <v>1</v>
      </c>
      <c r="M2" t="b">
        <v>0</v>
      </c>
      <c r="N2" t="e">
        <f>_</f>
        <v>#NAME?</v>
      </c>
    </row>
    <row r="3" spans="1:80">
      <c r="A3">
        <v>0</v>
      </c>
    </row>
    <row r="4" spans="1:80">
      <c r="A4" s="1" t="e">
        <f>#REF!</f>
        <v>#REF!</v>
      </c>
      <c r="B4" t="b">
        <v>1</v>
      </c>
      <c r="C4">
        <v>0</v>
      </c>
      <c r="D4">
        <v>1</v>
      </c>
      <c r="E4" t="s">
        <v>2</v>
      </c>
      <c r="F4">
        <v>1</v>
      </c>
      <c r="G4">
        <v>0</v>
      </c>
      <c r="H4">
        <v>0</v>
      </c>
      <c r="J4" t="s">
        <v>3</v>
      </c>
      <c r="K4" t="s">
        <v>4</v>
      </c>
      <c r="L4" t="s">
        <v>5</v>
      </c>
      <c r="AG4" s="1" t="e">
        <f>#REF!</f>
        <v>#REF!</v>
      </c>
      <c r="AH4">
        <v>1</v>
      </c>
      <c r="AI4">
        <v>1</v>
      </c>
      <c r="AJ4" t="b">
        <v>0</v>
      </c>
      <c r="AK4" t="b">
        <v>1</v>
      </c>
      <c r="AL4">
        <v>0</v>
      </c>
      <c r="AM4" t="b">
        <v>0</v>
      </c>
      <c r="AN4" t="e">
        <f t="shared" ref="AN4:AN12" si="0">_</f>
        <v>#NAME?</v>
      </c>
    </row>
    <row r="5" spans="1:80">
      <c r="A5" s="1" t="e">
        <f>#REF!</f>
        <v>#REF!</v>
      </c>
      <c r="B5" t="b">
        <v>1</v>
      </c>
      <c r="C5">
        <v>0</v>
      </c>
      <c r="D5">
        <v>1</v>
      </c>
      <c r="E5" t="s">
        <v>6</v>
      </c>
      <c r="F5">
        <v>2</v>
      </c>
      <c r="G5">
        <v>1</v>
      </c>
      <c r="H5">
        <v>1</v>
      </c>
      <c r="I5" t="s">
        <v>7</v>
      </c>
      <c r="J5" t="s">
        <v>3</v>
      </c>
      <c r="K5" t="s">
        <v>4</v>
      </c>
      <c r="L5" t="s">
        <v>5</v>
      </c>
      <c r="AG5" s="1" t="e">
        <f>#REF!</f>
        <v>#REF!</v>
      </c>
      <c r="AH5">
        <v>4</v>
      </c>
      <c r="AI5">
        <v>1</v>
      </c>
      <c r="AJ5" t="b">
        <v>0</v>
      </c>
      <c r="AK5" t="b">
        <v>1</v>
      </c>
      <c r="AL5">
        <v>0</v>
      </c>
      <c r="AM5" t="b">
        <v>0</v>
      </c>
      <c r="AN5" t="e">
        <f t="shared" si="0"/>
        <v>#NAME?</v>
      </c>
      <c r="AO5" s="1" t="e">
        <f>#REF!</f>
        <v>#REF!</v>
      </c>
      <c r="AP5">
        <v>1</v>
      </c>
      <c r="AQ5">
        <v>1</v>
      </c>
      <c r="AR5" t="b">
        <v>0</v>
      </c>
      <c r="AS5" t="b">
        <v>1</v>
      </c>
      <c r="AT5">
        <v>0</v>
      </c>
      <c r="AU5" t="b">
        <v>0</v>
      </c>
      <c r="AV5" t="e">
        <f>_</f>
        <v>#NAME?</v>
      </c>
    </row>
    <row r="6" spans="1:80">
      <c r="A6" s="1" t="e">
        <f>#REF!</f>
        <v>#REF!</v>
      </c>
      <c r="B6" t="b">
        <v>1</v>
      </c>
      <c r="C6">
        <v>0</v>
      </c>
      <c r="D6">
        <v>1</v>
      </c>
      <c r="E6" t="s">
        <v>8</v>
      </c>
      <c r="F6">
        <v>2</v>
      </c>
      <c r="G6">
        <v>0</v>
      </c>
      <c r="H6">
        <v>0</v>
      </c>
      <c r="J6" t="s">
        <v>3</v>
      </c>
      <c r="K6" t="s">
        <v>4</v>
      </c>
      <c r="L6" t="s">
        <v>5</v>
      </c>
      <c r="AG6" s="1" t="e">
        <f>#REF!</f>
        <v>#REF!</v>
      </c>
      <c r="AH6">
        <v>7</v>
      </c>
      <c r="AI6">
        <v>1</v>
      </c>
      <c r="AJ6" t="b">
        <v>0</v>
      </c>
      <c r="AK6" t="b">
        <v>1</v>
      </c>
      <c r="AL6">
        <v>0</v>
      </c>
      <c r="AM6" t="b">
        <v>0</v>
      </c>
      <c r="AN6" t="e">
        <f t="shared" si="0"/>
        <v>#NAME?</v>
      </c>
      <c r="AO6" s="1" t="e">
        <f>#REF!</f>
        <v>#REF!</v>
      </c>
      <c r="AP6">
        <v>10</v>
      </c>
      <c r="AQ6">
        <v>1</v>
      </c>
      <c r="AR6" t="b">
        <v>0</v>
      </c>
      <c r="AS6" t="b">
        <v>1</v>
      </c>
      <c r="AT6">
        <v>0</v>
      </c>
      <c r="AU6" t="b">
        <v>0</v>
      </c>
      <c r="AV6" t="e">
        <f>_</f>
        <v>#NAME?</v>
      </c>
    </row>
    <row r="7" spans="1:80">
      <c r="A7" s="1" t="e">
        <f>#REF!</f>
        <v>#REF!</v>
      </c>
      <c r="B7" t="b">
        <v>1</v>
      </c>
      <c r="C7">
        <v>0</v>
      </c>
      <c r="D7">
        <v>1</v>
      </c>
      <c r="E7" t="s">
        <v>9</v>
      </c>
      <c r="F7">
        <v>2</v>
      </c>
      <c r="G7">
        <v>0</v>
      </c>
      <c r="H7">
        <v>0</v>
      </c>
      <c r="J7" t="s">
        <v>3</v>
      </c>
      <c r="K7" t="s">
        <v>4</v>
      </c>
      <c r="L7" t="s">
        <v>5</v>
      </c>
      <c r="AG7" s="1" t="e">
        <f>#REF!</f>
        <v>#REF!</v>
      </c>
      <c r="AH7">
        <v>10</v>
      </c>
      <c r="AI7">
        <v>1</v>
      </c>
      <c r="AJ7" t="b">
        <v>0</v>
      </c>
      <c r="AK7" t="b">
        <v>1</v>
      </c>
      <c r="AL7">
        <v>0</v>
      </c>
      <c r="AM7" t="b">
        <v>0</v>
      </c>
      <c r="AN7" t="e">
        <f t="shared" si="0"/>
        <v>#NAME?</v>
      </c>
      <c r="AO7" s="1" t="e">
        <f>#REF!</f>
        <v>#REF!</v>
      </c>
      <c r="AP7">
        <v>7</v>
      </c>
      <c r="AQ7">
        <v>1</v>
      </c>
      <c r="AR7" t="b">
        <v>0</v>
      </c>
      <c r="AS7" t="b">
        <v>1</v>
      </c>
      <c r="AT7">
        <v>0</v>
      </c>
      <c r="AU7" t="b">
        <v>0</v>
      </c>
      <c r="AV7" t="e">
        <f>_</f>
        <v>#NAME?</v>
      </c>
    </row>
    <row r="8" spans="1:80">
      <c r="A8" s="1" t="e">
        <f>#REF!</f>
        <v>#REF!</v>
      </c>
      <c r="B8" t="b">
        <v>1</v>
      </c>
      <c r="C8">
        <v>0</v>
      </c>
      <c r="D8">
        <v>1</v>
      </c>
      <c r="E8" t="s">
        <v>10</v>
      </c>
      <c r="F8">
        <v>3</v>
      </c>
      <c r="G8">
        <v>0</v>
      </c>
      <c r="H8">
        <v>0</v>
      </c>
      <c r="J8" t="s">
        <v>3</v>
      </c>
      <c r="K8" t="s">
        <v>4</v>
      </c>
      <c r="L8" t="s">
        <v>5</v>
      </c>
      <c r="AG8" s="1" t="e">
        <f>#REF!</f>
        <v>#REF!</v>
      </c>
      <c r="AH8">
        <v>13</v>
      </c>
      <c r="AI8">
        <v>1</v>
      </c>
      <c r="AJ8" t="b">
        <v>0</v>
      </c>
      <c r="AK8" t="b">
        <v>1</v>
      </c>
      <c r="AL8">
        <v>0</v>
      </c>
      <c r="AM8" t="b">
        <v>0</v>
      </c>
      <c r="AN8" t="e">
        <f t="shared" si="0"/>
        <v>#NAME?</v>
      </c>
      <c r="AO8" t="e">
        <f>#REF!</f>
        <v>#REF!</v>
      </c>
      <c r="AP8">
        <v>14</v>
      </c>
      <c r="AQ8">
        <v>1</v>
      </c>
      <c r="AR8" t="b">
        <v>0</v>
      </c>
      <c r="AS8" t="b">
        <v>1</v>
      </c>
      <c r="AT8">
        <v>0</v>
      </c>
      <c r="AU8" t="b">
        <v>0</v>
      </c>
      <c r="AV8" t="e">
        <f>_</f>
        <v>#NAME?</v>
      </c>
      <c r="AW8" t="e">
        <f>#REF!</f>
        <v>#REF!</v>
      </c>
      <c r="AX8">
        <v>15</v>
      </c>
      <c r="AY8">
        <v>1</v>
      </c>
      <c r="AZ8" t="b">
        <v>0</v>
      </c>
      <c r="BA8" t="b">
        <v>1</v>
      </c>
      <c r="BB8">
        <v>0</v>
      </c>
      <c r="BC8" t="b">
        <v>0</v>
      </c>
      <c r="BD8" t="e">
        <f>_</f>
        <v>#NAME?</v>
      </c>
    </row>
    <row r="9" spans="1:80">
      <c r="A9" t="e">
        <f>#REF!</f>
        <v>#REF!</v>
      </c>
      <c r="B9" t="b">
        <v>1</v>
      </c>
      <c r="C9">
        <v>0</v>
      </c>
      <c r="D9">
        <v>1</v>
      </c>
      <c r="F9">
        <v>1</v>
      </c>
      <c r="G9">
        <v>1</v>
      </c>
      <c r="H9">
        <v>1</v>
      </c>
      <c r="I9" t="s">
        <v>11</v>
      </c>
      <c r="J9" t="s">
        <v>3</v>
      </c>
      <c r="K9" t="s">
        <v>4</v>
      </c>
      <c r="L9" t="s">
        <v>5</v>
      </c>
      <c r="AG9" t="e">
        <f>#REF!</f>
        <v>#REF!</v>
      </c>
      <c r="AH9">
        <v>14</v>
      </c>
      <c r="AI9">
        <v>1</v>
      </c>
      <c r="AJ9" t="b">
        <v>0</v>
      </c>
      <c r="AK9" t="b">
        <v>1</v>
      </c>
      <c r="AL9">
        <v>0</v>
      </c>
      <c r="AM9" t="b">
        <v>0</v>
      </c>
      <c r="AN9" t="e">
        <f t="shared" si="0"/>
        <v>#NAME?</v>
      </c>
    </row>
    <row r="10" spans="1:80">
      <c r="A10" t="e">
        <f>#REF!</f>
        <v>#REF!</v>
      </c>
      <c r="B10" t="b">
        <v>1</v>
      </c>
      <c r="C10">
        <v>0</v>
      </c>
      <c r="D10">
        <v>1</v>
      </c>
      <c r="F10">
        <v>1</v>
      </c>
      <c r="G10">
        <v>1</v>
      </c>
      <c r="H10">
        <v>1</v>
      </c>
      <c r="I10" t="s">
        <v>12</v>
      </c>
      <c r="J10" t="s">
        <v>3</v>
      </c>
      <c r="K10" t="s">
        <v>4</v>
      </c>
      <c r="L10" t="s">
        <v>5</v>
      </c>
      <c r="AG10" t="e">
        <f>#REF!</f>
        <v>#REF!</v>
      </c>
      <c r="AH10">
        <v>15</v>
      </c>
      <c r="AI10">
        <v>1</v>
      </c>
      <c r="AJ10" t="b">
        <v>0</v>
      </c>
      <c r="AK10" t="b">
        <v>1</v>
      </c>
      <c r="AL10">
        <v>0</v>
      </c>
      <c r="AM10" t="b">
        <v>0</v>
      </c>
      <c r="AN10" t="e">
        <f t="shared" si="0"/>
        <v>#NAME?</v>
      </c>
    </row>
    <row r="11" spans="1:80">
      <c r="A11" s="1" t="e">
        <f>#REF!</f>
        <v>#REF!</v>
      </c>
      <c r="B11" t="b">
        <v>1</v>
      </c>
      <c r="C11">
        <v>0</v>
      </c>
      <c r="D11">
        <v>1</v>
      </c>
      <c r="E11" t="s">
        <v>13</v>
      </c>
      <c r="F11">
        <v>4</v>
      </c>
      <c r="G11">
        <v>0</v>
      </c>
      <c r="H11">
        <v>0</v>
      </c>
      <c r="J11" t="s">
        <v>3</v>
      </c>
      <c r="K11" t="s">
        <v>4</v>
      </c>
      <c r="L11" t="s">
        <v>5</v>
      </c>
      <c r="AG11" s="1" t="e">
        <f>#REF!</f>
        <v>#REF!</v>
      </c>
      <c r="AH11">
        <v>16</v>
      </c>
      <c r="AI11">
        <v>1</v>
      </c>
      <c r="AJ11" t="b">
        <v>0</v>
      </c>
      <c r="AK11" t="b">
        <v>1</v>
      </c>
      <c r="AL11">
        <v>0</v>
      </c>
      <c r="AM11" t="b">
        <v>0</v>
      </c>
      <c r="AN11" t="e">
        <f t="shared" si="0"/>
        <v>#NAME?</v>
      </c>
      <c r="AO11" s="1" t="e">
        <f>#REF!</f>
        <v>#REF!</v>
      </c>
      <c r="AP11">
        <v>13</v>
      </c>
      <c r="AQ11">
        <v>1</v>
      </c>
      <c r="AR11" t="b">
        <v>0</v>
      </c>
      <c r="AS11" t="b">
        <v>1</v>
      </c>
      <c r="AT11">
        <v>0</v>
      </c>
      <c r="AU11" t="b">
        <v>0</v>
      </c>
      <c r="AV11" t="e">
        <f>_</f>
        <v>#NAME?</v>
      </c>
      <c r="AW11" s="1" t="e">
        <f>#REF!</f>
        <v>#REF!</v>
      </c>
      <c r="AX11">
        <v>4</v>
      </c>
      <c r="AY11">
        <v>1</v>
      </c>
      <c r="AZ11" t="b">
        <v>0</v>
      </c>
      <c r="BA11" t="b">
        <v>1</v>
      </c>
      <c r="BB11">
        <v>0</v>
      </c>
      <c r="BC11" t="b">
        <v>0</v>
      </c>
      <c r="BD11" t="e">
        <f>_</f>
        <v>#NAME?</v>
      </c>
      <c r="BE11" s="1" t="e">
        <f>#REF!</f>
        <v>#REF!</v>
      </c>
      <c r="BF11">
        <v>1</v>
      </c>
      <c r="BG11">
        <v>1</v>
      </c>
      <c r="BH11" t="b">
        <v>0</v>
      </c>
      <c r="BI11" t="b">
        <v>1</v>
      </c>
      <c r="BJ11">
        <v>0</v>
      </c>
      <c r="BK11" t="b">
        <v>0</v>
      </c>
      <c r="BL11" t="e">
        <f>_</f>
        <v>#NAME?</v>
      </c>
    </row>
    <row r="12" spans="1:80">
      <c r="A12" t="e">
        <f>#REF!</f>
        <v>#REF!</v>
      </c>
      <c r="B12" t="b">
        <v>1</v>
      </c>
      <c r="C12">
        <v>0</v>
      </c>
      <c r="D12">
        <v>1</v>
      </c>
      <c r="E12" t="s">
        <v>14</v>
      </c>
      <c r="F12">
        <v>6</v>
      </c>
      <c r="G12">
        <v>0</v>
      </c>
      <c r="H12">
        <v>0</v>
      </c>
      <c r="J12" t="s">
        <v>3</v>
      </c>
      <c r="K12" t="s">
        <v>4</v>
      </c>
      <c r="L12" t="s">
        <v>5</v>
      </c>
      <c r="AG12" t="e">
        <f>#REF!</f>
        <v>#REF!</v>
      </c>
      <c r="AH12">
        <v>18</v>
      </c>
      <c r="AI12">
        <v>1</v>
      </c>
      <c r="AJ12" t="b">
        <v>0</v>
      </c>
      <c r="AK12" t="b">
        <v>1</v>
      </c>
      <c r="AL12">
        <v>0</v>
      </c>
      <c r="AM12" t="b">
        <v>0</v>
      </c>
      <c r="AN12" t="e">
        <f t="shared" si="0"/>
        <v>#NAME?</v>
      </c>
      <c r="AO12" t="e">
        <f>#REF!</f>
        <v>#REF!</v>
      </c>
      <c r="AP12">
        <v>15</v>
      </c>
      <c r="AQ12">
        <v>1</v>
      </c>
      <c r="AR12" t="b">
        <v>0</v>
      </c>
      <c r="AS12" t="b">
        <v>1</v>
      </c>
      <c r="AT12">
        <v>0</v>
      </c>
      <c r="AU12" t="b">
        <v>0</v>
      </c>
      <c r="AV12" t="e">
        <f>_</f>
        <v>#NAME?</v>
      </c>
      <c r="AW12" t="e">
        <f>#REF!</f>
        <v>#REF!</v>
      </c>
      <c r="AX12">
        <v>12</v>
      </c>
      <c r="AY12">
        <v>1</v>
      </c>
      <c r="AZ12" t="b">
        <v>0</v>
      </c>
      <c r="BA12" t="b">
        <v>1</v>
      </c>
      <c r="BB12">
        <v>0</v>
      </c>
      <c r="BC12" t="b">
        <v>0</v>
      </c>
      <c r="BD12" t="e">
        <f>_</f>
        <v>#NAME?</v>
      </c>
      <c r="BE12" t="e">
        <f>#REF!</f>
        <v>#REF!</v>
      </c>
      <c r="BF12">
        <v>9</v>
      </c>
      <c r="BG12">
        <v>1</v>
      </c>
      <c r="BH12" t="b">
        <v>0</v>
      </c>
      <c r="BI12" t="b">
        <v>1</v>
      </c>
      <c r="BJ12">
        <v>0</v>
      </c>
      <c r="BK12" t="b">
        <v>0</v>
      </c>
      <c r="BL12" t="e">
        <f>_</f>
        <v>#NAME?</v>
      </c>
      <c r="BM12" t="e">
        <f>#REF!</f>
        <v>#REF!</v>
      </c>
      <c r="BN12">
        <v>6</v>
      </c>
      <c r="BO12">
        <v>1</v>
      </c>
      <c r="BP12" t="b">
        <v>0</v>
      </c>
      <c r="BQ12" t="b">
        <v>1</v>
      </c>
      <c r="BR12">
        <v>0</v>
      </c>
      <c r="BS12" t="b">
        <v>0</v>
      </c>
      <c r="BT12" t="e">
        <f>_</f>
        <v>#NAME?</v>
      </c>
      <c r="BU12" t="e">
        <f>#REF!</f>
        <v>#REF!</v>
      </c>
      <c r="BV12">
        <v>3</v>
      </c>
      <c r="BW12">
        <v>1</v>
      </c>
      <c r="BX12" t="b">
        <v>0</v>
      </c>
      <c r="BY12" t="b">
        <v>1</v>
      </c>
      <c r="BZ12">
        <v>0</v>
      </c>
      <c r="CA12" t="b">
        <v>0</v>
      </c>
      <c r="CB12" t="e">
        <f>_</f>
        <v>#NAME?</v>
      </c>
    </row>
    <row r="13" spans="1:80">
      <c r="A13">
        <v>0</v>
      </c>
    </row>
    <row r="14" spans="1:80">
      <c r="A14" t="b">
        <v>0</v>
      </c>
      <c r="B14">
        <v>12320</v>
      </c>
      <c r="C14">
        <v>6073.75</v>
      </c>
      <c r="D14">
        <v>9280</v>
      </c>
      <c r="E14">
        <v>100</v>
      </c>
    </row>
    <row r="15" spans="1:80">
      <c r="A15" t="b">
        <v>0</v>
      </c>
      <c r="B15">
        <v>12320</v>
      </c>
      <c r="C15">
        <v>6073.75</v>
      </c>
      <c r="D15">
        <v>9280</v>
      </c>
      <c r="E15">
        <v>500</v>
      </c>
    </row>
    <row r="16" spans="1:80">
      <c r="A16" t="b">
        <v>0</v>
      </c>
      <c r="B16">
        <v>12320</v>
      </c>
      <c r="C16">
        <v>6073.75</v>
      </c>
      <c r="D16">
        <v>9280</v>
      </c>
      <c r="E16">
        <v>1000</v>
      </c>
    </row>
    <row r="17" spans="1:5">
      <c r="A17" t="b">
        <v>0</v>
      </c>
      <c r="B17">
        <v>12320</v>
      </c>
      <c r="C17">
        <v>6073.75</v>
      </c>
      <c r="D17">
        <v>9280</v>
      </c>
      <c r="E17">
        <v>1500</v>
      </c>
    </row>
    <row r="18" spans="1:5">
      <c r="A18" t="b">
        <v>0</v>
      </c>
      <c r="B18">
        <v>12320</v>
      </c>
      <c r="C18">
        <v>6073.75</v>
      </c>
      <c r="D18">
        <v>9280</v>
      </c>
      <c r="E18">
        <v>2000</v>
      </c>
    </row>
    <row r="19" spans="1:5">
      <c r="A19">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40</vt:i4>
      </vt:variant>
    </vt:vector>
  </HeadingPairs>
  <TitlesOfParts>
    <vt:vector size="45" baseType="lpstr">
      <vt:lpstr>MktDynamicsInputs</vt:lpstr>
      <vt:lpstr>RealisticTradlDCFproforma</vt:lpstr>
      <vt:lpstr>ExPostInflex</vt:lpstr>
      <vt:lpstr>SinTest</vt:lpstr>
      <vt:lpstr>RiskSerializationData</vt:lpstr>
      <vt:lpstr>SinTest!Amplitude</vt:lpstr>
      <vt:lpstr>AutoRegTerm</vt:lpstr>
      <vt:lpstr>SinTest!BaseTime</vt:lpstr>
      <vt:lpstr>BlkSwnEffect</vt:lpstr>
      <vt:lpstr>BlkSwnProb</vt:lpstr>
      <vt:lpstr>MktDynamicsInputs!CapAmp1</vt:lpstr>
      <vt:lpstr>MktDynamicsInputs!CapAmp2</vt:lpstr>
      <vt:lpstr>MktDynamicsInputs!CapPer1</vt:lpstr>
      <vt:lpstr>MktDynamicsInputs!CapPer2</vt:lpstr>
      <vt:lpstr>MktDynamicsInputs!CapPhs1</vt:lpstr>
      <vt:lpstr>MktDynamicsInputs!CapPhs2</vt:lpstr>
      <vt:lpstr>CapRcycAmpli</vt:lpstr>
      <vt:lpstr>CapRcycPer</vt:lpstr>
      <vt:lpstr>CapRcycPhse</vt:lpstr>
      <vt:lpstr>DiscRateInput</vt:lpstr>
      <vt:lpstr>GivenPropPrice</vt:lpstr>
      <vt:lpstr>InitPriceFactor</vt:lpstr>
      <vt:lpstr>InnerAmp</vt:lpstr>
      <vt:lpstr>SinTest!InnerBaseT</vt:lpstr>
      <vt:lpstr>SinTest!InnerPer</vt:lpstr>
      <vt:lpstr>SinTest!InnerPhs</vt:lpstr>
      <vt:lpstr>LRtrendMean</vt:lpstr>
      <vt:lpstr>MeanRevertRate</vt:lpstr>
      <vt:lpstr>NoiseAmt</vt:lpstr>
      <vt:lpstr>SinTest!Period</vt:lpstr>
      <vt:lpstr>SinTest!Phase</vt:lpstr>
      <vt:lpstr>ProFormaCFgroRateInput</vt:lpstr>
      <vt:lpstr>RentCycAmpli</vt:lpstr>
      <vt:lpstr>RentCycPer</vt:lpstr>
      <vt:lpstr>RentCycPhse</vt:lpstr>
      <vt:lpstr>Riskfree_Rate</vt:lpstr>
      <vt:lpstr>Selling_Expense</vt:lpstr>
      <vt:lpstr>MktDynamicsInputs!SpAmp1</vt:lpstr>
      <vt:lpstr>MktDynamicsInputs!SpAmp2</vt:lpstr>
      <vt:lpstr>MktDynamicsInputs!SpPer1</vt:lpstr>
      <vt:lpstr>MktDynamicsInputs!SpPer2</vt:lpstr>
      <vt:lpstr>MktDynamicsInputs!SpPhs1</vt:lpstr>
      <vt:lpstr>MktDynamicsInputs!SpPhs2</vt:lpstr>
      <vt:lpstr>TerminalCapRate</vt:lpstr>
      <vt:lpstr>VolatilityInput</vt:lpstr>
    </vt:vector>
  </TitlesOfParts>
  <Company>MIT Center for Real Estate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Mo</dc:creator>
  <cp:lastModifiedBy>dgeltner</cp:lastModifiedBy>
  <cp:lastPrinted>2015-11-27T21:57:08Z</cp:lastPrinted>
  <dcterms:created xsi:type="dcterms:W3CDTF">2010-01-31T12:34:40Z</dcterms:created>
  <dcterms:modified xsi:type="dcterms:W3CDTF">2018-04-12T02:53:46Z</dcterms:modified>
</cp:coreProperties>
</file>